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STADISTICAS\eforms\Forms_2022\NewVersion\"/>
    </mc:Choice>
  </mc:AlternateContent>
  <xr:revisionPtr revIDLastSave="0" documentId="13_ncr:1_{3BC0AA66-4AE0-4780-8A35-05E5DEE0A941}" xr6:coauthVersionLast="47" xr6:coauthVersionMax="47" xr10:uidLastSave="{00000000-0000-0000-0000-000000000000}"/>
  <workbookProtection workbookAlgorithmName="SHA-512" workbookHashValue="fRClRhqu/Bqs+Ld14IiwVSmFESlc071rN6cJG52lq9euvbKkIEdW+yKi1UbvuNuymQuRi6HEs+LeBimeqyoTsA==" workbookSaltValue="Muy5ZI8tYu1Tlmv+xayRlQ==" workbookSpinCount="100000" lockStructure="1"/>
  <bookViews>
    <workbookView xWindow="-108" yWindow="-108" windowWidth="30936" windowHeight="16896" xr2:uid="{00000000-000D-0000-FFFF-FFFF00000000}"/>
  </bookViews>
  <sheets>
    <sheet name="TG02A" sheetId="5" r:id="rId1"/>
    <sheet name="TG02B" sheetId="14" r:id="rId2"/>
    <sheet name="TG02C" sheetId="13" r:id="rId3"/>
    <sheet name="Codes" sheetId="15" r:id="rId4"/>
    <sheet name="Instructions" sheetId="11" r:id="rId5"/>
    <sheet name="Filters" sheetId="18" r:id="rId6"/>
    <sheet name="Translation" sheetId="17" state="hidden" r:id="rId7"/>
  </sheets>
  <definedNames>
    <definedName name="_xlnm._FilterDatabase" localSheetId="3" hidden="1">Codes!$G$2:$M$204</definedName>
    <definedName name="_xlnm._FilterDatabase" localSheetId="4" hidden="1">Instructions!#REF!</definedName>
    <definedName name="BaitTypeCode">Codes!$O$67:$O$83</definedName>
    <definedName name="BWindSpeedID">Codes!$R$17:$R$29</definedName>
    <definedName name="Content">Codes!$O$149:$O$152</definedName>
    <definedName name="DSeaStateID">Codes!$R$3:$R$12</definedName>
    <definedName name="FlagA2ISO">Codes!$E$3:$E$175</definedName>
    <definedName name="FlagA3ISO">Codes!$D$3:$D$175</definedName>
    <definedName name="FlagCode">Codes!$B$3:$B$175</definedName>
    <definedName name="FlagName">Codes!$A$3:$A$175</definedName>
    <definedName name="fmtLatitude">Codes!$Y$9:$Y$10</definedName>
    <definedName name="fmtLongitude">Codes!$Y$14:$Y$15</definedName>
    <definedName name="fmtTagCodes">Codes!$Y$4:$Y$5</definedName>
    <definedName name="GearCode">Codes!$O$3:$O$47</definedName>
    <definedName name="Idiom">TG02A!$R$2</definedName>
    <definedName name="InjuryStateCode">Codes!$O$135:$O$138</definedName>
    <definedName name="LangFieldID">Translation!$I$1</definedName>
    <definedName name="LangNameID">Translation!$I$2</definedName>
    <definedName name="LenMethodCode">Codes!$O$104:$O$111</definedName>
    <definedName name="LenTypeCode">Codes!$O$88:$O$99</definedName>
    <definedName name="PersonID">tblPersons[PersonID]</definedName>
    <definedName name="PersonTypeCode">Codes!$R$44:$R$50</definedName>
    <definedName name="QualInfoScoreCode">Codes!$R$71:$R$76</definedName>
    <definedName name="RCStageCode">Codes!$R$122:$R$128</definedName>
    <definedName name="RecPlaceCode">Codes!$R$55:$R$66</definedName>
    <definedName name="SchoolTypeCode">Codes!$O$52:$O$62</definedName>
    <definedName name="SexCode">Codes!$R$114:$R$117</definedName>
    <definedName name="SkyCoverageCode">Codes!$R$34:$R$39</definedName>
    <definedName name="SpeciesCode">Codes!$G$3:$G$204</definedName>
    <definedName name="Status">Codes!$C$3:$C$175</definedName>
    <definedName name="TagTypeCode">Codes!$R$81:$R$92</definedName>
    <definedName name="Version">Codes!$O$143:$O$144</definedName>
    <definedName name="VesselID">tblVessels[VesselID]</definedName>
    <definedName name="WgtMethodCode">Codes!$O$125:$O$130</definedName>
    <definedName name="WgtTypeCode">Codes!$O$116:$O$120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5" l="1"/>
  <c r="E18" i="14" l="1"/>
  <c r="C19" i="5"/>
  <c r="C10" i="13" l="1"/>
  <c r="C9" i="13"/>
  <c r="C9" i="14"/>
  <c r="C5" i="13"/>
  <c r="C10" i="14"/>
  <c r="C5" i="14"/>
  <c r="AM25" i="5"/>
  <c r="C25" i="5" l="1"/>
  <c r="AV25" i="5" l="1"/>
  <c r="G90" i="11"/>
  <c r="G89" i="11"/>
  <c r="G88" i="11"/>
  <c r="G87" i="11"/>
  <c r="G86" i="11"/>
  <c r="G85" i="11"/>
  <c r="G84" i="11"/>
  <c r="G60" i="11"/>
  <c r="G59" i="11"/>
  <c r="G58" i="11"/>
  <c r="G57" i="11"/>
  <c r="G56" i="11"/>
  <c r="G55" i="11"/>
  <c r="G54" i="11"/>
  <c r="Y6" i="15" l="1"/>
  <c r="J18" i="13"/>
  <c r="I18" i="13"/>
  <c r="H18" i="13"/>
  <c r="G18" i="13"/>
  <c r="F18" i="13"/>
  <c r="E18" i="13"/>
  <c r="D18" i="13"/>
  <c r="C18" i="13"/>
  <c r="B18" i="13"/>
  <c r="A18" i="13"/>
  <c r="J18" i="14"/>
  <c r="I18" i="14"/>
  <c r="H18" i="14"/>
  <c r="G18" i="14"/>
  <c r="F18" i="14"/>
  <c r="D18" i="14"/>
  <c r="C18" i="14"/>
  <c r="B18" i="14"/>
  <c r="A18" i="14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U25" i="5"/>
  <c r="AT25" i="5"/>
  <c r="AS25" i="5"/>
  <c r="AR25" i="5"/>
  <c r="AQ25" i="5"/>
  <c r="AP25" i="5"/>
  <c r="AO25" i="5"/>
  <c r="AN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B25" i="5"/>
  <c r="A25" i="5"/>
  <c r="F17" i="5" l="1"/>
  <c r="F10" i="13" s="1"/>
  <c r="F15" i="5"/>
  <c r="G108" i="11"/>
  <c r="F8" i="14" l="1"/>
  <c r="F8" i="13"/>
  <c r="G118" i="11"/>
  <c r="G107" i="11"/>
  <c r="I2" i="17"/>
  <c r="I1" i="17"/>
  <c r="F90" i="11" l="1"/>
  <c r="F82" i="11"/>
  <c r="F58" i="11"/>
  <c r="F50" i="11"/>
  <c r="F59" i="11"/>
  <c r="F89" i="11"/>
  <c r="F81" i="11"/>
  <c r="F57" i="11"/>
  <c r="F49" i="11"/>
  <c r="F88" i="11"/>
  <c r="F80" i="11"/>
  <c r="F56" i="11"/>
  <c r="F48" i="11"/>
  <c r="F51" i="11"/>
  <c r="F87" i="11"/>
  <c r="F79" i="11"/>
  <c r="F55" i="11"/>
  <c r="F53" i="11"/>
  <c r="F86" i="11"/>
  <c r="F78" i="11"/>
  <c r="F54" i="11"/>
  <c r="F85" i="11"/>
  <c r="E48" i="11"/>
  <c r="F84" i="11"/>
  <c r="F60" i="11"/>
  <c r="F52" i="11"/>
  <c r="F83" i="11"/>
  <c r="BP24" i="5"/>
  <c r="Q1" i="5"/>
  <c r="R1" i="5"/>
  <c r="H88" i="11"/>
  <c r="H87" i="11"/>
  <c r="H86" i="11"/>
  <c r="H59" i="11"/>
  <c r="H89" i="11"/>
  <c r="H56" i="11"/>
  <c r="H54" i="11"/>
  <c r="H85" i="11"/>
  <c r="H58" i="11"/>
  <c r="H90" i="11"/>
  <c r="H84" i="11"/>
  <c r="H57" i="11"/>
  <c r="H55" i="11"/>
  <c r="H60" i="11"/>
  <c r="K11" i="5"/>
  <c r="E13" i="14"/>
  <c r="E13" i="13"/>
  <c r="B17" i="13"/>
  <c r="C17" i="13"/>
  <c r="E17" i="13"/>
  <c r="F17" i="13"/>
  <c r="D17" i="13"/>
  <c r="G17" i="13"/>
  <c r="H23" i="5"/>
  <c r="D23" i="5"/>
  <c r="F13" i="5"/>
  <c r="H108" i="11"/>
  <c r="E17" i="5"/>
  <c r="E10" i="13" s="1"/>
  <c r="B108" i="11"/>
  <c r="B11" i="11"/>
  <c r="B97" i="11"/>
  <c r="B13" i="11"/>
  <c r="E13" i="5"/>
  <c r="E15" i="5"/>
  <c r="A16" i="13"/>
  <c r="A17" i="13"/>
  <c r="H16" i="13"/>
  <c r="H118" i="11"/>
  <c r="BD23" i="5"/>
  <c r="Z23" i="5"/>
  <c r="W23" i="5"/>
  <c r="AX23" i="5"/>
  <c r="AJ23" i="5"/>
  <c r="AI23" i="5"/>
  <c r="BA23" i="5"/>
  <c r="AG23" i="5"/>
  <c r="T23" i="5"/>
  <c r="F114" i="11"/>
  <c r="AX22" i="5"/>
  <c r="P4" i="5"/>
  <c r="R5" i="5"/>
  <c r="F6" i="5"/>
  <c r="I22" i="5"/>
  <c r="A11" i="5"/>
  <c r="A4" i="13" s="1"/>
  <c r="BK22" i="5"/>
  <c r="Z24" i="5"/>
  <c r="BG24" i="5"/>
  <c r="C2" i="5"/>
  <c r="E12" i="5"/>
  <c r="BL22" i="5"/>
  <c r="AG24" i="5"/>
  <c r="E24" i="5"/>
  <c r="AO24" i="5"/>
  <c r="E32" i="11"/>
  <c r="O24" i="5"/>
  <c r="AR24" i="5"/>
  <c r="F31" i="11"/>
  <c r="P24" i="5"/>
  <c r="AY24" i="5"/>
  <c r="B8" i="5"/>
  <c r="T22" i="5"/>
  <c r="W24" i="5"/>
  <c r="AZ24" i="5"/>
  <c r="B6" i="5"/>
  <c r="A22" i="5"/>
  <c r="H24" i="5"/>
  <c r="AH24" i="5"/>
  <c r="F37" i="11"/>
  <c r="A4" i="5"/>
  <c r="K6" i="5"/>
  <c r="A21" i="5"/>
  <c r="AG22" i="5"/>
  <c r="BP22" i="5"/>
  <c r="I24" i="5"/>
  <c r="Q24" i="5"/>
  <c r="AA24" i="5"/>
  <c r="AI24" i="5"/>
  <c r="AS24" i="5"/>
  <c r="BA24" i="5"/>
  <c r="BL24" i="5"/>
  <c r="A17" i="14"/>
  <c r="J17" i="13"/>
  <c r="E78" i="11"/>
  <c r="F43" i="11"/>
  <c r="C108" i="11"/>
  <c r="H28" i="11"/>
  <c r="H64" i="11"/>
  <c r="H100" i="11"/>
  <c r="H16" i="14"/>
  <c r="F73" i="11"/>
  <c r="K4" i="5"/>
  <c r="B5" i="5"/>
  <c r="A12" i="5"/>
  <c r="A5" i="13" s="1"/>
  <c r="BP21" i="5"/>
  <c r="AK22" i="5"/>
  <c r="B24" i="5"/>
  <c r="J24" i="5"/>
  <c r="T24" i="5"/>
  <c r="AB24" i="5"/>
  <c r="AL24" i="5"/>
  <c r="AT24" i="5"/>
  <c r="BD24" i="5"/>
  <c r="BM24" i="5"/>
  <c r="B17" i="14"/>
  <c r="A10" i="11"/>
  <c r="F13" i="11"/>
  <c r="F111" i="11"/>
  <c r="H34" i="11"/>
  <c r="H70" i="11"/>
  <c r="H106" i="11"/>
  <c r="AN22" i="5"/>
  <c r="C24" i="5"/>
  <c r="K24" i="5"/>
  <c r="U24" i="5"/>
  <c r="AC24" i="5"/>
  <c r="AM24" i="5"/>
  <c r="AU24" i="5"/>
  <c r="BE24" i="5"/>
  <c r="E17" i="14"/>
  <c r="F19" i="11"/>
  <c r="F91" i="11"/>
  <c r="F115" i="11"/>
  <c r="H40" i="11"/>
  <c r="H76" i="11"/>
  <c r="H117" i="11"/>
  <c r="Q5" i="5"/>
  <c r="B7" i="5"/>
  <c r="A18" i="5"/>
  <c r="A10" i="13" s="1"/>
  <c r="D22" i="5"/>
  <c r="D24" i="5"/>
  <c r="N24" i="5"/>
  <c r="V24" i="5"/>
  <c r="AF24" i="5"/>
  <c r="AN24" i="5"/>
  <c r="AX24" i="5"/>
  <c r="BF24" i="5"/>
  <c r="J17" i="14"/>
  <c r="D20" i="11"/>
  <c r="F25" i="11"/>
  <c r="F61" i="11"/>
  <c r="E96" i="11"/>
  <c r="B7" i="11"/>
  <c r="H46" i="11"/>
  <c r="H82" i="11"/>
  <c r="F107" i="11"/>
  <c r="F67" i="11"/>
  <c r="D105" i="11"/>
  <c r="H16" i="11"/>
  <c r="H52" i="11"/>
  <c r="BJ24" i="5"/>
  <c r="E61" i="11"/>
  <c r="F102" i="11"/>
  <c r="H22" i="11"/>
  <c r="H94" i="11"/>
  <c r="BK24" i="5"/>
  <c r="A1" i="5"/>
  <c r="J16" i="14"/>
  <c r="F17" i="14"/>
  <c r="B10" i="11"/>
  <c r="D25" i="11"/>
  <c r="D37" i="11"/>
  <c r="E65" i="11"/>
  <c r="E91" i="11"/>
  <c r="F14" i="11"/>
  <c r="F20" i="11"/>
  <c r="F26" i="11"/>
  <c r="F32" i="11"/>
  <c r="F38" i="11"/>
  <c r="F44" i="11"/>
  <c r="F62" i="11"/>
  <c r="F68" i="11"/>
  <c r="F74" i="11"/>
  <c r="F92" i="11"/>
  <c r="F96" i="11"/>
  <c r="D107" i="11"/>
  <c r="F103" i="11"/>
  <c r="C109" i="11"/>
  <c r="F116" i="11"/>
  <c r="A2" i="11"/>
  <c r="H11" i="11"/>
  <c r="H17" i="11"/>
  <c r="H23" i="11"/>
  <c r="H29" i="11"/>
  <c r="H35" i="11"/>
  <c r="H41" i="11"/>
  <c r="H47" i="11"/>
  <c r="H53" i="11"/>
  <c r="H65" i="11"/>
  <c r="H71" i="11"/>
  <c r="H77" i="11"/>
  <c r="H83" i="11"/>
  <c r="H95" i="11"/>
  <c r="H101" i="11"/>
  <c r="H110" i="11"/>
  <c r="G17" i="14"/>
  <c r="H17" i="13"/>
  <c r="C10" i="11"/>
  <c r="C13" i="11"/>
  <c r="D28" i="11"/>
  <c r="E37" i="11"/>
  <c r="D68" i="11"/>
  <c r="E92" i="11"/>
  <c r="F15" i="11"/>
  <c r="F21" i="11"/>
  <c r="F27" i="11"/>
  <c r="F33" i="11"/>
  <c r="F39" i="11"/>
  <c r="F45" i="11"/>
  <c r="F63" i="11"/>
  <c r="F69" i="11"/>
  <c r="F75" i="11"/>
  <c r="F93" i="11"/>
  <c r="F98" i="11"/>
  <c r="F104" i="11"/>
  <c r="D109" i="11"/>
  <c r="F117" i="11"/>
  <c r="B3" i="11"/>
  <c r="H12" i="11"/>
  <c r="H18" i="11"/>
  <c r="H24" i="11"/>
  <c r="H30" i="11"/>
  <c r="H36" i="11"/>
  <c r="H42" i="11"/>
  <c r="H48" i="11"/>
  <c r="H66" i="11"/>
  <c r="H72" i="11"/>
  <c r="H78" i="11"/>
  <c r="H96" i="11"/>
  <c r="H102" i="11"/>
  <c r="H109" i="11"/>
  <c r="H113" i="11"/>
  <c r="H107" i="11"/>
  <c r="H17" i="14"/>
  <c r="I17" i="13"/>
  <c r="D10" i="11"/>
  <c r="D13" i="11"/>
  <c r="C29" i="11"/>
  <c r="E39" i="11"/>
  <c r="E68" i="11"/>
  <c r="F10" i="11"/>
  <c r="F16" i="11"/>
  <c r="F22" i="11"/>
  <c r="F28" i="11"/>
  <c r="F34" i="11"/>
  <c r="F40" i="11"/>
  <c r="F46" i="11"/>
  <c r="F64" i="11"/>
  <c r="F70" i="11"/>
  <c r="F76" i="11"/>
  <c r="F94" i="11"/>
  <c r="C97" i="11"/>
  <c r="F99" i="11"/>
  <c r="F105" i="11"/>
  <c r="D116" i="11"/>
  <c r="F110" i="11"/>
  <c r="B4" i="11"/>
  <c r="H13" i="11"/>
  <c r="H19" i="11"/>
  <c r="H25" i="11"/>
  <c r="H31" i="11"/>
  <c r="H37" i="11"/>
  <c r="H43" i="11"/>
  <c r="H49" i="11"/>
  <c r="H61" i="11"/>
  <c r="H67" i="11"/>
  <c r="H73" i="11"/>
  <c r="H79" i="11"/>
  <c r="H91" i="11"/>
  <c r="H97" i="11"/>
  <c r="H103" i="11"/>
  <c r="H112" i="11"/>
  <c r="H114" i="11"/>
  <c r="F118" i="11"/>
  <c r="A5" i="5"/>
  <c r="A7" i="5"/>
  <c r="B9" i="5"/>
  <c r="I21" i="5"/>
  <c r="K22" i="5"/>
  <c r="AP22" i="5"/>
  <c r="F24" i="5"/>
  <c r="L24" i="5"/>
  <c r="R24" i="5"/>
  <c r="X24" i="5"/>
  <c r="AD24" i="5"/>
  <c r="AJ24" i="5"/>
  <c r="AP24" i="5"/>
  <c r="AV24" i="5"/>
  <c r="BB24" i="5"/>
  <c r="BH24" i="5"/>
  <c r="BN24" i="5"/>
  <c r="C17" i="14"/>
  <c r="I17" i="14"/>
  <c r="E10" i="11"/>
  <c r="E13" i="11"/>
  <c r="D29" i="11"/>
  <c r="E42" i="11"/>
  <c r="E70" i="11"/>
  <c r="F11" i="11"/>
  <c r="F17" i="11"/>
  <c r="F23" i="11"/>
  <c r="F29" i="11"/>
  <c r="F35" i="11"/>
  <c r="F41" i="11"/>
  <c r="F47" i="11"/>
  <c r="F65" i="11"/>
  <c r="F71" i="11"/>
  <c r="F77" i="11"/>
  <c r="F95" i="11"/>
  <c r="C98" i="11"/>
  <c r="F100" i="11"/>
  <c r="F106" i="11"/>
  <c r="F109" i="11"/>
  <c r="F113" i="11"/>
  <c r="B5" i="11"/>
  <c r="H14" i="11"/>
  <c r="H20" i="11"/>
  <c r="H26" i="11"/>
  <c r="H32" i="11"/>
  <c r="H38" i="11"/>
  <c r="H44" i="11"/>
  <c r="H50" i="11"/>
  <c r="H62" i="11"/>
  <c r="H68" i="11"/>
  <c r="H74" i="11"/>
  <c r="H80" i="11"/>
  <c r="H92" i="11"/>
  <c r="H98" i="11"/>
  <c r="H104" i="11"/>
  <c r="H111" i="11"/>
  <c r="H115" i="11"/>
  <c r="K5" i="5"/>
  <c r="K8" i="5"/>
  <c r="F9" i="5"/>
  <c r="A17" i="5"/>
  <c r="A9" i="13" s="1"/>
  <c r="AN21" i="5"/>
  <c r="N22" i="5"/>
  <c r="AS22" i="5"/>
  <c r="A24" i="5"/>
  <c r="G24" i="5"/>
  <c r="M24" i="5"/>
  <c r="S24" i="5"/>
  <c r="Y24" i="5"/>
  <c r="AE24" i="5"/>
  <c r="AK24" i="5"/>
  <c r="AQ24" i="5"/>
  <c r="AW24" i="5"/>
  <c r="BC24" i="5"/>
  <c r="BI24" i="5"/>
  <c r="BO24" i="5"/>
  <c r="A16" i="14"/>
  <c r="D17" i="14"/>
  <c r="A9" i="11"/>
  <c r="A11" i="11"/>
  <c r="E16" i="11"/>
  <c r="E29" i="11"/>
  <c r="E73" i="11"/>
  <c r="F12" i="11"/>
  <c r="F18" i="11"/>
  <c r="F24" i="11"/>
  <c r="F30" i="11"/>
  <c r="F36" i="11"/>
  <c r="F42" i="11"/>
  <c r="F66" i="11"/>
  <c r="F72" i="11"/>
  <c r="D96" i="11"/>
  <c r="D98" i="11"/>
  <c r="F101" i="11"/>
  <c r="F112" i="11"/>
  <c r="B6" i="11"/>
  <c r="H15" i="11"/>
  <c r="H21" i="11"/>
  <c r="H27" i="11"/>
  <c r="H33" i="11"/>
  <c r="H39" i="11"/>
  <c r="H45" i="11"/>
  <c r="H51" i="11"/>
  <c r="H63" i="11"/>
  <c r="H69" i="11"/>
  <c r="H75" i="11"/>
  <c r="H81" i="11"/>
  <c r="H93" i="11"/>
  <c r="H99" i="11"/>
  <c r="H105" i="11"/>
  <c r="H116" i="11"/>
  <c r="A1" i="11"/>
  <c r="G115" i="11"/>
  <c r="G114" i="11"/>
  <c r="G113" i="11"/>
  <c r="G110" i="11"/>
  <c r="G117" i="11"/>
  <c r="G116" i="11"/>
  <c r="G111" i="11"/>
  <c r="G112" i="11"/>
  <c r="G109" i="11"/>
  <c r="G106" i="11"/>
  <c r="G105" i="11"/>
  <c r="G104" i="11"/>
  <c r="G103" i="11"/>
  <c r="G102" i="11"/>
  <c r="G101" i="11"/>
  <c r="G100" i="11"/>
  <c r="G99" i="11"/>
  <c r="G98" i="11"/>
  <c r="G96" i="11"/>
  <c r="G95" i="11"/>
  <c r="G94" i="11"/>
  <c r="G93" i="11"/>
  <c r="G92" i="11"/>
  <c r="G91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97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H10" i="11"/>
  <c r="G10" i="11"/>
  <c r="E5" i="14" l="1"/>
  <c r="E5" i="13"/>
  <c r="E8" i="14"/>
  <c r="E8" i="13"/>
  <c r="E6" i="14"/>
  <c r="E6" i="13"/>
  <c r="F6" i="14"/>
  <c r="F6" i="13"/>
  <c r="F10" i="14" l="1"/>
  <c r="L2" i="13"/>
  <c r="K2" i="13"/>
  <c r="L2" i="14" l="1"/>
  <c r="K2" i="14"/>
  <c r="E10" i="14" l="1"/>
  <c r="J11" i="5"/>
  <c r="C1" i="5" l="1"/>
  <c r="A3" i="18"/>
  <c r="A4" i="18"/>
  <c r="C2" i="14" l="1"/>
  <c r="C2" i="13"/>
  <c r="A4" i="14"/>
  <c r="A1" i="14"/>
  <c r="A1" i="13"/>
  <c r="A9" i="14"/>
  <c r="K1" i="14"/>
  <c r="K1" i="13"/>
  <c r="A10" i="14"/>
  <c r="A5" i="14"/>
  <c r="L1" i="14"/>
  <c r="L1" i="13"/>
  <c r="C1" i="14"/>
  <c r="C1" i="13"/>
  <c r="J4" i="5"/>
  <c r="K9" i="5" s="1"/>
</calcChain>
</file>

<file path=xl/sharedStrings.xml><?xml version="1.0" encoding="utf-8"?>
<sst xmlns="http://schemas.openxmlformats.org/spreadsheetml/2006/main" count="4943" uniqueCount="3016">
  <si>
    <t>TagColor</t>
  </si>
  <si>
    <t>Country</t>
  </si>
  <si>
    <t>Notes</t>
  </si>
  <si>
    <t>Institution</t>
  </si>
  <si>
    <t>Address</t>
  </si>
  <si>
    <t>Phone</t>
  </si>
  <si>
    <t>ScieName</t>
  </si>
  <si>
    <t>RCStage</t>
  </si>
  <si>
    <t>Name</t>
  </si>
  <si>
    <t>DSeaStateID</t>
  </si>
  <si>
    <t>DSeaStateEN</t>
  </si>
  <si>
    <t>DSeaStateFR</t>
  </si>
  <si>
    <t>DSeaStateES</t>
  </si>
  <si>
    <t>DssWavesAvgHigh</t>
  </si>
  <si>
    <t>Type</t>
  </si>
  <si>
    <t>Scientific</t>
  </si>
  <si>
    <t>UN</t>
  </si>
  <si>
    <t>Unknown</t>
  </si>
  <si>
    <t>R</t>
  </si>
  <si>
    <t>C</t>
  </si>
  <si>
    <t>Environment</t>
  </si>
  <si>
    <t>Date</t>
  </si>
  <si>
    <t>ID</t>
  </si>
  <si>
    <t>Other</t>
  </si>
  <si>
    <t>RECOVERY Information</t>
  </si>
  <si>
    <t>RELEASE Information</t>
  </si>
  <si>
    <t>Calm (glassy)</t>
  </si>
  <si>
    <t>Calme</t>
  </si>
  <si>
    <t>Calma o llana</t>
  </si>
  <si>
    <t>0 m</t>
  </si>
  <si>
    <t>Calm (rippled)</t>
  </si>
  <si>
    <t>Calme (ridée)</t>
  </si>
  <si>
    <t>Rizada</t>
  </si>
  <si>
    <t>0 - 0.1 m</t>
  </si>
  <si>
    <t>Smooth</t>
  </si>
  <si>
    <t>Belle</t>
  </si>
  <si>
    <t>Marejadilla</t>
  </si>
  <si>
    <t>0.1 - 0.5 m</t>
  </si>
  <si>
    <t>Slight</t>
  </si>
  <si>
    <t>Peu agitée</t>
  </si>
  <si>
    <t xml:space="preserve">Marejada </t>
  </si>
  <si>
    <t>0.5 - 1.25 m</t>
  </si>
  <si>
    <t>Moderate</t>
  </si>
  <si>
    <t>Agitée</t>
  </si>
  <si>
    <t>Fuerte Marejada</t>
  </si>
  <si>
    <t>1.25 - 2.5 m</t>
  </si>
  <si>
    <t>Rough</t>
  </si>
  <si>
    <t>Forte</t>
  </si>
  <si>
    <t xml:space="preserve">Gruesa </t>
  </si>
  <si>
    <t>2,5 - 4 m</t>
  </si>
  <si>
    <t>Very rough</t>
  </si>
  <si>
    <t>Très forte</t>
  </si>
  <si>
    <t xml:space="preserve">Muy Gruesa </t>
  </si>
  <si>
    <t>4 - 6 m</t>
  </si>
  <si>
    <t>High</t>
  </si>
  <si>
    <t>Grosse</t>
  </si>
  <si>
    <t>Arbolada</t>
  </si>
  <si>
    <t>6 - 9 m</t>
  </si>
  <si>
    <t>Very high</t>
  </si>
  <si>
    <t>Très grosse</t>
  </si>
  <si>
    <t>Montañosa</t>
  </si>
  <si>
    <t>9 - 14 m</t>
  </si>
  <si>
    <t>Phenomenal</t>
  </si>
  <si>
    <t>Énorme</t>
  </si>
  <si>
    <t>Enorme</t>
  </si>
  <si>
    <t>&gt; 14 m</t>
  </si>
  <si>
    <t>Validation</t>
  </si>
  <si>
    <t>UNK</t>
  </si>
  <si>
    <t>R-1</t>
  </si>
  <si>
    <t>RC1</t>
  </si>
  <si>
    <t>Recovery 1 (from Release 1)</t>
  </si>
  <si>
    <t>R-2</t>
  </si>
  <si>
    <t>RC2</t>
  </si>
  <si>
    <t>Recovery 2 (from Release 2)</t>
  </si>
  <si>
    <t>R-3</t>
  </si>
  <si>
    <t>RC3</t>
  </si>
  <si>
    <t>Recovery 3 (from Release 3)</t>
  </si>
  <si>
    <t>RCF</t>
  </si>
  <si>
    <t>Final REL-REC chain (dead fish)</t>
  </si>
  <si>
    <t>org</t>
  </si>
  <si>
    <t>orange</t>
  </si>
  <si>
    <t>red</t>
  </si>
  <si>
    <t>yel</t>
  </si>
  <si>
    <t>yellow</t>
  </si>
  <si>
    <t>whi</t>
  </si>
  <si>
    <t>white</t>
  </si>
  <si>
    <t>blg</t>
  </si>
  <si>
    <t>blue green</t>
  </si>
  <si>
    <t>blu</t>
  </si>
  <si>
    <t>blue</t>
  </si>
  <si>
    <t>bro</t>
  </si>
  <si>
    <t>brown</t>
  </si>
  <si>
    <t>gra</t>
  </si>
  <si>
    <t>gray</t>
  </si>
  <si>
    <t>grn</t>
  </si>
  <si>
    <t>green</t>
  </si>
  <si>
    <t>pin</t>
  </si>
  <si>
    <t>pink</t>
  </si>
  <si>
    <t>Observer on-board</t>
  </si>
  <si>
    <t>SCIE</t>
  </si>
  <si>
    <t>UNKN</t>
  </si>
  <si>
    <t>Unusable</t>
  </si>
  <si>
    <t>UNUS</t>
  </si>
  <si>
    <t>Tags used (full codes)</t>
  </si>
  <si>
    <t>ddmmss[NS]</t>
  </si>
  <si>
    <t>Fishing operation</t>
  </si>
  <si>
    <t>State
(douglas)</t>
  </si>
  <si>
    <t>Speed
(beauford)</t>
  </si>
  <si>
    <t>Specimen characteristics</t>
  </si>
  <si>
    <t>Time strata</t>
  </si>
  <si>
    <t>Geographical strata</t>
  </si>
  <si>
    <t>Sea</t>
  </si>
  <si>
    <t xml:space="preserve">Wind </t>
  </si>
  <si>
    <t>Sky</t>
  </si>
  <si>
    <t>Area description</t>
  </si>
  <si>
    <t>Unknow</t>
  </si>
  <si>
    <t>PS</t>
  </si>
  <si>
    <t>Latitude</t>
  </si>
  <si>
    <t>Longitude</t>
  </si>
  <si>
    <t>Recovery Notes</t>
  </si>
  <si>
    <t>Release Notes</t>
  </si>
  <si>
    <t>Quality Control</t>
  </si>
  <si>
    <t>Dept
(m)</t>
  </si>
  <si>
    <t>BFT</t>
  </si>
  <si>
    <t>SBF</t>
  </si>
  <si>
    <t>Thunnus maccoyii</t>
  </si>
  <si>
    <t>Southern bluefin tuna</t>
  </si>
  <si>
    <t>Thon rouge du Sud</t>
  </si>
  <si>
    <t>YFT</t>
  </si>
  <si>
    <t>Thunnus albacares</t>
  </si>
  <si>
    <t>Yellowfin tuna</t>
  </si>
  <si>
    <t>Albacore</t>
  </si>
  <si>
    <t>Rabil</t>
  </si>
  <si>
    <t>ALB</t>
  </si>
  <si>
    <t>Thunnus alalunga</t>
  </si>
  <si>
    <t>Germon</t>
  </si>
  <si>
    <t>Atún blanco</t>
  </si>
  <si>
    <t>BET</t>
  </si>
  <si>
    <t>Thunnus obesus</t>
  </si>
  <si>
    <t>Bigeye tuna</t>
  </si>
  <si>
    <t>Thon obèse(=Patudo)</t>
  </si>
  <si>
    <t>Patudo</t>
  </si>
  <si>
    <t>BLF</t>
  </si>
  <si>
    <t>Thunnus atlanticus</t>
  </si>
  <si>
    <t>Blackfin tuna</t>
  </si>
  <si>
    <t>Thon à nageoires noires</t>
  </si>
  <si>
    <t>LTA</t>
  </si>
  <si>
    <t>Euthynnus alletteratus</t>
  </si>
  <si>
    <t>Little tunny(=Atl.black skipj)</t>
  </si>
  <si>
    <t>Thonine commune</t>
  </si>
  <si>
    <t>Bacoreta</t>
  </si>
  <si>
    <t>SKJ</t>
  </si>
  <si>
    <t>Katsuwonus pelamis</t>
  </si>
  <si>
    <t>Skipjack tuna</t>
  </si>
  <si>
    <t>Listao</t>
  </si>
  <si>
    <t>Listado</t>
  </si>
  <si>
    <t>BON</t>
  </si>
  <si>
    <t>Sarda sarda</t>
  </si>
  <si>
    <t>Atlantic bonito</t>
  </si>
  <si>
    <t>Bonite à dos rayé</t>
  </si>
  <si>
    <t>Bonito del Atlántico</t>
  </si>
  <si>
    <t>FRI</t>
  </si>
  <si>
    <t>Auxis thazard</t>
  </si>
  <si>
    <t>Frigate tuna</t>
  </si>
  <si>
    <t>Auxide</t>
  </si>
  <si>
    <t>Melva</t>
  </si>
  <si>
    <t>BOP</t>
  </si>
  <si>
    <t>Orcynopsis unicolor</t>
  </si>
  <si>
    <t>Plain bonito</t>
  </si>
  <si>
    <t>Palomette</t>
  </si>
  <si>
    <t>Tasarte</t>
  </si>
  <si>
    <t>WAH</t>
  </si>
  <si>
    <t>Acanthocybium solandri</t>
  </si>
  <si>
    <t>Wahoo</t>
  </si>
  <si>
    <t>Thazard-bâtard</t>
  </si>
  <si>
    <t>Peto</t>
  </si>
  <si>
    <t>SSM</t>
  </si>
  <si>
    <t>Scomberomorus maculatus</t>
  </si>
  <si>
    <t>Atlantic Spanish mackerel</t>
  </si>
  <si>
    <t>Thazard atlantique</t>
  </si>
  <si>
    <t>Carite atlántico</t>
  </si>
  <si>
    <t>KGM</t>
  </si>
  <si>
    <t>Scomberomorus cavalla</t>
  </si>
  <si>
    <t>King mackerel</t>
  </si>
  <si>
    <t>Thazard barré</t>
  </si>
  <si>
    <t>Carite lucio</t>
  </si>
  <si>
    <t>SAI</t>
  </si>
  <si>
    <t>Istiophorus albicans</t>
  </si>
  <si>
    <t>Atlantic sailfish</t>
  </si>
  <si>
    <t>Voilier de l'Atlantique</t>
  </si>
  <si>
    <t>Pez vela del Atlántico</t>
  </si>
  <si>
    <t>BLM</t>
  </si>
  <si>
    <t>Makaira indica</t>
  </si>
  <si>
    <t>Black marlin</t>
  </si>
  <si>
    <t>Makaire noir</t>
  </si>
  <si>
    <t>Aguja negra</t>
  </si>
  <si>
    <t>BUM</t>
  </si>
  <si>
    <t>Makaira nigricans</t>
  </si>
  <si>
    <t>WHM</t>
  </si>
  <si>
    <t>Atlantic white marlin</t>
  </si>
  <si>
    <t>Makaire blanc de l'Atlantique</t>
  </si>
  <si>
    <t>Aguja blanca del Atlántico</t>
  </si>
  <si>
    <t>SWO</t>
  </si>
  <si>
    <t>Xiphias gladius</t>
  </si>
  <si>
    <t>Swordfish</t>
  </si>
  <si>
    <t>Espadon</t>
  </si>
  <si>
    <t>Pez espada</t>
  </si>
  <si>
    <t>SPF</t>
  </si>
  <si>
    <t>Tetrapturus pfluegeri</t>
  </si>
  <si>
    <t>Longbill spearfish</t>
  </si>
  <si>
    <t>Makaire bécune</t>
  </si>
  <si>
    <t>Aguja picuda</t>
  </si>
  <si>
    <t>TUN</t>
  </si>
  <si>
    <t>Thunnini</t>
  </si>
  <si>
    <t>Tunas nei</t>
  </si>
  <si>
    <t>Thonidés nca</t>
  </si>
  <si>
    <t>Atunes nep</t>
  </si>
  <si>
    <t>BIL</t>
  </si>
  <si>
    <t>Istiophoridae</t>
  </si>
  <si>
    <t>Marlins,sailfishes,etc. nei</t>
  </si>
  <si>
    <t>Makaires,marlins,voiliers nca</t>
  </si>
  <si>
    <t>Agujas,marlines,peces vela nep</t>
  </si>
  <si>
    <t>SLT</t>
  </si>
  <si>
    <t>Allothunnus fallai</t>
  </si>
  <si>
    <t>Slender tuna</t>
  </si>
  <si>
    <t>Thon élégant</t>
  </si>
  <si>
    <t>Atún lanzón</t>
  </si>
  <si>
    <t>MAW</t>
  </si>
  <si>
    <t>Scomberomorus tritor</t>
  </si>
  <si>
    <t>West African Spanish mackerel</t>
  </si>
  <si>
    <t>Thazard blanc</t>
  </si>
  <si>
    <t>Carite lusitánico</t>
  </si>
  <si>
    <t>CER</t>
  </si>
  <si>
    <t>Scomberomorus regalis</t>
  </si>
  <si>
    <t>Cero</t>
  </si>
  <si>
    <t>Thazard franc</t>
  </si>
  <si>
    <t>Carite chinigua</t>
  </si>
  <si>
    <t>BLT</t>
  </si>
  <si>
    <t>Auxis rochei</t>
  </si>
  <si>
    <t>Bullet tuna</t>
  </si>
  <si>
    <t>Bonitou</t>
  </si>
  <si>
    <t>Melva(=Melvera)</t>
  </si>
  <si>
    <t>BRS</t>
  </si>
  <si>
    <t>Scomberomorus brasiliensis</t>
  </si>
  <si>
    <t>Serra Spanish mackerel</t>
  </si>
  <si>
    <t>Thazard serra</t>
  </si>
  <si>
    <t>Serra</t>
  </si>
  <si>
    <t>NPH</t>
  </si>
  <si>
    <t>Scomberomorus niphonius</t>
  </si>
  <si>
    <t>Japanese Spanish mackerel</t>
  </si>
  <si>
    <t>Thazard oriental</t>
  </si>
  <si>
    <t>Carite oriental</t>
  </si>
  <si>
    <t>BUK</t>
  </si>
  <si>
    <t>Gasterochisma melampus</t>
  </si>
  <si>
    <t>Butterfly kingfish</t>
  </si>
  <si>
    <t>Thon papillon</t>
  </si>
  <si>
    <t>Atún chauchera</t>
  </si>
  <si>
    <t>KAW</t>
  </si>
  <si>
    <t>Euthynnus affinis</t>
  </si>
  <si>
    <t>Kawakawa</t>
  </si>
  <si>
    <t>Thonine orientale</t>
  </si>
  <si>
    <t>Bacoreta oriental</t>
  </si>
  <si>
    <t>TUS</t>
  </si>
  <si>
    <t>Thunnus spp</t>
  </si>
  <si>
    <t>True tunas nei</t>
  </si>
  <si>
    <t>Thons Thunnus nca</t>
  </si>
  <si>
    <t>Atunes verdaderos nep</t>
  </si>
  <si>
    <t>BLZ</t>
  </si>
  <si>
    <t>MSP</t>
  </si>
  <si>
    <t>Tetrapturus belone</t>
  </si>
  <si>
    <t>Mediterranean spearfish</t>
  </si>
  <si>
    <t>Marlin de la Méditerranée</t>
  </si>
  <si>
    <t>Marlín del Mediterráneo</t>
  </si>
  <si>
    <t>MLS</t>
  </si>
  <si>
    <t>Tetrapturus audax</t>
  </si>
  <si>
    <t>Striped marlin</t>
  </si>
  <si>
    <t>Marlin rayé</t>
  </si>
  <si>
    <t>Marlín rayado</t>
  </si>
  <si>
    <t>SSP</t>
  </si>
  <si>
    <t>Tetrapturus angustirostris</t>
  </si>
  <si>
    <t>Shortbill spearfish</t>
  </si>
  <si>
    <t>Makaire à rostre court</t>
  </si>
  <si>
    <t>Marlín trompa corta</t>
  </si>
  <si>
    <t>RSP</t>
  </si>
  <si>
    <t>Roundscale spearfish</t>
  </si>
  <si>
    <t>Makaire épée</t>
  </si>
  <si>
    <t>Marlín peto</t>
  </si>
  <si>
    <t>BSK</t>
  </si>
  <si>
    <t>Cetorhinus maximus</t>
  </si>
  <si>
    <t>Basking shark</t>
  </si>
  <si>
    <t>Peregrino</t>
  </si>
  <si>
    <t>ALV</t>
  </si>
  <si>
    <t>Alopias vulpinus</t>
  </si>
  <si>
    <t>Thresher</t>
  </si>
  <si>
    <t>Renard</t>
  </si>
  <si>
    <t>Zorro</t>
  </si>
  <si>
    <t>BTH</t>
  </si>
  <si>
    <t>Alopias superciliosus</t>
  </si>
  <si>
    <t>Bigeye thresher</t>
  </si>
  <si>
    <t>Renard à gros yeux</t>
  </si>
  <si>
    <t>Zorro ojón</t>
  </si>
  <si>
    <t>THR</t>
  </si>
  <si>
    <t>Alopias spp</t>
  </si>
  <si>
    <t>Thresher sharks nei</t>
  </si>
  <si>
    <t>Renards de mer nca</t>
  </si>
  <si>
    <t>Zorros nep</t>
  </si>
  <si>
    <t>SMA</t>
  </si>
  <si>
    <t>Isurus oxyrinchus</t>
  </si>
  <si>
    <t>Shortfin mako</t>
  </si>
  <si>
    <t>Taupe bleue</t>
  </si>
  <si>
    <t>Marrajo dientuso</t>
  </si>
  <si>
    <t>LMA</t>
  </si>
  <si>
    <t>Isurus paucus</t>
  </si>
  <si>
    <t>Longfin mako</t>
  </si>
  <si>
    <t>Petite taupe</t>
  </si>
  <si>
    <t>Marrajo carite</t>
  </si>
  <si>
    <t>POR</t>
  </si>
  <si>
    <t>Lamna nasus</t>
  </si>
  <si>
    <t>Porbeagle</t>
  </si>
  <si>
    <t>Requin-taupe commun</t>
  </si>
  <si>
    <t>Marrajo sardinero</t>
  </si>
  <si>
    <t>WSH</t>
  </si>
  <si>
    <t>Carcharodon carcharias</t>
  </si>
  <si>
    <t>Great white shark</t>
  </si>
  <si>
    <t>Grand requin blanc</t>
  </si>
  <si>
    <t>Jaquetón blanco</t>
  </si>
  <si>
    <t>MSK</t>
  </si>
  <si>
    <t>Lamnidae</t>
  </si>
  <si>
    <t>Mackerel sharks,porbeagles nei</t>
  </si>
  <si>
    <t>Requins taupe nca</t>
  </si>
  <si>
    <t>Jaquetones,marrajos nep</t>
  </si>
  <si>
    <t>RHN</t>
  </si>
  <si>
    <t>Rhincodon typus</t>
  </si>
  <si>
    <t>Whale shark</t>
  </si>
  <si>
    <t>Requin baleine</t>
  </si>
  <si>
    <t>Tiburón ballena</t>
  </si>
  <si>
    <t>SYC</t>
  </si>
  <si>
    <t>BSH</t>
  </si>
  <si>
    <t>Prionace glauca</t>
  </si>
  <si>
    <t>Blue shark</t>
  </si>
  <si>
    <t>Peau bleue</t>
  </si>
  <si>
    <t>Tiburón azul</t>
  </si>
  <si>
    <t>BLR</t>
  </si>
  <si>
    <t>OCS</t>
  </si>
  <si>
    <t>Carcharhinus longimanus</t>
  </si>
  <si>
    <t>Oceanic whitetip shark</t>
  </si>
  <si>
    <t>Requin océanique</t>
  </si>
  <si>
    <t>Tiburón oceánico</t>
  </si>
  <si>
    <t>FAL</t>
  </si>
  <si>
    <t>Carcharhinus falciformis</t>
  </si>
  <si>
    <t>Silky shark</t>
  </si>
  <si>
    <t>Requin soyeux</t>
  </si>
  <si>
    <t>Tiburón jaquetón</t>
  </si>
  <si>
    <t>RSK</t>
  </si>
  <si>
    <t>Carcharhinidae</t>
  </si>
  <si>
    <t>Requiem sharks nei</t>
  </si>
  <si>
    <t>Requins nca</t>
  </si>
  <si>
    <t>Cazones picudos,tintoreras nep</t>
  </si>
  <si>
    <t>SPZ</t>
  </si>
  <si>
    <t>Sphyrna zygaena</t>
  </si>
  <si>
    <t>Smooth hammerhead</t>
  </si>
  <si>
    <t>Cornuda cruz(=Pez martillo)</t>
  </si>
  <si>
    <t>SPL</t>
  </si>
  <si>
    <t>Sphyrna lewini</t>
  </si>
  <si>
    <t>Scalloped hammerhead</t>
  </si>
  <si>
    <t>Cornuda común</t>
  </si>
  <si>
    <t>SPK</t>
  </si>
  <si>
    <t>Sphyrna mokarran</t>
  </si>
  <si>
    <t>Great hammerhead</t>
  </si>
  <si>
    <t>Grand requin marteau</t>
  </si>
  <si>
    <t>Cornuda gigante</t>
  </si>
  <si>
    <t>SPN</t>
  </si>
  <si>
    <t>Sphyrna spp</t>
  </si>
  <si>
    <t>Hammerhead sharks nei</t>
  </si>
  <si>
    <t>Requins marteau nca</t>
  </si>
  <si>
    <t>Cornudas (Peces martillo) nep</t>
  </si>
  <si>
    <t>SPY</t>
  </si>
  <si>
    <t>Sphyrnidae</t>
  </si>
  <si>
    <t>Hammerhead sharks, etc. nei</t>
  </si>
  <si>
    <t>Requins marteau, etc. nca</t>
  </si>
  <si>
    <t>Cornudas, etc. nep</t>
  </si>
  <si>
    <t>CYP</t>
  </si>
  <si>
    <t>SYR</t>
  </si>
  <si>
    <t>SAU</t>
  </si>
  <si>
    <t>Scomberesox saurus</t>
  </si>
  <si>
    <t>Atlantic saury</t>
  </si>
  <si>
    <t>Balaou atlantique</t>
  </si>
  <si>
    <t>Paparda del Atlántico</t>
  </si>
  <si>
    <t>Thunnus thynnus</t>
  </si>
  <si>
    <t>Sex</t>
  </si>
  <si>
    <t>U</t>
  </si>
  <si>
    <t>M</t>
  </si>
  <si>
    <t>Male</t>
  </si>
  <si>
    <t>F</t>
  </si>
  <si>
    <t>Female</t>
  </si>
  <si>
    <t>I</t>
  </si>
  <si>
    <t>Immature</t>
  </si>
  <si>
    <t>T02</t>
  </si>
  <si>
    <t>T01</t>
  </si>
  <si>
    <t>T03</t>
  </si>
  <si>
    <t>T02 Sex codes</t>
  </si>
  <si>
    <t>T03 Release/Recovery Stages</t>
  </si>
  <si>
    <t>StandardFormats</t>
  </si>
  <si>
    <t>fmtLatitude</t>
  </si>
  <si>
    <t>fmtLongitude</t>
  </si>
  <si>
    <t>T04</t>
  </si>
  <si>
    <t>T05</t>
  </si>
  <si>
    <t>dddmmss[EW]</t>
  </si>
  <si>
    <t>FlagName</t>
  </si>
  <si>
    <t>DZA</t>
  </si>
  <si>
    <t>Algerie</t>
  </si>
  <si>
    <t>ARG</t>
  </si>
  <si>
    <t>Argentina</t>
  </si>
  <si>
    <t>BRA</t>
  </si>
  <si>
    <t>CAN</t>
  </si>
  <si>
    <t>Canada</t>
  </si>
  <si>
    <t>TAI</t>
  </si>
  <si>
    <t>Chinese Taipei</t>
  </si>
  <si>
    <t>CUB</t>
  </si>
  <si>
    <t>Cuba</t>
  </si>
  <si>
    <t>JPN</t>
  </si>
  <si>
    <t>Japan</t>
  </si>
  <si>
    <t>KOR</t>
  </si>
  <si>
    <t>LBY</t>
  </si>
  <si>
    <t>Libya</t>
  </si>
  <si>
    <t>MAR</t>
  </si>
  <si>
    <t>Maroc</t>
  </si>
  <si>
    <t>NOR</t>
  </si>
  <si>
    <t>Norway</t>
  </si>
  <si>
    <t>ZAF</t>
  </si>
  <si>
    <t>South Africa</t>
  </si>
  <si>
    <t>Tunisie</t>
  </si>
  <si>
    <t>TUR</t>
  </si>
  <si>
    <t>USA</t>
  </si>
  <si>
    <t>GHA</t>
  </si>
  <si>
    <t>Ghana</t>
  </si>
  <si>
    <t>PAN</t>
  </si>
  <si>
    <t>Panama</t>
  </si>
  <si>
    <t>VEN</t>
  </si>
  <si>
    <t>Venezuela</t>
  </si>
  <si>
    <t>GRD</t>
  </si>
  <si>
    <t>Grenada</t>
  </si>
  <si>
    <t>MEX</t>
  </si>
  <si>
    <t>Mexico</t>
  </si>
  <si>
    <t>AGO</t>
  </si>
  <si>
    <t>Angola</t>
  </si>
  <si>
    <t>DOM</t>
  </si>
  <si>
    <t>Dominican Republic</t>
  </si>
  <si>
    <t>ISR</t>
  </si>
  <si>
    <t>Israel</t>
  </si>
  <si>
    <t>LBN</t>
  </si>
  <si>
    <t>Lebanon</t>
  </si>
  <si>
    <t>SLE</t>
  </si>
  <si>
    <t>Sierra Leone</t>
  </si>
  <si>
    <t>TTO</t>
  </si>
  <si>
    <t>Trinidad and Tobago</t>
  </si>
  <si>
    <t>URY</t>
  </si>
  <si>
    <t>Uruguay</t>
  </si>
  <si>
    <t>VIR</t>
  </si>
  <si>
    <t>US Virgin Islands</t>
  </si>
  <si>
    <t>CIV</t>
  </si>
  <si>
    <t>LBR</t>
  </si>
  <si>
    <t>Liberia</t>
  </si>
  <si>
    <t>ROU</t>
  </si>
  <si>
    <t>SEN</t>
  </si>
  <si>
    <t>Senegal</t>
  </si>
  <si>
    <t>PRI</t>
  </si>
  <si>
    <t>Puerto Rico</t>
  </si>
  <si>
    <t>EGY</t>
  </si>
  <si>
    <t>Egypt</t>
  </si>
  <si>
    <t>COL</t>
  </si>
  <si>
    <t>Colombia</t>
  </si>
  <si>
    <t>BRB</t>
  </si>
  <si>
    <t>Barbados</t>
  </si>
  <si>
    <t>CPV</t>
  </si>
  <si>
    <t>Cape Verde</t>
  </si>
  <si>
    <t>BEN</t>
  </si>
  <si>
    <t>Benin</t>
  </si>
  <si>
    <t>GAB</t>
  </si>
  <si>
    <t>Gabon</t>
  </si>
  <si>
    <t>COG</t>
  </si>
  <si>
    <t>Congo</t>
  </si>
  <si>
    <t>HND</t>
  </si>
  <si>
    <t>Honduras</t>
  </si>
  <si>
    <t>TGO</t>
  </si>
  <si>
    <t>Togo</t>
  </si>
  <si>
    <t>CYM</t>
  </si>
  <si>
    <t>Cayman Islands</t>
  </si>
  <si>
    <t>LCA</t>
  </si>
  <si>
    <t>STP</t>
  </si>
  <si>
    <t>GNQ</t>
  </si>
  <si>
    <t>Guinea Ecuatorial</t>
  </si>
  <si>
    <t>MRT</t>
  </si>
  <si>
    <t>Mauritania</t>
  </si>
  <si>
    <t>CMR</t>
  </si>
  <si>
    <t>Cameroon</t>
  </si>
  <si>
    <t>NGA</t>
  </si>
  <si>
    <t>Nigeria</t>
  </si>
  <si>
    <t>ABW</t>
  </si>
  <si>
    <t>Aruba</t>
  </si>
  <si>
    <t>GNB</t>
  </si>
  <si>
    <t>Guinea Bissau</t>
  </si>
  <si>
    <t>HRV</t>
  </si>
  <si>
    <t>RUS</t>
  </si>
  <si>
    <t>Russian Federation</t>
  </si>
  <si>
    <t>GIN</t>
  </si>
  <si>
    <t>UKR</t>
  </si>
  <si>
    <t>Ukraine</t>
  </si>
  <si>
    <t>VCT</t>
  </si>
  <si>
    <t>NAM</t>
  </si>
  <si>
    <t>Namibia</t>
  </si>
  <si>
    <t>ATG</t>
  </si>
  <si>
    <t>Antigua and Barbuda</t>
  </si>
  <si>
    <t>JAM</t>
  </si>
  <si>
    <t>Jamaica</t>
  </si>
  <si>
    <t>DMA</t>
  </si>
  <si>
    <t>Dominica</t>
  </si>
  <si>
    <t>CHN</t>
  </si>
  <si>
    <t>GUY</t>
  </si>
  <si>
    <t>Guyana</t>
  </si>
  <si>
    <t>Belize</t>
  </si>
  <si>
    <t>CRI</t>
  </si>
  <si>
    <t>Costa Rica</t>
  </si>
  <si>
    <t>GEO</t>
  </si>
  <si>
    <t>Georgia</t>
  </si>
  <si>
    <t>GMB</t>
  </si>
  <si>
    <t>Gambia</t>
  </si>
  <si>
    <t>Albania</t>
  </si>
  <si>
    <t>ISL</t>
  </si>
  <si>
    <t>Iceland</t>
  </si>
  <si>
    <t>Belarus</t>
  </si>
  <si>
    <t>FRO</t>
  </si>
  <si>
    <t>Faroe Islands</t>
  </si>
  <si>
    <t>PHL</t>
  </si>
  <si>
    <t>Philippines</t>
  </si>
  <si>
    <t>KHM</t>
  </si>
  <si>
    <t>Cambodia</t>
  </si>
  <si>
    <t>FLK</t>
  </si>
  <si>
    <t>Falklands</t>
  </si>
  <si>
    <t>PSE</t>
  </si>
  <si>
    <t>Seychelles</t>
  </si>
  <si>
    <t>KNA</t>
  </si>
  <si>
    <t>Saint Kitts and Nevis</t>
  </si>
  <si>
    <t>MUS</t>
  </si>
  <si>
    <t>Mauritius</t>
  </si>
  <si>
    <t>IND</t>
  </si>
  <si>
    <t>India</t>
  </si>
  <si>
    <t>VUT</t>
  </si>
  <si>
    <t>Vanuatu</t>
  </si>
  <si>
    <t>IRN</t>
  </si>
  <si>
    <t>MYS</t>
  </si>
  <si>
    <t>Malaysia</t>
  </si>
  <si>
    <t>GTM</t>
  </si>
  <si>
    <t>Guatemala</t>
  </si>
  <si>
    <t>SLV</t>
  </si>
  <si>
    <t>El Salvador</t>
  </si>
  <si>
    <t>AIA</t>
  </si>
  <si>
    <t>Anguilla</t>
  </si>
  <si>
    <t>THA</t>
  </si>
  <si>
    <t>Thailand</t>
  </si>
  <si>
    <t>CHL</t>
  </si>
  <si>
    <t>Chile</t>
  </si>
  <si>
    <t>NIC</t>
  </si>
  <si>
    <t>Nicaragua</t>
  </si>
  <si>
    <t>BHS</t>
  </si>
  <si>
    <t>Bahamas</t>
  </si>
  <si>
    <t>SUR</t>
  </si>
  <si>
    <t>Suriname</t>
  </si>
  <si>
    <t>ECU</t>
  </si>
  <si>
    <t>Ecuador</t>
  </si>
  <si>
    <t>AUS</t>
  </si>
  <si>
    <t>Australia</t>
  </si>
  <si>
    <t>FJI</t>
  </si>
  <si>
    <t>Fiji Islands</t>
  </si>
  <si>
    <t>GUM</t>
  </si>
  <si>
    <t>Guam</t>
  </si>
  <si>
    <t>IDN</t>
  </si>
  <si>
    <t>Indonesia</t>
  </si>
  <si>
    <t>KIR</t>
  </si>
  <si>
    <t>Kiribati</t>
  </si>
  <si>
    <t>MDV</t>
  </si>
  <si>
    <t>Maldives</t>
  </si>
  <si>
    <t>PNG</t>
  </si>
  <si>
    <t>Papua New Guinea</t>
  </si>
  <si>
    <t>LKA</t>
  </si>
  <si>
    <t>Sri Lanka</t>
  </si>
  <si>
    <t>VNM</t>
  </si>
  <si>
    <t>SGP</t>
  </si>
  <si>
    <t>Singapore</t>
  </si>
  <si>
    <t>OMN</t>
  </si>
  <si>
    <t>Oman</t>
  </si>
  <si>
    <t>NZL</t>
  </si>
  <si>
    <t>New Zealand</t>
  </si>
  <si>
    <t>FSM</t>
  </si>
  <si>
    <t>Micronesia</t>
  </si>
  <si>
    <t>COK</t>
  </si>
  <si>
    <t>Cook Islands</t>
  </si>
  <si>
    <t>BOL</t>
  </si>
  <si>
    <t>Bolivia</t>
  </si>
  <si>
    <t>PLW</t>
  </si>
  <si>
    <t>Palau</t>
  </si>
  <si>
    <t>TON</t>
  </si>
  <si>
    <t>Tonga</t>
  </si>
  <si>
    <t>KEN</t>
  </si>
  <si>
    <t>Kenya</t>
  </si>
  <si>
    <t>PYF</t>
  </si>
  <si>
    <t>Polynesie Française</t>
  </si>
  <si>
    <t>UNCL</t>
  </si>
  <si>
    <t>TWN</t>
  </si>
  <si>
    <t>BEL</t>
  </si>
  <si>
    <t>BGR</t>
  </si>
  <si>
    <t>DNK</t>
  </si>
  <si>
    <t>ESP</t>
  </si>
  <si>
    <t>EST</t>
  </si>
  <si>
    <t>FRA</t>
  </si>
  <si>
    <t>DEU</t>
  </si>
  <si>
    <t>GRC</t>
  </si>
  <si>
    <t>IRL</t>
  </si>
  <si>
    <t>ITA</t>
  </si>
  <si>
    <t>LVA</t>
  </si>
  <si>
    <t>LTU</t>
  </si>
  <si>
    <t>MLT</t>
  </si>
  <si>
    <t>NLD</t>
  </si>
  <si>
    <t>POL</t>
  </si>
  <si>
    <t>PRT</t>
  </si>
  <si>
    <t>SVN</t>
  </si>
  <si>
    <t>SWE</t>
  </si>
  <si>
    <t>SPM</t>
  </si>
  <si>
    <t>BMU</t>
  </si>
  <si>
    <t>VGB</t>
  </si>
  <si>
    <t>SHN</t>
  </si>
  <si>
    <t>TCA</t>
  </si>
  <si>
    <t>OTH</t>
  </si>
  <si>
    <t>OTHR</t>
  </si>
  <si>
    <t>GearName</t>
  </si>
  <si>
    <t>LL</t>
  </si>
  <si>
    <t>Longline</t>
  </si>
  <si>
    <t>LLMB</t>
  </si>
  <si>
    <t>PSG</t>
  </si>
  <si>
    <t>Purse seine: Large scale (over 200 MT capacity)</t>
  </si>
  <si>
    <t>Purse seine</t>
  </si>
  <si>
    <t>PSS</t>
  </si>
  <si>
    <t>Purse seine: Small scale (less than 50 MT capacity)</t>
  </si>
  <si>
    <t>PSD</t>
  </si>
  <si>
    <t>Purse seine: Double-boats</t>
  </si>
  <si>
    <t>TROL</t>
  </si>
  <si>
    <t>Troll</t>
  </si>
  <si>
    <t>TRAP</t>
  </si>
  <si>
    <t>Trap</t>
  </si>
  <si>
    <t>TRAW</t>
  </si>
  <si>
    <t>Trawl</t>
  </si>
  <si>
    <t>BBI</t>
  </si>
  <si>
    <t>Baitboat: Ice-well</t>
  </si>
  <si>
    <t>BBF</t>
  </si>
  <si>
    <t>Baitboat: Freezer</t>
  </si>
  <si>
    <t>BB</t>
  </si>
  <si>
    <t>Baitboat</t>
  </si>
  <si>
    <t>HARP</t>
  </si>
  <si>
    <t>Harpoon</t>
  </si>
  <si>
    <t>HAND</t>
  </si>
  <si>
    <t>PSM</t>
  </si>
  <si>
    <t>Purse seine: Medium scale (between 50 and 200 MT capacity)</t>
  </si>
  <si>
    <t>PSLB</t>
  </si>
  <si>
    <t>Purse seine: Using live bait</t>
  </si>
  <si>
    <t>RR</t>
  </si>
  <si>
    <t>GILL</t>
  </si>
  <si>
    <t>Gillnet: Drift net</t>
  </si>
  <si>
    <t>PSFB</t>
  </si>
  <si>
    <t>Purse seine: Catching large fish</t>
  </si>
  <si>
    <t>PSFS</t>
  </si>
  <si>
    <t>Purse seine: Catching small fish</t>
  </si>
  <si>
    <t>RRFB</t>
  </si>
  <si>
    <t>RRFS</t>
  </si>
  <si>
    <t>HS</t>
  </si>
  <si>
    <t>Haul seine</t>
  </si>
  <si>
    <t>TN</t>
  </si>
  <si>
    <t>Trammel net</t>
  </si>
  <si>
    <t>TL</t>
  </si>
  <si>
    <t>Tended line</t>
  </si>
  <si>
    <t>LLALB</t>
  </si>
  <si>
    <t>LLJAP</t>
  </si>
  <si>
    <t>LLPB</t>
  </si>
  <si>
    <t>GILLM</t>
  </si>
  <si>
    <t>LLBFT</t>
  </si>
  <si>
    <t>LLSWO</t>
  </si>
  <si>
    <t>LL-surf</t>
  </si>
  <si>
    <t>Longline: Surface</t>
  </si>
  <si>
    <t>TRAPM</t>
  </si>
  <si>
    <t>GILLALB</t>
  </si>
  <si>
    <t>GILLSWO</t>
  </si>
  <si>
    <t>BBALB</t>
  </si>
  <si>
    <t>LL-Shrk</t>
  </si>
  <si>
    <t>TRAP-S</t>
  </si>
  <si>
    <t>T01 Species (Tunas &amp; sharks) standard codes</t>
  </si>
  <si>
    <t>T05 Gear codes</t>
  </si>
  <si>
    <t>SchoolType</t>
  </si>
  <si>
    <t>FAD</t>
  </si>
  <si>
    <t>Floating Associated Devices</t>
  </si>
  <si>
    <t>FSC</t>
  </si>
  <si>
    <t>Free School</t>
  </si>
  <si>
    <t>LOG</t>
  </si>
  <si>
    <t>Log-associated</t>
  </si>
  <si>
    <t>SMO</t>
  </si>
  <si>
    <t>Seamount-associated</t>
  </si>
  <si>
    <t>MAM</t>
  </si>
  <si>
    <t>Mammal-associated</t>
  </si>
  <si>
    <t>Whale-shark associated</t>
  </si>
  <si>
    <t>JUP</t>
  </si>
  <si>
    <t>BAI</t>
  </si>
  <si>
    <t>Jumping (used by JPN)</t>
  </si>
  <si>
    <t>Bait (used by JPN)</t>
  </si>
  <si>
    <t>N/A</t>
  </si>
  <si>
    <t>Not Applicable (to current gear)</t>
  </si>
  <si>
    <t>T06</t>
  </si>
  <si>
    <t>T06 School types</t>
  </si>
  <si>
    <t>PersonType</t>
  </si>
  <si>
    <t>OBSR</t>
  </si>
  <si>
    <t>OWNR</t>
  </si>
  <si>
    <t>Vessel owner</t>
  </si>
  <si>
    <t>CREW</t>
  </si>
  <si>
    <t>Vessel crew member</t>
  </si>
  <si>
    <t>SKIP</t>
  </si>
  <si>
    <t>Skipper of the vessel (captain)</t>
  </si>
  <si>
    <t>BaitType</t>
  </si>
  <si>
    <t>S</t>
  </si>
  <si>
    <t>E</t>
  </si>
  <si>
    <t>K</t>
  </si>
  <si>
    <t>B</t>
  </si>
  <si>
    <t>O</t>
  </si>
  <si>
    <t>P</t>
  </si>
  <si>
    <t>H</t>
  </si>
  <si>
    <t>T</t>
  </si>
  <si>
    <t>A</t>
  </si>
  <si>
    <t>D</t>
  </si>
  <si>
    <t>L</t>
  </si>
  <si>
    <t>N</t>
  </si>
  <si>
    <t>Squid</t>
  </si>
  <si>
    <t>Squid (Blue Dyed)</t>
  </si>
  <si>
    <t>Mackerel</t>
  </si>
  <si>
    <t>Ballyhoo</t>
  </si>
  <si>
    <t>Mullet</t>
  </si>
  <si>
    <t>Big-Eye Scad</t>
  </si>
  <si>
    <t>Blue Runner</t>
  </si>
  <si>
    <t>Pinfish</t>
  </si>
  <si>
    <t>Threadfin Herring</t>
  </si>
  <si>
    <t>Tuna</t>
  </si>
  <si>
    <t>Artificial Bait/Lure</t>
  </si>
  <si>
    <t>Dead Bait</t>
  </si>
  <si>
    <t>Live Bait</t>
  </si>
  <si>
    <t>No Bait</t>
  </si>
  <si>
    <t>float</t>
  </si>
  <si>
    <t>LenType</t>
  </si>
  <si>
    <t>FL</t>
  </si>
  <si>
    <t>LD1</t>
  </si>
  <si>
    <t>1st dorsal (LD1)</t>
  </si>
  <si>
    <t>STD</t>
  </si>
  <si>
    <t>Standard</t>
  </si>
  <si>
    <t>LJF</t>
  </si>
  <si>
    <t>Lower Jaw fork length</t>
  </si>
  <si>
    <t>EYF</t>
  </si>
  <si>
    <t>Eye-fork</t>
  </si>
  <si>
    <t>TLE</t>
  </si>
  <si>
    <t>Total length</t>
  </si>
  <si>
    <t>CFL</t>
  </si>
  <si>
    <t>PAL</t>
  </si>
  <si>
    <t>Pectoral -&gt; Anal length</t>
  </si>
  <si>
    <t>PFL</t>
  </si>
  <si>
    <t>Pectoral -&gt; Fork Length</t>
  </si>
  <si>
    <t>CKL</t>
  </si>
  <si>
    <t>Cleithorum to Keel</t>
  </si>
  <si>
    <t>Curved fork length</t>
  </si>
  <si>
    <t>LenMethod</t>
  </si>
  <si>
    <t>Measured (unk. tech.)</t>
  </si>
  <si>
    <t>EWL</t>
  </si>
  <si>
    <t>Estimated (W/L rel.)</t>
  </si>
  <si>
    <t>MMT</t>
  </si>
  <si>
    <t>MCA</t>
  </si>
  <si>
    <t>Measured (unknown method)</t>
  </si>
  <si>
    <t>Estimated (unknown method)</t>
  </si>
  <si>
    <t>Estimated (W/L relationship)</t>
  </si>
  <si>
    <t>Measured (metric tape)</t>
  </si>
  <si>
    <t>EFR</t>
  </si>
  <si>
    <t>Estimated (photo referencing techniques)</t>
  </si>
  <si>
    <t>Measured (calliper)</t>
  </si>
  <si>
    <t>WgtType</t>
  </si>
  <si>
    <t>Round weight</t>
  </si>
  <si>
    <t>Fillet</t>
  </si>
  <si>
    <t>OT</t>
  </si>
  <si>
    <t>RD</t>
  </si>
  <si>
    <t>Dressed weight</t>
  </si>
  <si>
    <t>DR</t>
  </si>
  <si>
    <t>WgtMethod</t>
  </si>
  <si>
    <t>Estimated (unk. tech.)</t>
  </si>
  <si>
    <t>MDY</t>
  </si>
  <si>
    <t>Release 1 (NO Recovery 1)</t>
  </si>
  <si>
    <t>Release 2 (NO Recovery 2)</t>
  </si>
  <si>
    <t>Release 3 (NO Recovery 3)</t>
  </si>
  <si>
    <t>InjuryState</t>
  </si>
  <si>
    <t>Perfect (no visual damage)</t>
  </si>
  <si>
    <t>Moderate (superficial damage)</t>
  </si>
  <si>
    <t>Severe (could affect survival)</t>
  </si>
  <si>
    <t>SST
(°C)</t>
  </si>
  <si>
    <t>BWindSpeedID</t>
  </si>
  <si>
    <t>BwsDescriptEN</t>
  </si>
  <si>
    <t>BwsDescriptES</t>
  </si>
  <si>
    <t>BwsDescriptFR</t>
  </si>
  <si>
    <t>Bws_knots</t>
  </si>
  <si>
    <t>Calm</t>
  </si>
  <si>
    <t>calma</t>
  </si>
  <si>
    <t>0</t>
  </si>
  <si>
    <t>Light air</t>
  </si>
  <si>
    <t>ventolina</t>
  </si>
  <si>
    <t>1-3</t>
  </si>
  <si>
    <t>Light breeze</t>
  </si>
  <si>
    <t>flojito</t>
  </si>
  <si>
    <t>4-6</t>
  </si>
  <si>
    <t>Gentle breeze</t>
  </si>
  <si>
    <t xml:space="preserve">flojo </t>
  </si>
  <si>
    <t>7-10</t>
  </si>
  <si>
    <t>Moderate breeze</t>
  </si>
  <si>
    <t xml:space="preserve">bonancible- moderado </t>
  </si>
  <si>
    <t>11-15</t>
  </si>
  <si>
    <t>Fresh breeze</t>
  </si>
  <si>
    <t xml:space="preserve">fresquito </t>
  </si>
  <si>
    <t>16-21</t>
  </si>
  <si>
    <t>Strong breeze</t>
  </si>
  <si>
    <t xml:space="preserve">fresco </t>
  </si>
  <si>
    <t>22-27</t>
  </si>
  <si>
    <t>Near gale</t>
  </si>
  <si>
    <t xml:space="preserve">frescachón </t>
  </si>
  <si>
    <t>28-33</t>
  </si>
  <si>
    <t>Gale</t>
  </si>
  <si>
    <t xml:space="preserve">temporal </t>
  </si>
  <si>
    <t>34-40</t>
  </si>
  <si>
    <t>Severe gale</t>
  </si>
  <si>
    <t xml:space="preserve">temporal fuerte </t>
  </si>
  <si>
    <t>41-47</t>
  </si>
  <si>
    <t>Storm</t>
  </si>
  <si>
    <t xml:space="preserve">temporal duro </t>
  </si>
  <si>
    <t>48-55</t>
  </si>
  <si>
    <t>Violent storm</t>
  </si>
  <si>
    <t xml:space="preserve">temporal muy duro </t>
  </si>
  <si>
    <t>56-63</t>
  </si>
  <si>
    <t>Hurricane</t>
  </si>
  <si>
    <t xml:space="preserve">temporal huracanado </t>
  </si>
  <si>
    <t>64-80</t>
  </si>
  <si>
    <t>Très légère brise</t>
  </si>
  <si>
    <t>Légère brise</t>
  </si>
  <si>
    <t>Petite brise</t>
  </si>
  <si>
    <t>Jolie brise</t>
  </si>
  <si>
    <t>Bonne brise</t>
  </si>
  <si>
    <t>Vent frais</t>
  </si>
  <si>
    <t>Grand frais</t>
  </si>
  <si>
    <t>Coup de vent</t>
  </si>
  <si>
    <t>Fort coup de vent</t>
  </si>
  <si>
    <t>Tempête</t>
  </si>
  <si>
    <t>Violente tempête</t>
  </si>
  <si>
    <t>Ouragan</t>
  </si>
  <si>
    <t>RecPlace</t>
  </si>
  <si>
    <t>VESS</t>
  </si>
  <si>
    <t>On board vessel</t>
  </si>
  <si>
    <t>CACL</t>
  </si>
  <si>
    <t>Cannery (cutting line)</t>
  </si>
  <si>
    <t>CACK</t>
  </si>
  <si>
    <t>Cannery (Cooker)</t>
  </si>
  <si>
    <t>UNLO</t>
  </si>
  <si>
    <t>At unloading</t>
  </si>
  <si>
    <t>TRAN</t>
  </si>
  <si>
    <t>RERC</t>
  </si>
  <si>
    <t>When caught and Re-released</t>
  </si>
  <si>
    <t>FISM</t>
  </si>
  <si>
    <t>TAXD</t>
  </si>
  <si>
    <t>CACS</t>
  </si>
  <si>
    <t>Canary (found by a consumer)</t>
  </si>
  <si>
    <t>SMKH</t>
  </si>
  <si>
    <t>Smoke house</t>
  </si>
  <si>
    <t>During Transhipment</t>
  </si>
  <si>
    <t>Fish-market</t>
  </si>
  <si>
    <t>Taxidermist</t>
  </si>
  <si>
    <t>fmtTagCodes</t>
  </si>
  <si>
    <t>XX999999</t>
  </si>
  <si>
    <t>XXX999999</t>
  </si>
  <si>
    <t>string</t>
  </si>
  <si>
    <t>Others</t>
  </si>
  <si>
    <t>head</t>
  </si>
  <si>
    <t>mouth</t>
  </si>
  <si>
    <t>eyes</t>
  </si>
  <si>
    <t>skin</t>
  </si>
  <si>
    <t>fins</t>
  </si>
  <si>
    <t>body</t>
  </si>
  <si>
    <t>EXCL</t>
  </si>
  <si>
    <t>Excelent</t>
  </si>
  <si>
    <t>GOOD</t>
  </si>
  <si>
    <t>Good</t>
  </si>
  <si>
    <t>POOR</t>
  </si>
  <si>
    <t>Poor</t>
  </si>
  <si>
    <t>QualinfoScore</t>
  </si>
  <si>
    <t>SUFF</t>
  </si>
  <si>
    <t>School type</t>
  </si>
  <si>
    <t>Survey acron</t>
  </si>
  <si>
    <t>Released again ?</t>
  </si>
  <si>
    <t>Scientific check ?</t>
  </si>
  <si>
    <t>Value</t>
  </si>
  <si>
    <t>Clear</t>
  </si>
  <si>
    <t>&lt; 10%</t>
  </si>
  <si>
    <t>Scattered (partly cloudy)</t>
  </si>
  <si>
    <t>10% - 50%</t>
  </si>
  <si>
    <t>Broken (mostly cloudy)</t>
  </si>
  <si>
    <t>50% - 90%</t>
  </si>
  <si>
    <t>Overcast</t>
  </si>
  <si>
    <t>&gt;90%</t>
  </si>
  <si>
    <t>Obscured</t>
  </si>
  <si>
    <t>100%</t>
  </si>
  <si>
    <t>SkyCoverage</t>
  </si>
  <si>
    <t>SkyCoverRatioClouds</t>
  </si>
  <si>
    <t>Coverage
(scale/%)</t>
  </si>
  <si>
    <t>CLEA</t>
  </si>
  <si>
    <t>SCAT</t>
  </si>
  <si>
    <t>BROK</t>
  </si>
  <si>
    <t>OVCA</t>
  </si>
  <si>
    <t>OBSC</t>
  </si>
  <si>
    <t>T07 Bait types</t>
  </si>
  <si>
    <t>T15 Sea state (Douglas scale)</t>
  </si>
  <si>
    <t>T16 Wind Speed (Beauford scale)</t>
  </si>
  <si>
    <t>T17 Sky coverage</t>
  </si>
  <si>
    <t>T18 Person Types (Tagger/Recoverer)</t>
  </si>
  <si>
    <t>T19 Recovery Places (locations)</t>
  </si>
  <si>
    <t>unk</t>
  </si>
  <si>
    <t>TagType</t>
  </si>
  <si>
    <t>Patersen Disc</t>
  </si>
  <si>
    <t>Internal archival (anchored)</t>
  </si>
  <si>
    <t>T21 Tag types</t>
  </si>
  <si>
    <t>oth1</t>
  </si>
  <si>
    <t>Header</t>
  </si>
  <si>
    <t>T22 Tag colors</t>
  </si>
  <si>
    <t>E-mail</t>
  </si>
  <si>
    <t>Tagging correspondent</t>
  </si>
  <si>
    <t>Secretariat use only</t>
  </si>
  <si>
    <t>Detail</t>
  </si>
  <si>
    <t>T20 Quality Info scores (QC)</t>
  </si>
  <si>
    <t>Name (complete)</t>
  </si>
  <si>
    <t>Person Type</t>
  </si>
  <si>
    <t>Vessel ID</t>
  </si>
  <si>
    <t>Person ID</t>
  </si>
  <si>
    <t>Tagger ?</t>
  </si>
  <si>
    <t>Recapturer ?</t>
  </si>
  <si>
    <t>Address (complete)</t>
  </si>
  <si>
    <t>Pop-up</t>
  </si>
  <si>
    <t>Description</t>
  </si>
  <si>
    <t>±dd.ddddd</t>
  </si>
  <si>
    <t>±ddd.ddddd</t>
  </si>
  <si>
    <t>General</t>
  </si>
  <si>
    <t>n/a</t>
  </si>
  <si>
    <t>Gear used to catch recovered specimen (ICCAT Gear codes)</t>
  </si>
  <si>
    <t>Gear used to catch the fish released (ICCAT Gear codes)</t>
  </si>
  <si>
    <t>Length type used for measuring the fish released (default = FL: strait fork length)</t>
  </si>
  <si>
    <t>Length type used for measuring the fish recovered (default = FL: strait fork length)</t>
  </si>
  <si>
    <t>Weight at release</t>
  </si>
  <si>
    <t>Weight type used for measuring the fish released (default = RD: round weight)</t>
  </si>
  <si>
    <t>Global (overall) condition of fish at release (ICCAT Injury scale codes)</t>
  </si>
  <si>
    <t>Head state/condition of fish at release (ICCAT Injury scale codes)</t>
  </si>
  <si>
    <t>Mouth state/condition of fish at release (ICCAT Injury scale codes)</t>
  </si>
  <si>
    <t>Eyes state/condition of fish at release (ICCAT Injury scale codes)</t>
  </si>
  <si>
    <t>Skin state/condition of fish at release (ICCAT Injury scale codes)</t>
  </si>
  <si>
    <t>Fins state/condition of fish at release (ICCAT Injury scale codes)</t>
  </si>
  <si>
    <t>Body state/condition of fish at release (ICCAT Injury scale codes)</t>
  </si>
  <si>
    <t>Head state/condition of fish at recovery (ICCAT Injury scale codes)</t>
  </si>
  <si>
    <t>Mouth state/condition of fish at recovery (ICCAT Injury scale codes)</t>
  </si>
  <si>
    <t>Eyes state/condition of fish at recovery (ICCAT Injury scale codes)</t>
  </si>
  <si>
    <t>Skin state/condition of fish at recovery (ICCAT Injury scale codes)</t>
  </si>
  <si>
    <t>Fins state/condition of fish at recovery (ICCAT Injury scale codes)</t>
  </si>
  <si>
    <t>Body state/condition of fish at recovery (ICCAT Injury scale codes)</t>
  </si>
  <si>
    <t>Global (overall) condition of fish at recovery (ICCAT Injury scale codes)</t>
  </si>
  <si>
    <t>Bait used (mostly hooks &amp; lines) on catch of fish released</t>
  </si>
  <si>
    <t>Depth of the catch of the fish released (mostly hooks &amp; lines)</t>
  </si>
  <si>
    <t>Release additional notes</t>
  </si>
  <si>
    <t>Sufficient</t>
  </si>
  <si>
    <t>Overall qualitative evaluation score made by a qualified Scientist (see scale on table T20)</t>
  </si>
  <si>
    <t>Sea surface temperature (degrees celsius) at recovery</t>
  </si>
  <si>
    <t>Weight type used for measuring the fish recovered (default = RD: round weight)</t>
  </si>
  <si>
    <t>Recovery additional notes (eg: put "orphan recovery" if for agiven recovery no release data exists)</t>
  </si>
  <si>
    <t>Weight at recovery</t>
  </si>
  <si>
    <t>Sea state at release (Douglas scale)</t>
  </si>
  <si>
    <t>Wind speed at release (Beauford scale)</t>
  </si>
  <si>
    <t>Sky coverage at release (choose from standard scale or put a % from 0 to 100%)</t>
  </si>
  <si>
    <t>Method used to obtain Length at release</t>
  </si>
  <si>
    <t>Method used to obtain Weight at release</t>
  </si>
  <si>
    <t>Method used to obtain Length at recovery</t>
  </si>
  <si>
    <t>Method used to obtain Weight at recovery</t>
  </si>
  <si>
    <t>If no geographical coordinates (Lat/Lon) are provided, describe the geographical area of release</t>
  </si>
  <si>
    <t>If no geographical coordinates (Lat/Lon) are provided, describe the geographical area of recovery</t>
  </si>
  <si>
    <t>ICCAT species code</t>
  </si>
  <si>
    <t>ICCAT sex code</t>
  </si>
  <si>
    <t>Survey acronym associated to the release event. Leave blank if it is an opportunistic tagging</t>
  </si>
  <si>
    <t>Sea surface temperature (degrees Celsius) at release</t>
  </si>
  <si>
    <t>Define the fishing operation mode (FAD's, Free school, etc) during release operation</t>
  </si>
  <si>
    <t>Define the fishing operation mode (FAD's, Free school, etc) during recovery operation</t>
  </si>
  <si>
    <t>ICCAT standard code to specify the Release/Recovery event (see definitions on table)</t>
  </si>
  <si>
    <t>Date (unique format) of release operation</t>
  </si>
  <si>
    <t>Hour (unique format) of of release operation</t>
  </si>
  <si>
    <t>Specimen unique number that identifies uniquely a fish (usually 1 number per row, except in mult-released fish)</t>
  </si>
  <si>
    <t>Date (unique format) of recovery operation</t>
  </si>
  <si>
    <t>Hour (unique format) of of recovery operation</t>
  </si>
  <si>
    <t>Length of fish at release</t>
  </si>
  <si>
    <t>Length of fish at recovery</t>
  </si>
  <si>
    <t>Survey acronym associated to the recovery event. Leave blank "none"</t>
  </si>
  <si>
    <t>ICCAT code identifying the place of recovery of the fish (at sea, market, canary, etc.)</t>
  </si>
  <si>
    <t>Section</t>
  </si>
  <si>
    <t>1st conventional Tag code. Only characters {A…Z,"-"} and 9={0…9} are allowed. Choose format</t>
  </si>
  <si>
    <t>2nd conventional Tag code. Only characters {A…Z,"-"} and 9={0…9} are allowed. Choose format if used</t>
  </si>
  <si>
    <t>3rd conventional Tag code. Only characters {A…Z,"-"} and 9={0…9} are allowed. Choose format if used</t>
  </si>
  <si>
    <t>4th conventional Tag code. Only characters {A…Z,"-"} and 9={0…9} are allowed. Choose format if used</t>
  </si>
  <si>
    <t>Release</t>
  </si>
  <si>
    <t>Recovery</t>
  </si>
  <si>
    <t>Base port/zone</t>
  </si>
  <si>
    <t>LOA (m)</t>
  </si>
  <si>
    <t>GRT (t)</t>
  </si>
  <si>
    <t>Conventional Tag release-recovery data</t>
  </si>
  <si>
    <r>
      <t xml:space="preserve">Vessel unique number (obtained after completing table </t>
    </r>
    <r>
      <rPr>
        <b/>
        <sz val="9"/>
        <color indexed="8"/>
        <rFont val="Times New Roman"/>
        <family val="1"/>
      </rPr>
      <t>Vessels</t>
    </r>
    <r>
      <rPr>
        <sz val="9"/>
        <color indexed="8"/>
        <rFont val="Times New Roman"/>
        <family val="1"/>
      </rPr>
      <t>) identifying vessel used in recovery operation</t>
    </r>
  </si>
  <si>
    <r>
      <t xml:space="preserve">Person unique number (obtained after filling in table </t>
    </r>
    <r>
      <rPr>
        <b/>
        <sz val="9"/>
        <color indexed="8"/>
        <rFont val="Times New Roman"/>
        <family val="1"/>
      </rPr>
      <t>Persons</t>
    </r>
    <r>
      <rPr>
        <sz val="9"/>
        <color indexed="8"/>
        <rFont val="Times New Roman"/>
        <family val="1"/>
      </rPr>
      <t>) identifying who recovered the fish</t>
    </r>
  </si>
  <si>
    <t>Vessel identification</t>
  </si>
  <si>
    <t>Listed in section</t>
  </si>
  <si>
    <t>Name of the vessel</t>
  </si>
  <si>
    <t>Base port of the vessel</t>
  </si>
  <si>
    <t>Flag of the vessel</t>
  </si>
  <si>
    <t>Major gear used by the vessel in release/recovery operations</t>
  </si>
  <si>
    <t>Length overall (meters)</t>
  </si>
  <si>
    <t>Gross register tonnage (t)</t>
  </si>
  <si>
    <t>Additional vessel related notes</t>
  </si>
  <si>
    <t>Category (ICCAT codes) to which this person belongs (Observer, scientist, etc.)</t>
  </si>
  <si>
    <t>Complete name of the Person (Tagger/Recoverer)</t>
  </si>
  <si>
    <t>Complete Address of the person</t>
  </si>
  <si>
    <t>Country of the person</t>
  </si>
  <si>
    <t>Email address of the person</t>
  </si>
  <si>
    <t>Phone number of the person</t>
  </si>
  <si>
    <t>(define)</t>
  </si>
  <si>
    <t>Quality info 
score</t>
  </si>
  <si>
    <t xml:space="preserve">Y(yes) if all release data was validated by a scientist/observer; N(no) if it has not been validated </t>
  </si>
  <si>
    <t xml:space="preserve">Y(yes) if all recovery data was validated by a scientist/observer; N(no) if it has not been validated </t>
  </si>
  <si>
    <t>*</t>
  </si>
  <si>
    <t>Unique number (identifier) to be used in ST-TG02 form (Vessel ID Release &amp; Recovery operations)</t>
  </si>
  <si>
    <t>Is this vessel listed in the release section of main table (ST-TG02). Yes or No.</t>
  </si>
  <si>
    <t>Unique number (identifier) to be used in ST-TG02 form (Tagger ID &amp; Recoverer ID)</t>
  </si>
  <si>
    <t>TG02-CnvTReRc</t>
  </si>
  <si>
    <t>ST-PATER</t>
  </si>
  <si>
    <t>ST-DART1</t>
  </si>
  <si>
    <t>Streamer/conventional (1 dart)</t>
  </si>
  <si>
    <t>ST-DART2</t>
  </si>
  <si>
    <t>Streamer/conventional (2 darts)</t>
  </si>
  <si>
    <t>ST-STEEL</t>
  </si>
  <si>
    <t>Streamer/conventional (Stainless steel)</t>
  </si>
  <si>
    <t>ST-WHOI</t>
  </si>
  <si>
    <t>Streamer/conventional (whoi type)</t>
  </si>
  <si>
    <t>INT-ARC</t>
  </si>
  <si>
    <t>INT-APIT</t>
  </si>
  <si>
    <t>Internal archival (Pit tag)</t>
  </si>
  <si>
    <t>INT-SONI</t>
  </si>
  <si>
    <t>Sonic (undefined)</t>
  </si>
  <si>
    <t>POP-UP</t>
  </si>
  <si>
    <t>POP-MINI</t>
  </si>
  <si>
    <t>Pop-up (mini)</t>
  </si>
  <si>
    <t>POP-ARC</t>
  </si>
  <si>
    <t>Pop-up (archival)</t>
  </si>
  <si>
    <t>CoNameEN</t>
  </si>
  <si>
    <t>CoNameFR</t>
  </si>
  <si>
    <t>CoNameES</t>
  </si>
  <si>
    <t>IccSpcGrp</t>
  </si>
  <si>
    <t>TaxonType</t>
  </si>
  <si>
    <t>Atlantic bluefin tuna</t>
  </si>
  <si>
    <t>Thon rouge de l'Atlantique</t>
  </si>
  <si>
    <t>Atún rojo del Atlántico</t>
  </si>
  <si>
    <t>1-Tuna (major sp.)</t>
  </si>
  <si>
    <t>1-Species</t>
  </si>
  <si>
    <t>Blue marlin</t>
  </si>
  <si>
    <t>Makaire bleu</t>
  </si>
  <si>
    <t>Aguja azul</t>
  </si>
  <si>
    <t>Atún aleta negra</t>
  </si>
  <si>
    <t>DOL</t>
  </si>
  <si>
    <t>Coryphaena hippurus</t>
  </si>
  <si>
    <t>Common dolphinfish</t>
  </si>
  <si>
    <t>Coryphène commune</t>
  </si>
  <si>
    <t>Lampuga</t>
  </si>
  <si>
    <t>2-Genus</t>
  </si>
  <si>
    <t>Atún rojo del Sur</t>
  </si>
  <si>
    <t>BSF</t>
  </si>
  <si>
    <t>Aphanopus carbo</t>
  </si>
  <si>
    <t>black scabbardfish</t>
  </si>
  <si>
    <t>Sabre noir</t>
  </si>
  <si>
    <t>Sable negro</t>
  </si>
  <si>
    <t>GES</t>
  </si>
  <si>
    <t>Gempylus serpens</t>
  </si>
  <si>
    <t>Snake mackerel</t>
  </si>
  <si>
    <t>Escolier serpent</t>
  </si>
  <si>
    <t>Escolar de canal</t>
  </si>
  <si>
    <t>SFS</t>
  </si>
  <si>
    <t>Lepidopus caudatus</t>
  </si>
  <si>
    <t>Silver scabbardfish</t>
  </si>
  <si>
    <t>Sabre argenté</t>
  </si>
  <si>
    <t>Pez cinto</t>
  </si>
  <si>
    <t>OIL</t>
  </si>
  <si>
    <t>Ruvettus pretiosus</t>
  </si>
  <si>
    <t>Oilfish</t>
  </si>
  <si>
    <t>Rouvet</t>
  </si>
  <si>
    <t>Escolar clavo</t>
  </si>
  <si>
    <t>LEC</t>
  </si>
  <si>
    <t>Lepidocybium flavobrunneum</t>
  </si>
  <si>
    <t>Escolar</t>
  </si>
  <si>
    <t>Escolier noir</t>
  </si>
  <si>
    <t>Escolar negro</t>
  </si>
  <si>
    <t>Tetrapturus georgii</t>
  </si>
  <si>
    <t>3-Tribe</t>
  </si>
  <si>
    <t>4-Family</t>
  </si>
  <si>
    <t>Pèlerin</t>
  </si>
  <si>
    <t>CCG</t>
  </si>
  <si>
    <t>Carcharhinus galapagensis</t>
  </si>
  <si>
    <t>Galapagos shark</t>
  </si>
  <si>
    <t>Requin des Galapagos</t>
  </si>
  <si>
    <t>Tiburón de Galápagos</t>
  </si>
  <si>
    <t>CYW</t>
  </si>
  <si>
    <t xml:space="preserve">Centroscymnus owstonii </t>
  </si>
  <si>
    <t>Roughskin dogfish</t>
  </si>
  <si>
    <t>Pailona rapeux</t>
  </si>
  <si>
    <t>Sapata lija</t>
  </si>
  <si>
    <t>ETU</t>
  </si>
  <si>
    <t>Lined lanternshark</t>
  </si>
  <si>
    <t>Sagre chien</t>
  </si>
  <si>
    <t>Tollo lucero rayado</t>
  </si>
  <si>
    <t>EUP</t>
  </si>
  <si>
    <t xml:space="preserve">pygmy shark </t>
  </si>
  <si>
    <t>Squale pygmée</t>
  </si>
  <si>
    <t>Tollo pigmeo</t>
  </si>
  <si>
    <t>EUZ</t>
  </si>
  <si>
    <t xml:space="preserve">taillight shark </t>
  </si>
  <si>
    <t>Squale à queue claire</t>
  </si>
  <si>
    <t>Tollo rabo claro</t>
  </si>
  <si>
    <t>HXN</t>
  </si>
  <si>
    <t xml:space="preserve">bigeye sixgill shark </t>
  </si>
  <si>
    <t>ISB</t>
  </si>
  <si>
    <t>Isistius brasiliensis</t>
  </si>
  <si>
    <t>Cookie cutter shark</t>
  </si>
  <si>
    <t>Squalelet féroce</t>
  </si>
  <si>
    <t>Tollo cigarro</t>
  </si>
  <si>
    <t>ISP</t>
  </si>
  <si>
    <t xml:space="preserve">largetooth cookiecutter shark </t>
  </si>
  <si>
    <t>Squalelet dentu</t>
  </si>
  <si>
    <t>Tollo cigarro dentón</t>
  </si>
  <si>
    <t>LMO</t>
  </si>
  <si>
    <t xml:space="preserve">goblin shark </t>
  </si>
  <si>
    <t>Requin lutin</t>
  </si>
  <si>
    <t>Tiburón duende</t>
  </si>
  <si>
    <t>LMP</t>
  </si>
  <si>
    <t>Megachasma pelagios</t>
  </si>
  <si>
    <t>Megamouth shark</t>
  </si>
  <si>
    <t>Requin grande guele</t>
  </si>
  <si>
    <t>Tiburón bocudo</t>
  </si>
  <si>
    <t>PLS</t>
  </si>
  <si>
    <t>Pteroplatytrygon violacea</t>
  </si>
  <si>
    <t>Pelagic stingray</t>
  </si>
  <si>
    <t>Pastenague violette</t>
  </si>
  <si>
    <t>Raya-látigo violeta</t>
  </si>
  <si>
    <t>PSK</t>
  </si>
  <si>
    <t>Pseudocarcharias kamoharai</t>
  </si>
  <si>
    <t>Crocodile shark</t>
  </si>
  <si>
    <t>Requin crocodile</t>
  </si>
  <si>
    <t>Tiburón cocodrilo</t>
  </si>
  <si>
    <t>QUL</t>
  </si>
  <si>
    <t>Squaliolus laticaudus</t>
  </si>
  <si>
    <t>Spined pygmy shark</t>
  </si>
  <si>
    <t>Squale nain</t>
  </si>
  <si>
    <t>Tollo pigmeo espinudo</t>
  </si>
  <si>
    <t>RMA</t>
  </si>
  <si>
    <t>RMB</t>
  </si>
  <si>
    <t>Manta birostris</t>
  </si>
  <si>
    <t>Giant manta</t>
  </si>
  <si>
    <t>Mante géante</t>
  </si>
  <si>
    <t>Manta gigante</t>
  </si>
  <si>
    <t>RMH</t>
  </si>
  <si>
    <t>Mobula hypostoma</t>
  </si>
  <si>
    <t>Lesser devil ray</t>
  </si>
  <si>
    <t>Mante diable</t>
  </si>
  <si>
    <t>Manta del Golfo</t>
  </si>
  <si>
    <t>RMJ</t>
  </si>
  <si>
    <t>Spinetail mobula</t>
  </si>
  <si>
    <t>RMM</t>
  </si>
  <si>
    <t>Mobula mobular</t>
  </si>
  <si>
    <t>Devil fish</t>
  </si>
  <si>
    <t>Diable de mer méditerranéen</t>
  </si>
  <si>
    <t>Manta mobula</t>
  </si>
  <si>
    <t>RMN</t>
  </si>
  <si>
    <t>Mobula rochebrunei</t>
  </si>
  <si>
    <t>Lesser Guinean devil ray</t>
  </si>
  <si>
    <t>Petit diable de Guinée</t>
  </si>
  <si>
    <t>Diablito de Guinea</t>
  </si>
  <si>
    <t>RMO</t>
  </si>
  <si>
    <t>Mobula thurstoni</t>
  </si>
  <si>
    <t>Smoothtail mobula</t>
  </si>
  <si>
    <t>Mante vampire</t>
  </si>
  <si>
    <t>Diablo chupasangre</t>
  </si>
  <si>
    <t>RMT</t>
  </si>
  <si>
    <t>Mobula tarapacana</t>
  </si>
  <si>
    <t>Chilean devil ray</t>
  </si>
  <si>
    <t>SDH</t>
  </si>
  <si>
    <t>Deania histricosa</t>
  </si>
  <si>
    <t>Rough longnose dogfish</t>
  </si>
  <si>
    <t>Squale-savate rude</t>
  </si>
  <si>
    <t>Tollo raspa</t>
  </si>
  <si>
    <t>SDU</t>
  </si>
  <si>
    <t>Arrowhead dogfish</t>
  </si>
  <si>
    <t>Squale-savate lutin</t>
  </si>
  <si>
    <t>Tollo flecha</t>
  </si>
  <si>
    <t>Requin-marteau halicorne</t>
  </si>
  <si>
    <t>Requin-marteau commun</t>
  </si>
  <si>
    <t>MAN</t>
  </si>
  <si>
    <t>Mobulidae</t>
  </si>
  <si>
    <t>Mantas, devil rays nei</t>
  </si>
  <si>
    <t>Mantes, diables de mer nca</t>
  </si>
  <si>
    <t>Mantas, diablos nep</t>
  </si>
  <si>
    <t>STT</t>
  </si>
  <si>
    <t>Dasyatidae</t>
  </si>
  <si>
    <t>Stingrays, butterfly rays nei</t>
  </si>
  <si>
    <t>Pastenagues, etc. nca</t>
  </si>
  <si>
    <t>Pastinacas, etc. nep</t>
  </si>
  <si>
    <t>CVJ</t>
  </si>
  <si>
    <t>Caranx hippos</t>
  </si>
  <si>
    <t>Crevalle jack</t>
  </si>
  <si>
    <t>Carangue crevalle</t>
  </si>
  <si>
    <t>Jurel común</t>
  </si>
  <si>
    <t>GBA</t>
  </si>
  <si>
    <t>Sphyraena barracuda</t>
  </si>
  <si>
    <t>Great barracuda</t>
  </si>
  <si>
    <t>Barracuda</t>
  </si>
  <si>
    <t>Picuda barracuda</t>
  </si>
  <si>
    <t>YTC</t>
  </si>
  <si>
    <t>Seriola lalandi</t>
  </si>
  <si>
    <t>Yellowtail amberjack</t>
  </si>
  <si>
    <t>Sériole chicard</t>
  </si>
  <si>
    <t>Medregal rabo amarillo</t>
  </si>
  <si>
    <t>POA</t>
  </si>
  <si>
    <t>Brama brama</t>
  </si>
  <si>
    <t>Atlantic pomfret</t>
  </si>
  <si>
    <t>Grande castagnole</t>
  </si>
  <si>
    <t>Japuta</t>
  </si>
  <si>
    <t>AMB</t>
  </si>
  <si>
    <t>Seriola dumerili</t>
  </si>
  <si>
    <t>Greater amberjack</t>
  </si>
  <si>
    <t>Sériole couronnée</t>
  </si>
  <si>
    <t>Pez de limón</t>
  </si>
  <si>
    <t>AWI</t>
  </si>
  <si>
    <t>Aluterus schoepfii</t>
  </si>
  <si>
    <t>Orange filefish</t>
  </si>
  <si>
    <t>Bourse orange</t>
  </si>
  <si>
    <t>Lija naranja</t>
  </si>
  <si>
    <t>BVP</t>
  </si>
  <si>
    <t>Balistes punctatus</t>
  </si>
  <si>
    <t>Bluespotted triggerfish</t>
  </si>
  <si>
    <t>Baliste à taches bleues</t>
  </si>
  <si>
    <t>Pejepuerco moteado</t>
  </si>
  <si>
    <t>EXQ</t>
  </si>
  <si>
    <t>Euleptorhamphus velox</t>
  </si>
  <si>
    <t>Flying halfbeak</t>
  </si>
  <si>
    <t>Demi-bec volant</t>
  </si>
  <si>
    <t>Agujeta voladora</t>
  </si>
  <si>
    <t>LGH</t>
  </si>
  <si>
    <t>Lagocephalus lagocephalus</t>
  </si>
  <si>
    <t>Oceanic puffer</t>
  </si>
  <si>
    <t>Compère océanique</t>
  </si>
  <si>
    <t>Tamboril liebre</t>
  </si>
  <si>
    <t>ALM</t>
  </si>
  <si>
    <t>Aluterus monoceros</t>
  </si>
  <si>
    <t>Unicorn leatherjacket filefish</t>
  </si>
  <si>
    <t>Bourse loulou</t>
  </si>
  <si>
    <t>Lija barbuda</t>
  </si>
  <si>
    <t>CBA</t>
  </si>
  <si>
    <t>Rachycentron canadum</t>
  </si>
  <si>
    <t>Cobia</t>
  </si>
  <si>
    <t>Mafou</t>
  </si>
  <si>
    <t>CFW</t>
  </si>
  <si>
    <t>Coryphaena equiselis</t>
  </si>
  <si>
    <t>Pompano dolphinfish</t>
  </si>
  <si>
    <t>Coryphène dauphin</t>
  </si>
  <si>
    <t>Dorado</t>
  </si>
  <si>
    <t>CNT</t>
  </si>
  <si>
    <t>Canthidermis maculata</t>
  </si>
  <si>
    <t>Rough triggerfish</t>
  </si>
  <si>
    <t>Baliste rude</t>
  </si>
  <si>
    <t>Calafate áspero</t>
  </si>
  <si>
    <t>DIY</t>
  </si>
  <si>
    <t>Diodon hystrix</t>
  </si>
  <si>
    <t>Spot-fin porcupinefish</t>
  </si>
  <si>
    <t>Porc-épic boubou</t>
  </si>
  <si>
    <t>Pejerizo común</t>
  </si>
  <si>
    <t>GAR</t>
  </si>
  <si>
    <t>Belone belone</t>
  </si>
  <si>
    <t>Garfish</t>
  </si>
  <si>
    <t>Orphie</t>
  </si>
  <si>
    <t>Aguja</t>
  </si>
  <si>
    <t>HMM</t>
  </si>
  <si>
    <t>Trachurus mediterraneus</t>
  </si>
  <si>
    <t>Mediterranean horse mackerel</t>
  </si>
  <si>
    <t>Chinchard à queue jaune</t>
  </si>
  <si>
    <t>Jurel mediterráneo</t>
  </si>
  <si>
    <t>LEE</t>
  </si>
  <si>
    <t>Lichia amia</t>
  </si>
  <si>
    <t>Leerfish</t>
  </si>
  <si>
    <t>Liche</t>
  </si>
  <si>
    <t>Palometón</t>
  </si>
  <si>
    <t>MOX</t>
  </si>
  <si>
    <t>Mola mola</t>
  </si>
  <si>
    <t>Ocean sunfish</t>
  </si>
  <si>
    <t>Poisson lune</t>
  </si>
  <si>
    <t>Pez luna</t>
  </si>
  <si>
    <t>MRW</t>
  </si>
  <si>
    <t>Masturus lanceolatus</t>
  </si>
  <si>
    <t>Sharptail mola</t>
  </si>
  <si>
    <t>Poisson-lune lancéolé</t>
  </si>
  <si>
    <t>NAU</t>
  </si>
  <si>
    <t>Naucrates ductor</t>
  </si>
  <si>
    <t>Pilotfish</t>
  </si>
  <si>
    <t>Poisson pilote</t>
  </si>
  <si>
    <t>Pez piloto</t>
  </si>
  <si>
    <t>RRU</t>
  </si>
  <si>
    <t>Elagatis bipinnulata</t>
  </si>
  <si>
    <t>Rainbow runner</t>
  </si>
  <si>
    <t>Comète saumon</t>
  </si>
  <si>
    <t>Macarela salmón</t>
  </si>
  <si>
    <t>RUB</t>
  </si>
  <si>
    <t>Caranx crysos</t>
  </si>
  <si>
    <t>Blue runner</t>
  </si>
  <si>
    <t>Carangue coubali</t>
  </si>
  <si>
    <t>Cojinúa negra</t>
  </si>
  <si>
    <t>RZV</t>
  </si>
  <si>
    <t>Ranzania laevis</t>
  </si>
  <si>
    <t>Slender sunfish</t>
  </si>
  <si>
    <t>Ranzania</t>
  </si>
  <si>
    <t>TAL</t>
  </si>
  <si>
    <t>Taractichthys longipinnis</t>
  </si>
  <si>
    <t>Big-scale pomfret</t>
  </si>
  <si>
    <t>Castagnole fauchoir</t>
  </si>
  <si>
    <t>Tristón aletudo</t>
  </si>
  <si>
    <t>TAS</t>
  </si>
  <si>
    <t>Taractes asper</t>
  </si>
  <si>
    <t>Rough pomfret</t>
  </si>
  <si>
    <t>TCR</t>
  </si>
  <si>
    <t>Taractes rubescens</t>
  </si>
  <si>
    <t>Dagger pomfret</t>
  </si>
  <si>
    <t>TRG</t>
  </si>
  <si>
    <t>Balistes carolinensis</t>
  </si>
  <si>
    <t>Grey triggerfish</t>
  </si>
  <si>
    <t>Baliste cabri</t>
  </si>
  <si>
    <t>Pejepuerco blanco</t>
  </si>
  <si>
    <t>TST</t>
  </si>
  <si>
    <t>Taractichthys steindachneri</t>
  </si>
  <si>
    <t>Sickle pomfret</t>
  </si>
  <si>
    <t>Tristón segador</t>
  </si>
  <si>
    <t>USE</t>
  </si>
  <si>
    <t>Uraspis secunda</t>
  </si>
  <si>
    <t>Cottonmouth jack</t>
  </si>
  <si>
    <t>Carangue coton</t>
  </si>
  <si>
    <t>Jurel volantín</t>
  </si>
  <si>
    <t>VAD</t>
  </si>
  <si>
    <t>Campogramma glaycos</t>
  </si>
  <si>
    <t>Vadigo</t>
  </si>
  <si>
    <t>Liche lirio</t>
  </si>
  <si>
    <t>Lirio</t>
  </si>
  <si>
    <t>YTL</t>
  </si>
  <si>
    <t>Seriola rivoliana</t>
  </si>
  <si>
    <t>Longfin yellowtail</t>
  </si>
  <si>
    <t>Sériole limon</t>
  </si>
  <si>
    <t>Medregal limón</t>
  </si>
  <si>
    <t>BAZ</t>
  </si>
  <si>
    <t>Sphyraenidae</t>
  </si>
  <si>
    <t>Barracudas, etc. nei</t>
  </si>
  <si>
    <t>Bécunes, barracudas, nca</t>
  </si>
  <si>
    <t>Barracudas, picudas, nep</t>
  </si>
  <si>
    <t>FLY</t>
  </si>
  <si>
    <t>Exocoetidae</t>
  </si>
  <si>
    <t>Flyingfishes nei</t>
  </si>
  <si>
    <t>Exocets nca</t>
  </si>
  <si>
    <t>Voladores nep</t>
  </si>
  <si>
    <t>TRI</t>
  </si>
  <si>
    <t>Balistidae</t>
  </si>
  <si>
    <t>Triggerfishes, durgons nei</t>
  </si>
  <si>
    <t>Balistes nca</t>
  </si>
  <si>
    <t>Peces-ballesta nep</t>
  </si>
  <si>
    <t>SEL</t>
  </si>
  <si>
    <t>Otaria flavescens</t>
  </si>
  <si>
    <t>South American sea lion</t>
  </si>
  <si>
    <t>Lion de mer d'Amérique du Sud</t>
  </si>
  <si>
    <t>Lobo común</t>
  </si>
  <si>
    <t>BCW</t>
  </si>
  <si>
    <t>Ziphius cavirostris</t>
  </si>
  <si>
    <t>Cuvier's beaked whale</t>
  </si>
  <si>
    <t>Ziphius</t>
  </si>
  <si>
    <t>Zifio de Cuvier</t>
  </si>
  <si>
    <t>BRW</t>
  </si>
  <si>
    <t>Balaenoptera edeni</t>
  </si>
  <si>
    <t>Bryde's whale</t>
  </si>
  <si>
    <t>Rorqual de Bryde</t>
  </si>
  <si>
    <t>Rorcual tropical</t>
  </si>
  <si>
    <t>DBO</t>
  </si>
  <si>
    <t>Tursiops truncatus</t>
  </si>
  <si>
    <t>Bottlenose dolphin</t>
  </si>
  <si>
    <t>Grand Dauphin</t>
  </si>
  <si>
    <t>Tursion</t>
  </si>
  <si>
    <t>DCL</t>
  </si>
  <si>
    <t>Stenella clymene</t>
  </si>
  <si>
    <t>Clymene dolphin</t>
  </si>
  <si>
    <t>Dauphin de Clyméné</t>
  </si>
  <si>
    <t>Delfín Clymene</t>
  </si>
  <si>
    <t>DCO</t>
  </si>
  <si>
    <t>Delphinus delphis</t>
  </si>
  <si>
    <t>Common dolphin</t>
  </si>
  <si>
    <t>Dauphin commun</t>
  </si>
  <si>
    <t>Delfín común</t>
  </si>
  <si>
    <t>DPN</t>
  </si>
  <si>
    <t>Stenella attenuata</t>
  </si>
  <si>
    <t>Pantropical spotted dolphin</t>
  </si>
  <si>
    <t>Dauphin tacheté pantropical</t>
  </si>
  <si>
    <t>Estenela moteada</t>
  </si>
  <si>
    <t>DRR</t>
  </si>
  <si>
    <t>Grampus griseus</t>
  </si>
  <si>
    <t>Risso's dolphin</t>
  </si>
  <si>
    <t>Grampus</t>
  </si>
  <si>
    <t>Delfín de Risso</t>
  </si>
  <si>
    <t>DSA</t>
  </si>
  <si>
    <t>Stenella frontalis</t>
  </si>
  <si>
    <t>Atlantic spotted dolphin</t>
  </si>
  <si>
    <t>Dauphin tacheté de l'Atlantiq.</t>
  </si>
  <si>
    <t>Delfín pintado</t>
  </si>
  <si>
    <t>DSI</t>
  </si>
  <si>
    <t>Stenella longirostris</t>
  </si>
  <si>
    <t>Spinner dolphin</t>
  </si>
  <si>
    <t>Dauphin longirostre</t>
  </si>
  <si>
    <t>Estenela giradora</t>
  </si>
  <si>
    <t>DST</t>
  </si>
  <si>
    <t>Stenella coeruleoalba</t>
  </si>
  <si>
    <t>Striped dolphin</t>
  </si>
  <si>
    <t>Dauphin bleu et blanc</t>
  </si>
  <si>
    <t>Estenela listada</t>
  </si>
  <si>
    <t>DWH</t>
  </si>
  <si>
    <t>Lagenorhynchus acutus</t>
  </si>
  <si>
    <t>Atlantic white-sided dolphin</t>
  </si>
  <si>
    <t>Dauphin à flancs blancs Atlan.</t>
  </si>
  <si>
    <t>Delfín de flancos blancos</t>
  </si>
  <si>
    <t>EUA</t>
  </si>
  <si>
    <t>Eubalaena australis</t>
  </si>
  <si>
    <t>Southern right whale</t>
  </si>
  <si>
    <t>Baleine australe</t>
  </si>
  <si>
    <t>Ballena franca austral</t>
  </si>
  <si>
    <t>EUG</t>
  </si>
  <si>
    <t>Eubalaena glacialis</t>
  </si>
  <si>
    <t>Northern right whale</t>
  </si>
  <si>
    <t>Baleine de Biscaye</t>
  </si>
  <si>
    <t>Ballena franca</t>
  </si>
  <si>
    <t>FAW</t>
  </si>
  <si>
    <t>Pseudorca crassidens</t>
  </si>
  <si>
    <t>False killer whale</t>
  </si>
  <si>
    <t>Faux-orque</t>
  </si>
  <si>
    <t>Orca Falsa</t>
  </si>
  <si>
    <t>FIW</t>
  </si>
  <si>
    <t>Balaenoptera physalus</t>
  </si>
  <si>
    <t>Fin whale</t>
  </si>
  <si>
    <t>Rorqual commun</t>
  </si>
  <si>
    <t>Rorcual común</t>
  </si>
  <si>
    <t>HUW</t>
  </si>
  <si>
    <t>Megaptera novaeangliae</t>
  </si>
  <si>
    <t>Humpback whale</t>
  </si>
  <si>
    <t>Baleine à bosse</t>
  </si>
  <si>
    <t>Rorcual jorobado</t>
  </si>
  <si>
    <t>KIW</t>
  </si>
  <si>
    <t>Orcinus orca</t>
  </si>
  <si>
    <t>Killer whale</t>
  </si>
  <si>
    <t>Orque</t>
  </si>
  <si>
    <t>Orca</t>
  </si>
  <si>
    <t>MIW</t>
  </si>
  <si>
    <t>Balaenoptera acutorostrata</t>
  </si>
  <si>
    <t>Minke whale</t>
  </si>
  <si>
    <t>Petit rorqual</t>
  </si>
  <si>
    <t>Rorcual enano</t>
  </si>
  <si>
    <t>PHR</t>
  </si>
  <si>
    <t>Phocoena phocoena</t>
  </si>
  <si>
    <t>Harbour porpoise</t>
  </si>
  <si>
    <t>Marsouin Commun</t>
  </si>
  <si>
    <t>Marsopa Común</t>
  </si>
  <si>
    <t>PIW</t>
  </si>
  <si>
    <t>Globicephala melas</t>
  </si>
  <si>
    <t>Long-finned pilot whale</t>
  </si>
  <si>
    <t>Globicéphale commun</t>
  </si>
  <si>
    <t>Calderón común</t>
  </si>
  <si>
    <t>PYW</t>
  </si>
  <si>
    <t>Kogia breviceps</t>
  </si>
  <si>
    <t>Pygmy sperm whale</t>
  </si>
  <si>
    <t>Cachalot Pygmée</t>
  </si>
  <si>
    <t>Cachalote pigmeo</t>
  </si>
  <si>
    <t>RTD</t>
  </si>
  <si>
    <t>Steno bredanensis</t>
  </si>
  <si>
    <t>Rough-toothed dolphin</t>
  </si>
  <si>
    <t>Sténo</t>
  </si>
  <si>
    <t>Esteno</t>
  </si>
  <si>
    <t>SHW</t>
  </si>
  <si>
    <t>Globicephala macrorhynchus</t>
  </si>
  <si>
    <t>Short-finned pilot whale</t>
  </si>
  <si>
    <t>Globicéphale tropical</t>
  </si>
  <si>
    <t>Calderón de aletas cortas</t>
  </si>
  <si>
    <t>SIW</t>
  </si>
  <si>
    <t>Balaenoptera borealis</t>
  </si>
  <si>
    <t>Sei whale</t>
  </si>
  <si>
    <t>Rorqual de Rudolphi</t>
  </si>
  <si>
    <t>Rorcual del Norte</t>
  </si>
  <si>
    <t>SPW</t>
  </si>
  <si>
    <t>Physeter macrocephalus</t>
  </si>
  <si>
    <t>Sperm whale</t>
  </si>
  <si>
    <t>Cachalot</t>
  </si>
  <si>
    <t>Cachalote</t>
  </si>
  <si>
    <t>SXQ</t>
  </si>
  <si>
    <t>Arctocephalus spp</t>
  </si>
  <si>
    <t>Fur seals nei</t>
  </si>
  <si>
    <t>Otaries nca</t>
  </si>
  <si>
    <t>Lobos finos nep</t>
  </si>
  <si>
    <t>MEP</t>
  </si>
  <si>
    <t>Mesoplodon spp</t>
  </si>
  <si>
    <t>Beaked whales nei</t>
  </si>
  <si>
    <t>DLP</t>
  </si>
  <si>
    <t>Delphinidae</t>
  </si>
  <si>
    <t>Dolphins nei</t>
  </si>
  <si>
    <t>Dauphins nca</t>
  </si>
  <si>
    <t>Delfínidos nep</t>
  </si>
  <si>
    <t>CZE</t>
  </si>
  <si>
    <t>Calonectris edwardsii</t>
  </si>
  <si>
    <t>Cape Verde Shearwater</t>
  </si>
  <si>
    <t>Puffin du Cap-Vert</t>
  </si>
  <si>
    <t>Pardela cenicienta de Edwards</t>
  </si>
  <si>
    <t>FPA</t>
  </si>
  <si>
    <t>Fratercula arctica</t>
  </si>
  <si>
    <t>Atlantic puffin</t>
  </si>
  <si>
    <t>Macareux moine</t>
  </si>
  <si>
    <t>Frailecillo atlántico</t>
  </si>
  <si>
    <t>FNO</t>
  </si>
  <si>
    <t>Fulmarus glacialis</t>
  </si>
  <si>
    <t>Northern fulmar</t>
  </si>
  <si>
    <t>Fulmar boréal</t>
  </si>
  <si>
    <t>Fulmar norteño</t>
  </si>
  <si>
    <t>LHZ</t>
  </si>
  <si>
    <t>Larus argentatus</t>
  </si>
  <si>
    <t>Herring gull</t>
  </si>
  <si>
    <t>Goéland argenté</t>
  </si>
  <si>
    <t>Gaviota argéntea</t>
  </si>
  <si>
    <t>Larus atricilla</t>
  </si>
  <si>
    <t>Laughing gull</t>
  </si>
  <si>
    <t>Mouette atricille</t>
  </si>
  <si>
    <t>Gaviota reidora americana</t>
  </si>
  <si>
    <t>LVH</t>
  </si>
  <si>
    <t>Larus audouinii</t>
  </si>
  <si>
    <t>Audouin's gull</t>
  </si>
  <si>
    <t>Goéland d'Audouin</t>
  </si>
  <si>
    <t>Gaviota de Audouin</t>
  </si>
  <si>
    <t>LVJ</t>
  </si>
  <si>
    <t>Larus cachinnans</t>
  </si>
  <si>
    <t>Yellow-legged gull</t>
  </si>
  <si>
    <t>Goéland leucophée</t>
  </si>
  <si>
    <t>Gaviota patiamarilla</t>
  </si>
  <si>
    <t>LVU</t>
  </si>
  <si>
    <t>Larus marinus</t>
  </si>
  <si>
    <t>Great black-backed gull</t>
  </si>
  <si>
    <t>Goéland marin</t>
  </si>
  <si>
    <t>Gavión atlántico</t>
  </si>
  <si>
    <t>MVB</t>
  </si>
  <si>
    <t>Morus bassanus</t>
  </si>
  <si>
    <t>Northern gannet</t>
  </si>
  <si>
    <t>Fou De Bassan</t>
  </si>
  <si>
    <t>Alcatraz Atlántico</t>
  </si>
  <si>
    <t>MWE</t>
  </si>
  <si>
    <t>Morus capensis</t>
  </si>
  <si>
    <t>Cape gannet</t>
  </si>
  <si>
    <t>Fou Du Cap</t>
  </si>
  <si>
    <t>Alcatraz del Cabo</t>
  </si>
  <si>
    <t>DAQ</t>
  </si>
  <si>
    <t>Phoebastria albatrus</t>
  </si>
  <si>
    <t>Short-tailed albatross</t>
  </si>
  <si>
    <t>Albatros à queue courte</t>
  </si>
  <si>
    <t>Albatros rabón</t>
  </si>
  <si>
    <t>PJZ</t>
  </si>
  <si>
    <t>Pterodroma arminjoniana</t>
  </si>
  <si>
    <t>Trindade petrel</t>
  </si>
  <si>
    <t>Pétrel de la Trinité du Sud</t>
  </si>
  <si>
    <t>Petrel de la Trinidade</t>
  </si>
  <si>
    <t>HJW</t>
  </si>
  <si>
    <t>Pterodroma cahow</t>
  </si>
  <si>
    <t>Bermuda petrel</t>
  </si>
  <si>
    <t>Pétrel des Bermudes</t>
  </si>
  <si>
    <t>Petrel Cahow</t>
  </si>
  <si>
    <t>HWS</t>
  </si>
  <si>
    <t>Pterodroma hasitata</t>
  </si>
  <si>
    <t>Black-capped petrel</t>
  </si>
  <si>
    <t>Pétrel diablotin</t>
  </si>
  <si>
    <t>Petrel antillano</t>
  </si>
  <si>
    <t>UIL</t>
  </si>
  <si>
    <t>Puffinus lherminieri</t>
  </si>
  <si>
    <t>Audubon's shearwater</t>
  </si>
  <si>
    <t>Puffin d'Audubon</t>
  </si>
  <si>
    <t>Pardela de Audubon</t>
  </si>
  <si>
    <t>UIM</t>
  </si>
  <si>
    <t>Puffinus mauretanicus</t>
  </si>
  <si>
    <t>Balearic shearwater</t>
  </si>
  <si>
    <t>Puffin des Baléares</t>
  </si>
  <si>
    <t>Pardela pichoneta balear</t>
  </si>
  <si>
    <t>UIP</t>
  </si>
  <si>
    <t>Puffinus puffinus</t>
  </si>
  <si>
    <t>Manx shearwater</t>
  </si>
  <si>
    <t>Puffin des anglais</t>
  </si>
  <si>
    <t>Pardela pichoneta</t>
  </si>
  <si>
    <t>UYE</t>
  </si>
  <si>
    <t>Puffinus yelkouan</t>
  </si>
  <si>
    <t>Yelkouan shearwater</t>
  </si>
  <si>
    <t>Puffin de Méditerranée</t>
  </si>
  <si>
    <t>Pardela mediterránea</t>
  </si>
  <si>
    <t>CDI</t>
  </si>
  <si>
    <t>Calonectris diomedea</t>
  </si>
  <si>
    <t>Cory's shearwater</t>
  </si>
  <si>
    <t>Puffin cendré</t>
  </si>
  <si>
    <t>Pardela cenicienta</t>
  </si>
  <si>
    <t>CSK</t>
  </si>
  <si>
    <t>Stercorarius skua</t>
  </si>
  <si>
    <t>Great skua</t>
  </si>
  <si>
    <t>Grand Labbe</t>
  </si>
  <si>
    <t>Págalo Grande</t>
  </si>
  <si>
    <t>DAC</t>
  </si>
  <si>
    <t>Daption capense</t>
  </si>
  <si>
    <t>Cape petrel</t>
  </si>
  <si>
    <t>Damier Du Cap</t>
  </si>
  <si>
    <t>Petrel darnero</t>
  </si>
  <si>
    <t>DBN</t>
  </si>
  <si>
    <t>Diomedea dabbenena</t>
  </si>
  <si>
    <t>Tristan albatross</t>
  </si>
  <si>
    <t>Albatros de Tristan</t>
  </si>
  <si>
    <t>Albatros de Tristán</t>
  </si>
  <si>
    <t>DCR</t>
  </si>
  <si>
    <t>Thalassarche chlororhynchos</t>
  </si>
  <si>
    <t>Atlant. yellow-nosed albatross</t>
  </si>
  <si>
    <t>Albatros à nez jaune</t>
  </si>
  <si>
    <t>Albatros pico amarillo y negro</t>
  </si>
  <si>
    <t>DCU</t>
  </si>
  <si>
    <t>Thalassarche cauta</t>
  </si>
  <si>
    <t>Shy albatross</t>
  </si>
  <si>
    <t>Albatros timide</t>
  </si>
  <si>
    <t>Albatros Frentiblanco</t>
  </si>
  <si>
    <t>DIC</t>
  </si>
  <si>
    <t>Thalassarche chrysostoma</t>
  </si>
  <si>
    <t>Grey-headed albatross</t>
  </si>
  <si>
    <t>Albatros À Tête Grise</t>
  </si>
  <si>
    <t>Albatros de cabeza gris</t>
  </si>
  <si>
    <t>DIM</t>
  </si>
  <si>
    <t>Thalassarche melanophrys</t>
  </si>
  <si>
    <t>Black-browed albatross</t>
  </si>
  <si>
    <t>Albatros à sourcils noirs</t>
  </si>
  <si>
    <t>Albatros ceja negra</t>
  </si>
  <si>
    <t>DIP</t>
  </si>
  <si>
    <t>Diomedea epomophora</t>
  </si>
  <si>
    <t>Southern royal albatross</t>
  </si>
  <si>
    <t>Albatros royal</t>
  </si>
  <si>
    <t>Albatros real</t>
  </si>
  <si>
    <t>DIQ</t>
  </si>
  <si>
    <t>Diomedea sanfordi</t>
  </si>
  <si>
    <t>Northern royal albatross</t>
  </si>
  <si>
    <t>Albatros royal du Nord</t>
  </si>
  <si>
    <t>Albatros real del norte</t>
  </si>
  <si>
    <t>DIX</t>
  </si>
  <si>
    <t>Diomedea exulans</t>
  </si>
  <si>
    <t>Wandering albatross</t>
  </si>
  <si>
    <t>Albatros hurleur</t>
  </si>
  <si>
    <t>Albatros errante</t>
  </si>
  <si>
    <t>DKN</t>
  </si>
  <si>
    <t>Phoebastria nigripes</t>
  </si>
  <si>
    <t>Black-footed albatross</t>
  </si>
  <si>
    <t>Albatros à pieds noirs</t>
  </si>
  <si>
    <t>Albatros de patas negras</t>
  </si>
  <si>
    <t>FUG</t>
  </si>
  <si>
    <t>Fulmarus glacialoides</t>
  </si>
  <si>
    <t>Southern fulmar</t>
  </si>
  <si>
    <t>Fulmar Argenté</t>
  </si>
  <si>
    <t>Fulmar austral</t>
  </si>
  <si>
    <t>MAH</t>
  </si>
  <si>
    <t>Macronectes halli</t>
  </si>
  <si>
    <t>Hall's giant petrel</t>
  </si>
  <si>
    <t>Pétrel De Hall</t>
  </si>
  <si>
    <t>Petrel gigante de Hall</t>
  </si>
  <si>
    <t>MAI</t>
  </si>
  <si>
    <t>Macronectes giganteus</t>
  </si>
  <si>
    <t>Antarctic giant petrel</t>
  </si>
  <si>
    <t>Pétrel géant</t>
  </si>
  <si>
    <t>Petrel gigante común</t>
  </si>
  <si>
    <t>PCI</t>
  </si>
  <si>
    <t>Procellaria cinerea</t>
  </si>
  <si>
    <t>Grey petrel</t>
  </si>
  <si>
    <t>Puffin Gris</t>
  </si>
  <si>
    <t>Pardela Gris</t>
  </si>
  <si>
    <t>PCN</t>
  </si>
  <si>
    <t>Procellaria conspicillata</t>
  </si>
  <si>
    <t>Spectacled petrel</t>
  </si>
  <si>
    <t>Pétrel à lunettes</t>
  </si>
  <si>
    <t>Petrel mentón blanco</t>
  </si>
  <si>
    <t>PDM</t>
  </si>
  <si>
    <t>Pterodroma macroptera</t>
  </si>
  <si>
    <t>Great-winged petrel</t>
  </si>
  <si>
    <t>Pétrel Noir</t>
  </si>
  <si>
    <t>Petrel aligrande</t>
  </si>
  <si>
    <t>PFC</t>
  </si>
  <si>
    <t>Puffinus carneipes</t>
  </si>
  <si>
    <t>Flesh-footed shearwater</t>
  </si>
  <si>
    <t>Puffin à pieds pâles</t>
  </si>
  <si>
    <t>Pardela paticlara</t>
  </si>
  <si>
    <t>PFG</t>
  </si>
  <si>
    <t>Puffinus griseus</t>
  </si>
  <si>
    <t>Sooty shearwater</t>
  </si>
  <si>
    <t>Puffin fuligineux</t>
  </si>
  <si>
    <t>Pardela sombría</t>
  </si>
  <si>
    <t>PHE</t>
  </si>
  <si>
    <t>Phoebetria palpebrata</t>
  </si>
  <si>
    <t>Light-mantled sooty albatross</t>
  </si>
  <si>
    <t>Albatros fuligineux</t>
  </si>
  <si>
    <t>Albatros oscuro de manto claro</t>
  </si>
  <si>
    <t>PHU</t>
  </si>
  <si>
    <t>Phoebetria fusca</t>
  </si>
  <si>
    <t>Sooty albatross</t>
  </si>
  <si>
    <t>Albatros Brun</t>
  </si>
  <si>
    <t>Albatros Ahumado</t>
  </si>
  <si>
    <t>PRO</t>
  </si>
  <si>
    <t>Procellaria aequinoctialis</t>
  </si>
  <si>
    <t>White-chinned petrel</t>
  </si>
  <si>
    <t>Puffin à menton blanc</t>
  </si>
  <si>
    <t>Pardela Gorgiblanca</t>
  </si>
  <si>
    <t>PUG</t>
  </si>
  <si>
    <t>Puffinus gravis</t>
  </si>
  <si>
    <t>Great shearwater</t>
  </si>
  <si>
    <t>Puffin majeur</t>
  </si>
  <si>
    <t>Pardela capirotada</t>
  </si>
  <si>
    <t>TQH</t>
  </si>
  <si>
    <t>Thalassarche carteri</t>
  </si>
  <si>
    <t>Indian yellow-nosed albatross</t>
  </si>
  <si>
    <t>Albatros de l'océan indien</t>
  </si>
  <si>
    <t>Albatros índico pico amarillo</t>
  </si>
  <si>
    <t>TWD</t>
  </si>
  <si>
    <t>Thalassarche steadi</t>
  </si>
  <si>
    <t>White-capped albatross</t>
  </si>
  <si>
    <t>Albatros à cape blanche</t>
  </si>
  <si>
    <t>Albatros de Auckland</t>
  </si>
  <si>
    <t>ALZ</t>
  </si>
  <si>
    <t>Diomedeidae</t>
  </si>
  <si>
    <t>Albatrosses nei</t>
  </si>
  <si>
    <t>Albatros nca</t>
  </si>
  <si>
    <t>Albatros nep</t>
  </si>
  <si>
    <t>DKK</t>
  </si>
  <si>
    <t>Dermochelys coriacea</t>
  </si>
  <si>
    <t>Leatherback turtle</t>
  </si>
  <si>
    <t>Tortue Luth</t>
  </si>
  <si>
    <t>Tortuga Laud</t>
  </si>
  <si>
    <t>LKV</t>
  </si>
  <si>
    <t>Lepidochelys olivacea</t>
  </si>
  <si>
    <t>Olive Ridley turtle</t>
  </si>
  <si>
    <t>Tortue olivatre</t>
  </si>
  <si>
    <t>Tortuga golfina</t>
  </si>
  <si>
    <t>LKY</t>
  </si>
  <si>
    <t>Lepidochelys kempii</t>
  </si>
  <si>
    <t>Kemp's ridley turtle</t>
  </si>
  <si>
    <t>Tortue de Kemp</t>
  </si>
  <si>
    <t>Tortuga lora</t>
  </si>
  <si>
    <t>TTH</t>
  </si>
  <si>
    <t>Eretmochelys imbricata</t>
  </si>
  <si>
    <t>Hawksbill turtle</t>
  </si>
  <si>
    <t>Tortue caret</t>
  </si>
  <si>
    <t>Tortuga carey</t>
  </si>
  <si>
    <t>TTL</t>
  </si>
  <si>
    <t>Caretta caretta</t>
  </si>
  <si>
    <t>Loggerhead turtle</t>
  </si>
  <si>
    <t>Caouane</t>
  </si>
  <si>
    <t>Caguama</t>
  </si>
  <si>
    <t>TUG</t>
  </si>
  <si>
    <t>Chelonia mydas</t>
  </si>
  <si>
    <t>Green turtle</t>
  </si>
  <si>
    <t>Tortue verte</t>
  </si>
  <si>
    <t>Tortuga verde</t>
  </si>
  <si>
    <t>TTX</t>
  </si>
  <si>
    <t>Cheloniidae</t>
  </si>
  <si>
    <t>Marine turtles nei</t>
  </si>
  <si>
    <t>Tortues de mer nca</t>
  </si>
  <si>
    <t>Tortugas de mar nep</t>
  </si>
  <si>
    <t>FlagA3ISO</t>
  </si>
  <si>
    <t>Brazil</t>
  </si>
  <si>
    <t>China PR</t>
  </si>
  <si>
    <t>CUW</t>
  </si>
  <si>
    <t>Curaçao</t>
  </si>
  <si>
    <t>Côte d'Ivoire</t>
  </si>
  <si>
    <t>HUN</t>
  </si>
  <si>
    <t>GBR</t>
  </si>
  <si>
    <t>Syria</t>
  </si>
  <si>
    <t>AND</t>
  </si>
  <si>
    <t>Andorra</t>
  </si>
  <si>
    <t>BND</t>
  </si>
  <si>
    <t>Brunei</t>
  </si>
  <si>
    <t>HTI</t>
  </si>
  <si>
    <t>Haiti</t>
  </si>
  <si>
    <t>Iran</t>
  </si>
  <si>
    <t>KWT</t>
  </si>
  <si>
    <t>Kuwait</t>
  </si>
  <si>
    <t>MDG</t>
  </si>
  <si>
    <t>Madagascar</t>
  </si>
  <si>
    <t>MHL</t>
  </si>
  <si>
    <t>Marshall Islands</t>
  </si>
  <si>
    <t>MNE</t>
  </si>
  <si>
    <t>Montenegro</t>
  </si>
  <si>
    <t>MOZ</t>
  </si>
  <si>
    <t>Mozambique</t>
  </si>
  <si>
    <t>NCL</t>
  </si>
  <si>
    <t>New Caledonia</t>
  </si>
  <si>
    <t>Palestine</t>
  </si>
  <si>
    <t>PER</t>
  </si>
  <si>
    <t>Perú</t>
  </si>
  <si>
    <t>WSM</t>
  </si>
  <si>
    <t>Samoa</t>
  </si>
  <si>
    <t>Saudi Arabia</t>
  </si>
  <si>
    <t>SRB</t>
  </si>
  <si>
    <t>Serbia</t>
  </si>
  <si>
    <t>SLB</t>
  </si>
  <si>
    <t>Solomon Islands</t>
  </si>
  <si>
    <t>CHE</t>
  </si>
  <si>
    <t>Switzerland</t>
  </si>
  <si>
    <t>TZA</t>
  </si>
  <si>
    <t>Tanzania</t>
  </si>
  <si>
    <t>TUV</t>
  </si>
  <si>
    <t>Tuvalu</t>
  </si>
  <si>
    <t>ARE</t>
  </si>
  <si>
    <t>United Arab Emirates</t>
  </si>
  <si>
    <t>Vietnam</t>
  </si>
  <si>
    <t>LL-B</t>
  </si>
  <si>
    <t>Longline: Bottom/Deep</t>
  </si>
  <si>
    <t>Longline: Targetting sharks BSH &amp; SMA</t>
  </si>
  <si>
    <t>Longline: Japanese type (Spain)</t>
  </si>
  <si>
    <t>Longline: "Stone-ball" (Spain)</t>
  </si>
  <si>
    <t>Trap: trap non-fixed</t>
  </si>
  <si>
    <t>Baitboat: Targgetting ALB</t>
  </si>
  <si>
    <t>TRAWB</t>
  </si>
  <si>
    <t>Trawl: Bottom paired (old TRBD)</t>
  </si>
  <si>
    <t>TRAWP</t>
  </si>
  <si>
    <t>Trawl: Mid-water pelagic (old MWT)</t>
  </si>
  <si>
    <t>TRAWPP</t>
  </si>
  <si>
    <t>Trawl: Mid-water pelagic paired (old MWTD)</t>
  </si>
  <si>
    <t>Gillnet: Targetting ALB</t>
  </si>
  <si>
    <t>Gillnet: Targetting SWO</t>
  </si>
  <si>
    <t>Rod and Reel</t>
  </si>
  <si>
    <t>Rod and Reel (catching large fish)</t>
  </si>
  <si>
    <t>Rod and Reel (catching small fish)</t>
  </si>
  <si>
    <t>HARPE</t>
  </si>
  <si>
    <t>Harpoon: Electric harpoon (old HP-E)</t>
  </si>
  <si>
    <t>Handline</t>
  </si>
  <si>
    <t>Unclassified gears (unknown, not reported, OTH not specified)</t>
  </si>
  <si>
    <t>Status</t>
  </si>
  <si>
    <t>CP</t>
  </si>
  <si>
    <t>NCC</t>
  </si>
  <si>
    <t>NCO</t>
  </si>
  <si>
    <t>SFL</t>
  </si>
  <si>
    <t>Strait fork-length (old FL merge)</t>
  </si>
  <si>
    <t>a)</t>
  </si>
  <si>
    <t>b)</t>
  </si>
  <si>
    <t>c)</t>
  </si>
  <si>
    <t>d)</t>
  </si>
  <si>
    <t>e)</t>
  </si>
  <si>
    <t>Descripción</t>
  </si>
  <si>
    <t>item</t>
  </si>
  <si>
    <t>SC08</t>
  </si>
  <si>
    <t>Campo (formato)</t>
  </si>
  <si>
    <t>Champ (format)</t>
  </si>
  <si>
    <t>Field (format)</t>
  </si>
  <si>
    <t>SC07</t>
  </si>
  <si>
    <t>Campo (nombre)</t>
  </si>
  <si>
    <t>Champ (nom)</t>
  </si>
  <si>
    <t>Field (name)</t>
  </si>
  <si>
    <t>SC06</t>
  </si>
  <si>
    <t>Sub-secciones</t>
  </si>
  <si>
    <t>Sous-section</t>
  </si>
  <si>
    <t>Sub-section</t>
  </si>
  <si>
    <t>SC05</t>
  </si>
  <si>
    <t>Sección</t>
  </si>
  <si>
    <t xml:space="preserve">Section </t>
  </si>
  <si>
    <t>SC04</t>
  </si>
  <si>
    <t>Parte</t>
  </si>
  <si>
    <t>Partie</t>
  </si>
  <si>
    <t>Part</t>
  </si>
  <si>
    <t>SC03</t>
  </si>
  <si>
    <t>Subformulario</t>
  </si>
  <si>
    <t>Sous-formulaire</t>
  </si>
  <si>
    <t>Sub-form</t>
  </si>
  <si>
    <t>SC02</t>
  </si>
  <si>
    <t>Formulario</t>
  </si>
  <si>
    <t>Formulaire</t>
  </si>
  <si>
    <t>Form</t>
  </si>
  <si>
    <t>SC01</t>
  </si>
  <si>
    <t>Específico (por campo)</t>
  </si>
  <si>
    <t>Spécifique (par champ)</t>
  </si>
  <si>
    <t>Specific (by field)</t>
  </si>
  <si>
    <t>subtitle</t>
  </si>
  <si>
    <t>S00</t>
  </si>
  <si>
    <t>Deje en blanco los campos para los que no se ha recopilado información.</t>
  </si>
  <si>
    <t>Laisser en blanc les champs pour lesquels vous ne recueillez pas d'informations.</t>
  </si>
  <si>
    <t>Leave "blank" the fields for which you don't collect information</t>
  </si>
  <si>
    <t>General05</t>
  </si>
  <si>
    <t>G01e</t>
  </si>
  <si>
    <t>Recomendación para los usuarios con bases de datos: para pegar un conjunto de datos completo en la sección de información detallada (debe tener la misma estructura y formato) se debe utilizar "Paste special (values)"</t>
  </si>
  <si>
    <t>Recommandation aux utilisateurs de bases de données : pour copier tout un jeu de données dans la section "Information détaillée" (qui doit avoir les mêmes structure et format), utiliser "Paste special (values)".</t>
  </si>
  <si>
    <t>Recommendation for users with databases: To Paste an entire datatset into the Detail section (must have the same structure and format) use "Paste special (values)"</t>
  </si>
  <si>
    <t>General04</t>
  </si>
  <si>
    <t>G01d</t>
  </si>
  <si>
    <t>Utilice siempre los códigos estándar ICCAT (cuando se requiere el elemento "OTROS" de varios campos, éste debe describirse explícitamente en las "Notas").</t>
  </si>
  <si>
    <t>Toujours utiliser les codes standard ICCAT (si l'élément "AUTRES" de divers champs est requis, celui-ci doit être explicitement décrit dans la rubrique "notes").</t>
  </si>
  <si>
    <t>Always use ICCAT standard codes (when element "OTHERS" of various fields is required it must be explicitly described in "Notes").</t>
  </si>
  <si>
    <t>General03</t>
  </si>
  <si>
    <t>G01c</t>
  </si>
  <si>
    <t>En la sección de cabecera, sólo pueden cumplimentarse las celdas en blanco (manualmente o seleccionando en la pestaña desplegable el código correspondiente).</t>
  </si>
  <si>
    <t>Dans la section d'en-tête, seules les cellules vides peuvent être remplies (manuellement ou en sélectionnant le code correspondant dans le menu déroulant).</t>
  </si>
  <si>
    <t>In Header section, only white cells can be filled (manually or by selecting from the Combo Box the corresponding code).</t>
  </si>
  <si>
    <t>General02</t>
  </si>
  <si>
    <t>G01b</t>
  </si>
  <si>
    <t>Cumplimentar con la mayor información posible las secciones "cabecera" e "información detallada" (no dejar campos vacíos cuando se conoce la información).</t>
  </si>
  <si>
    <t>Remplir, dans la mesure du possible, les sections "en-tête" et "information détaillée" (ne pas laisser de champs vides lorsque l'information est connue).</t>
  </si>
  <si>
    <t>Complete as far as possible the Header and Detail sections (don't leave fields empty when information is known).</t>
  </si>
  <si>
    <t>General01</t>
  </si>
  <si>
    <t>G01a</t>
  </si>
  <si>
    <t>G01</t>
  </si>
  <si>
    <t>Instrucciones para cumplimentar el formulario</t>
  </si>
  <si>
    <t>Instructions pour remplir le formulaire</t>
  </si>
  <si>
    <t>Instructions to complete the form</t>
  </si>
  <si>
    <t>Instrucciones</t>
  </si>
  <si>
    <t>Instructions</t>
  </si>
  <si>
    <t>title</t>
  </si>
  <si>
    <t>G00</t>
  </si>
  <si>
    <t>field</t>
  </si>
  <si>
    <t>D60</t>
  </si>
  <si>
    <t>section</t>
  </si>
  <si>
    <t>subsection</t>
  </si>
  <si>
    <t>D31</t>
  </si>
  <si>
    <t>D30</t>
  </si>
  <si>
    <t>ICCAT code</t>
  </si>
  <si>
    <t>GearCd</t>
  </si>
  <si>
    <t>D22</t>
  </si>
  <si>
    <t>D21</t>
  </si>
  <si>
    <t>D20</t>
  </si>
  <si>
    <t>D13</t>
  </si>
  <si>
    <t>D12</t>
  </si>
  <si>
    <t>D11</t>
  </si>
  <si>
    <t>D10</t>
  </si>
  <si>
    <t>D00</t>
  </si>
  <si>
    <t>Notas</t>
  </si>
  <si>
    <t>hNotes</t>
  </si>
  <si>
    <t>Filtro 2</t>
  </si>
  <si>
    <t>Filtre 2</t>
  </si>
  <si>
    <t>Filter 2</t>
  </si>
  <si>
    <t>boolean</t>
  </si>
  <si>
    <t>hFilter2</t>
  </si>
  <si>
    <t>Filtro 1</t>
  </si>
  <si>
    <t>Filtre 1</t>
  </si>
  <si>
    <t>Filter 1</t>
  </si>
  <si>
    <t>hFilter1</t>
  </si>
  <si>
    <t>(fixed)</t>
  </si>
  <si>
    <t>Enviar el formulario a ICCAT con el nombre del archivo propuesto (si necesario, añadir como sufijo un ID al final)</t>
  </si>
  <si>
    <t>Envoyez le formulaire à l'ICCAT avec le nom du fichier proposé (si nécessaire, ajouter un suffixe d'ID à la fin)</t>
  </si>
  <si>
    <t>Send the form to ICCAT with the proposed file name (if required, suffix it with an ID at the end)</t>
  </si>
  <si>
    <t>Nombre de archivo (propuesto)</t>
  </si>
  <si>
    <t>Nom du fichier (proposé)</t>
  </si>
  <si>
    <t>File name (proposed)</t>
  </si>
  <si>
    <t>hFname</t>
  </si>
  <si>
    <t>Réservé au Secrétariat</t>
  </si>
  <si>
    <t>Nº Referencia</t>
  </si>
  <si>
    <t>Nº Reference</t>
  </si>
  <si>
    <t>Reference Nº</t>
  </si>
  <si>
    <t>hRef</t>
  </si>
  <si>
    <t>Reservado a la Sacretaría</t>
  </si>
  <si>
    <t>Date reported</t>
  </si>
  <si>
    <t>date</t>
  </si>
  <si>
    <t>hDaterep</t>
  </si>
  <si>
    <t>Especificar si el contenido general de los datos es: "nuevos datos"; "revisión completa"; "revisión parcial"</t>
  </si>
  <si>
    <t>Préciser si le contenu global de données est: "nouvelles données"; "révision complète"; "révision partielle"</t>
  </si>
  <si>
    <t>Specify if the overall data content is: "new data"; "full revision"; "partial revision"</t>
  </si>
  <si>
    <t>Contenido (datos)</t>
  </si>
  <si>
    <t>Contenu (données)</t>
  </si>
  <si>
    <t>Content (data)</t>
  </si>
  <si>
    <t>hContent</t>
  </si>
  <si>
    <t>Versión declarada</t>
  </si>
  <si>
    <t>Version transmise</t>
  </si>
  <si>
    <t>Version reported</t>
  </si>
  <si>
    <t>hVersion</t>
  </si>
  <si>
    <t>Pabellón declarante</t>
  </si>
  <si>
    <t>Pavillon déclarant</t>
  </si>
  <si>
    <t>Reporting Flag</t>
  </si>
  <si>
    <t>hFlagrep</t>
  </si>
  <si>
    <t>Country in which the Institution is based.</t>
  </si>
  <si>
    <t>País</t>
  </si>
  <si>
    <t>Pays</t>
  </si>
  <si>
    <t>hCountry</t>
  </si>
  <si>
    <t>Dirección</t>
  </si>
  <si>
    <t>Adresse</t>
  </si>
  <si>
    <t>hAddress</t>
  </si>
  <si>
    <t>Departamento</t>
  </si>
  <si>
    <t>Département</t>
  </si>
  <si>
    <t>Department</t>
  </si>
  <si>
    <t>hDepart</t>
  </si>
  <si>
    <t>Institución</t>
  </si>
  <si>
    <t>hInstit</t>
  </si>
  <si>
    <t>Teléfono</t>
  </si>
  <si>
    <t>Téléphone</t>
  </si>
  <si>
    <t>hPhone</t>
  </si>
  <si>
    <t>Email address of the Statistical Correspondent.</t>
  </si>
  <si>
    <t>hEmail</t>
  </si>
  <si>
    <t>Nom (complet OU Prénom et Nom) du Correspondant statistique (officiellement désigné par la CPC).</t>
  </si>
  <si>
    <t>Nombre</t>
  </si>
  <si>
    <t>Nom</t>
  </si>
  <si>
    <t>hName</t>
  </si>
  <si>
    <t>Otros atributos</t>
  </si>
  <si>
    <t>Autres attributs</t>
  </si>
  <si>
    <t>Other attributes</t>
  </si>
  <si>
    <t>H40</t>
  </si>
  <si>
    <t>Características del conjunto de datos</t>
  </si>
  <si>
    <t>Caractéristiques du jeu de données</t>
  </si>
  <si>
    <t>Data set characteristics</t>
  </si>
  <si>
    <t>H30</t>
  </si>
  <si>
    <t>Criterios de filtrado</t>
  </si>
  <si>
    <t>Critères de filtrage</t>
  </si>
  <si>
    <t>Filtering criteria</t>
  </si>
  <si>
    <t>H21</t>
  </si>
  <si>
    <t>Reservado a la Secretaría</t>
  </si>
  <si>
    <t>H20</t>
  </si>
  <si>
    <t>Identificación</t>
  </si>
  <si>
    <t>Identification</t>
  </si>
  <si>
    <t>H12</t>
  </si>
  <si>
    <t>Afiliación</t>
  </si>
  <si>
    <t>Affiliation</t>
  </si>
  <si>
    <t>H11</t>
  </si>
  <si>
    <t>H10</t>
  </si>
  <si>
    <t>(relleno automático obtenido de ST02A)</t>
  </si>
  <si>
    <t>(remplissage automatique obtenue à partir ST02A)</t>
  </si>
  <si>
    <t>(automatic completion obtained from ST02A)</t>
  </si>
  <si>
    <t>Cabecera</t>
  </si>
  <si>
    <t>Tête</t>
  </si>
  <si>
    <t>(auto)</t>
  </si>
  <si>
    <t>H01</t>
  </si>
  <si>
    <t>H00</t>
  </si>
  <si>
    <t>Choose the language (EN, FR, ES) for form translation</t>
  </si>
  <si>
    <t>Idioma</t>
  </si>
  <si>
    <t>Langue</t>
  </si>
  <si>
    <t>Language</t>
  </si>
  <si>
    <t>Versión</t>
  </si>
  <si>
    <t>Version</t>
  </si>
  <si>
    <t>COMISIÓN INTERNACIONAL PARA LA CONSERVACIÓN DEL ATÚN ATLÁNTICO</t>
  </si>
  <si>
    <t>COMMISSION INTERNATIONALE POUR LA CONSERVATION DES THONIDÉS DE L'ATLANTIQUE</t>
  </si>
  <si>
    <t>INTERNATIONAL COMMISSION FOR THE CONSERVATION OF ATLANTIC TUNAS</t>
  </si>
  <si>
    <t>CICAA</t>
  </si>
  <si>
    <t>CICTA</t>
  </si>
  <si>
    <t>ICCAT</t>
  </si>
  <si>
    <t>Título del formulario</t>
  </si>
  <si>
    <t>Titre du formulaire</t>
  </si>
  <si>
    <t>Form Title</t>
  </si>
  <si>
    <t>Título</t>
  </si>
  <si>
    <t>Titre</t>
  </si>
  <si>
    <t>Title</t>
  </si>
  <si>
    <t>T00</t>
  </si>
  <si>
    <t>FldInstructES</t>
  </si>
  <si>
    <t>FldInstructFR</t>
  </si>
  <si>
    <t>FldInstructEN</t>
  </si>
  <si>
    <t>FldNameES</t>
  </si>
  <si>
    <t>FldNameFR</t>
  </si>
  <si>
    <t>FldNameEN</t>
  </si>
  <si>
    <t>FieldType</t>
  </si>
  <si>
    <t>Item</t>
  </si>
  <si>
    <t>Subform</t>
  </si>
  <si>
    <t>Order</t>
  </si>
  <si>
    <t>FieldID</t>
  </si>
  <si>
    <t>Translation for Forms</t>
  </si>
  <si>
    <t>form specific</t>
  </si>
  <si>
    <t>In force</t>
  </si>
  <si>
    <t>See "codes" sheet</t>
  </si>
  <si>
    <t>global</t>
  </si>
  <si>
    <t>Detail section must be properly completed using valid ICCAT codes</t>
  </si>
  <si>
    <t>[all fields]</t>
  </si>
  <si>
    <t>Header section must be complete</t>
  </si>
  <si>
    <t>Data must come in one of the valid SCRS electronic forms/Exchange formats</t>
  </si>
  <si>
    <t>Valid set</t>
  </si>
  <si>
    <t>Filter</t>
  </si>
  <si>
    <t>SCRS Filter criteria for acceptance/rejection of the data reported</t>
  </si>
  <si>
    <t>1-TG02A</t>
  </si>
  <si>
    <t>Preliminary</t>
  </si>
  <si>
    <t>Content</t>
  </si>
  <si>
    <t>ContentDescript</t>
  </si>
  <si>
    <t>Revision (FULL)</t>
  </si>
  <si>
    <t>Revision (PARTIAL)</t>
  </si>
  <si>
    <t>VersionDescript</t>
  </si>
  <si>
    <t>Final</t>
  </si>
  <si>
    <t>Final estimations (no changes expected)</t>
  </si>
  <si>
    <t>Preliminary estimates (changes expected)</t>
  </si>
  <si>
    <t>H31</t>
  </si>
  <si>
    <t>Sub-form / Description</t>
  </si>
  <si>
    <t>Sous-forme / Description</t>
  </si>
  <si>
    <t>Sub-formulario / Descripción</t>
  </si>
  <si>
    <t>TG02A</t>
  </si>
  <si>
    <t>SexCd</t>
  </si>
  <si>
    <t>RCStageCd</t>
  </si>
  <si>
    <t>Tag1Cd</t>
  </si>
  <si>
    <t>Tag2Cd</t>
  </si>
  <si>
    <t>Tag3Cd</t>
  </si>
  <si>
    <t>Tag4Cd</t>
  </si>
  <si>
    <t>reLat</t>
  </si>
  <si>
    <t>reDate</t>
  </si>
  <si>
    <t>reTime</t>
  </si>
  <si>
    <t>reLon</t>
  </si>
  <si>
    <t>reArea</t>
  </si>
  <si>
    <t>VesselID</t>
  </si>
  <si>
    <t>Length (cm)</t>
  </si>
  <si>
    <t>Weight (kg)</t>
  </si>
  <si>
    <t>reGearCd</t>
  </si>
  <si>
    <t>reSchoolCd</t>
  </si>
  <si>
    <t>reBaitCd</t>
  </si>
  <si>
    <t>reDeptM</t>
  </si>
  <si>
    <t>reLenMetCd</t>
  </si>
  <si>
    <t>reLenCm</t>
  </si>
  <si>
    <t>reWgKg</t>
  </si>
  <si>
    <t>reLenTyCd</t>
  </si>
  <si>
    <t>reWgTyCd</t>
  </si>
  <si>
    <t>reWgMetCd</t>
  </si>
  <si>
    <t>reSST</t>
  </si>
  <si>
    <t>reEnvStateCd</t>
  </si>
  <si>
    <t>reWSpeed</t>
  </si>
  <si>
    <t>reSkyCov</t>
  </si>
  <si>
    <t>rcDate</t>
  </si>
  <si>
    <t>rcTime</t>
  </si>
  <si>
    <t>rcLat</t>
  </si>
  <si>
    <t>rcLon</t>
  </si>
  <si>
    <t>rcArea</t>
  </si>
  <si>
    <t>rcGearCd</t>
  </si>
  <si>
    <t>rcSchoolCd</t>
  </si>
  <si>
    <t>rcSurveyAcro</t>
  </si>
  <si>
    <t>rcLenCm</t>
  </si>
  <si>
    <t>rcLenTyCd</t>
  </si>
  <si>
    <t>rcLenMetCd</t>
  </si>
  <si>
    <t>rcWgKg</t>
  </si>
  <si>
    <t>rcWgTyCd</t>
  </si>
  <si>
    <t>rcWgMetCd</t>
  </si>
  <si>
    <t>rcReTaggedYN</t>
  </si>
  <si>
    <t>rcPersonID</t>
  </si>
  <si>
    <t>SpecimID</t>
  </si>
  <si>
    <t>reNotes</t>
  </si>
  <si>
    <t>rcSstC</t>
  </si>
  <si>
    <t>rcRecoveryPlace</t>
  </si>
  <si>
    <t>rePersonID</t>
  </si>
  <si>
    <t>rcQCScore</t>
  </si>
  <si>
    <t>rcNotes</t>
  </si>
  <si>
    <t>SpcCd</t>
  </si>
  <si>
    <t>rcVessID</t>
  </si>
  <si>
    <t>reVessID</t>
  </si>
  <si>
    <t>reSurvAcro</t>
  </si>
  <si>
    <t>Tag 1</t>
  </si>
  <si>
    <t>Tag 2</t>
  </si>
  <si>
    <t>Tag 3</t>
  </si>
  <si>
    <t>Tag 4</t>
  </si>
  <si>
    <t>reScCheck</t>
  </si>
  <si>
    <t>Scientific
check  (Y/N)?</t>
  </si>
  <si>
    <t>VesselName</t>
  </si>
  <si>
    <t>BasePortZone</t>
  </si>
  <si>
    <t>FlagCd</t>
  </si>
  <si>
    <t>GRTt</t>
  </si>
  <si>
    <t>LOAm</t>
  </si>
  <si>
    <t>InReYN</t>
  </si>
  <si>
    <t>InRcYN</t>
  </si>
  <si>
    <t>(This complementary information is confidential and will only be used on the ICCAT lottery sytem)</t>
  </si>
  <si>
    <t>Vessels involved in tagging experiments</t>
  </si>
  <si>
    <t>2-TG02B</t>
  </si>
  <si>
    <t>3-TG02C</t>
  </si>
  <si>
    <t>D01</t>
  </si>
  <si>
    <t>D02</t>
  </si>
  <si>
    <t>D03</t>
  </si>
  <si>
    <t>D14</t>
  </si>
  <si>
    <t>D15</t>
  </si>
  <si>
    <t>D23</t>
  </si>
  <si>
    <t>D24</t>
  </si>
  <si>
    <t>D25</t>
  </si>
  <si>
    <t>D26</t>
  </si>
  <si>
    <t>D16</t>
  </si>
  <si>
    <t>D70</t>
  </si>
  <si>
    <t>D80</t>
  </si>
  <si>
    <t>PersonID</t>
  </si>
  <si>
    <t>TypeCd</t>
  </si>
  <si>
    <t>TaggerYN</t>
  </si>
  <si>
    <t>RecaptYN</t>
  </si>
  <si>
    <t>CtryCd</t>
  </si>
  <si>
    <t>email</t>
  </si>
  <si>
    <t>phone</t>
  </si>
  <si>
    <t>D04</t>
  </si>
  <si>
    <t>time</t>
  </si>
  <si>
    <r>
      <t xml:space="preserve">Vessel unique number (obtained after completing table </t>
    </r>
    <r>
      <rPr>
        <sz val="9"/>
        <color indexed="8"/>
        <rFont val="Times New Roman"/>
        <family val="1"/>
      </rPr>
      <t>Vessels) identifying vessel used in release operation</t>
    </r>
  </si>
  <si>
    <r>
      <t xml:space="preserve">Person unique number (obtained after filling in table </t>
    </r>
    <r>
      <rPr>
        <sz val="9"/>
        <color indexed="8"/>
        <rFont val="Times New Roman"/>
        <family val="1"/>
      </rPr>
      <t>Persons) identifying who tagged the fish</t>
    </r>
  </si>
  <si>
    <t>rcScieCheckYN</t>
  </si>
  <si>
    <t>Area description (optional)</t>
  </si>
  <si>
    <t>Person (Tagger &amp; Recapturer) details</t>
  </si>
  <si>
    <t>D90</t>
  </si>
  <si>
    <t>D91</t>
  </si>
  <si>
    <t>Valeur</t>
  </si>
  <si>
    <t>Valor</t>
  </si>
  <si>
    <t>LangFieldID</t>
  </si>
  <si>
    <t>LangNameID</t>
  </si>
  <si>
    <t>RemarksC</t>
  </si>
  <si>
    <t>RemarksB</t>
  </si>
  <si>
    <t>integer</t>
  </si>
  <si>
    <t>Código de especie</t>
  </si>
  <si>
    <t>Código de sexo</t>
  </si>
  <si>
    <t>Código etapa RC</t>
  </si>
  <si>
    <t xml:space="preserve">Fecha </t>
  </si>
  <si>
    <t>Latitud</t>
  </si>
  <si>
    <t>Longitud</t>
  </si>
  <si>
    <t>Descripción zona</t>
  </si>
  <si>
    <t>ID buque</t>
  </si>
  <si>
    <t>Tipo banco</t>
  </si>
  <si>
    <t>Acrónimo campaña</t>
  </si>
  <si>
    <t>Profundidad (m)</t>
  </si>
  <si>
    <t>boca</t>
  </si>
  <si>
    <t>ojos</t>
  </si>
  <si>
    <t>piel</t>
  </si>
  <si>
    <t>aletas</t>
  </si>
  <si>
    <t>cuerpo</t>
  </si>
  <si>
    <t>SST (ºC)</t>
  </si>
  <si>
    <t>Estado (Douglas)</t>
  </si>
  <si>
    <t>Velocidad (Beauford)</t>
  </si>
  <si>
    <t>Cobertura (escala/%)</t>
  </si>
  <si>
    <t>verificación científica</t>
  </si>
  <si>
    <t>Notas liberación</t>
  </si>
  <si>
    <t>Lugar recuperación</t>
  </si>
  <si>
    <t>¿Liberado de nuevo?</t>
  </si>
  <si>
    <t>Verificación científica</t>
  </si>
  <si>
    <t>Notas recuperación</t>
  </si>
  <si>
    <t xml:space="preserve">Puntuación calidad información </t>
  </si>
  <si>
    <t>Número único del ejemplar que identifica a un pez de forma única (generalmente 1 número por fila, excepto en peces liberados varias veces)</t>
  </si>
  <si>
    <t xml:space="preserve">Código de especie ICCAT </t>
  </si>
  <si>
    <t xml:space="preserve">Código de sexo ICCAT </t>
  </si>
  <si>
    <t>Código estándar de ICCAT para especificar el evento de liberación / recaptura (véanse las definiciones en la tabla)</t>
  </si>
  <si>
    <t>Código de la 1ª marca convencional. Sólo se permiten caratceres {A…Z,"-"} y 9={0…9}. Elegir el formato</t>
  </si>
  <si>
    <t>Código de la 2ª marca convencional. Sólo se permiten caratceres {A…Z,"-"} y 9={0…9}. Elegir el formato si se utiliza</t>
  </si>
  <si>
    <t>Código de la 3ª marca convencional. Sólo se permiten caratceres {A…Z,"-"} y 9={0…9}. Elegir el formato si se utiliza</t>
  </si>
  <si>
    <t>Código de la 4ª marca convencional. Sólo se permiten caratceres {A…Z,"-"} y 9={0…9}. Elegir el formato si se utiliza</t>
  </si>
  <si>
    <t>Fecha (formato único) de la operación de liberación</t>
  </si>
  <si>
    <t>Hora (formato único) de la operación de liberación</t>
  </si>
  <si>
    <t>Si no se facilitan coordenadas geográficas (Lat/Lon), describir el área geográfica de liberación</t>
  </si>
  <si>
    <t>Número único del buque (obtenido tras cumplimentar la tabla Buques) que identifica al buque utilizado en la operación de liberación</t>
  </si>
  <si>
    <t>Arte utilizado para capturar al pez liberado (códigos de arte ICCAT)</t>
  </si>
  <si>
    <t>Definir el modo de la operación pesquera (DCP, banco libre, etc.) durante la operación de liberación</t>
  </si>
  <si>
    <t>Acrónimo de la campaña asociado con el evento de liberación. Dejar en blanco si es marcado oportunista</t>
  </si>
  <si>
    <t>Cebo utilizado (principalmente anzuelos y liñas) en la captura del pez liberado</t>
  </si>
  <si>
    <t>Profundidad de la captura del pez liberado (principalmente anzuelos y liñas)</t>
  </si>
  <si>
    <t>Talla del pez en el momento de la liberación</t>
  </si>
  <si>
    <t>Tipo de talla utilizado para medir el pez liberado (por defecto = FL: longitud a la horquilla)</t>
  </si>
  <si>
    <t>Método utilizado para obtener la talla en el momento de la liberación</t>
  </si>
  <si>
    <t>Peso en el momento de la liberación</t>
  </si>
  <si>
    <t>Typo de peso utilizado para medir el pez liberado (por defecto = RD: peso vivo)</t>
  </si>
  <si>
    <t xml:space="preserve">Método utilizado para obtener el peso en el momento de la liberación </t>
  </si>
  <si>
    <t>Condición global (general) del pez en el momento de la liberación (códigos de la escala de daños de ICCAT)</t>
  </si>
  <si>
    <t>Condición/estado de la cabeza del pez en el momento de la liberación (códigos de la escala de daños de ICCAT)</t>
  </si>
  <si>
    <t>Condición/estado de la boca del pez en el momento de la liberación (códigos de la escala de daños de ICCAT)</t>
  </si>
  <si>
    <t>Condición/estado de los ojos del pez en el momento de la liberación (códigos de la escala de daños de ICCAT)</t>
  </si>
  <si>
    <t>Condición/estado de la piel del pez en el momento de la liberación (códigos de la escala de daños de ICCAT)</t>
  </si>
  <si>
    <t>Condición/estado de las aletas del pez en el momento de la liberación (códigos de la escala de daños de ICCAT)</t>
  </si>
  <si>
    <t>Condición/estado del cuerpo del pez en el momento de la liberación (códigos de la escala de daños de ICCAT)</t>
  </si>
  <si>
    <t>Temperatura de la superficie del mar (grados Celsius) en el momento de la liberación</t>
  </si>
  <si>
    <t>Estado del mar en el momento de la liberación (escala Douglas)</t>
  </si>
  <si>
    <t>Velocidad del viento en el momento de la liberación (escala Beauford)</t>
  </si>
  <si>
    <t>Cobertura del cielo en el momento de la liberación (elegir de la escala estándar o poner un % de 0 a 100%)</t>
  </si>
  <si>
    <t>Número único de la persona (obtenido tras rellenar la tabla Personas) que identifica a quién marcó el pez</t>
  </si>
  <si>
    <t>S (sí) si todos los datos de la liberación fueron validados por un observador/científico; N(no) si no han sido validados</t>
  </si>
  <si>
    <t>Notas adicionales sobre la liberación</t>
  </si>
  <si>
    <t>Fecha (formato único) de la operación de recuperación</t>
  </si>
  <si>
    <t>Hora (formato único) de la operación de recuperación</t>
  </si>
  <si>
    <t>Si no se facilitan coordenadas geográficas (Lat/Lon), describir el área geográfica de recuperación</t>
  </si>
  <si>
    <t>Número único del buque (obtenido tras cumplimentar la tabla Buques) que identifica al buque utilizado en la operación de recuperación</t>
  </si>
  <si>
    <t>Arte utilizado para capturar al ejemplar recuperado (códigos de arte ICCAT)</t>
  </si>
  <si>
    <t>Definir el modo de la operación pesquera (DCP, banco libre, etc.) durante la operación de recuperación</t>
  </si>
  <si>
    <t>Acrónimo de la campaña asociada con el evento de recuperación. Dejar en blanco "ninguno"</t>
  </si>
  <si>
    <t>Código ICCAT que identifica el lugar de recuperación del pez (en el mar, mercado, conservera, etc.)</t>
  </si>
  <si>
    <t>Talla del pez en el momento de la recuperación</t>
  </si>
  <si>
    <t>Tipo de talla utilizado para medir el pez recuperado (por defecto = FL: longitud a la horquilla)</t>
  </si>
  <si>
    <t xml:space="preserve">Método utilizado para obtener la talla en el momento de la recuperación </t>
  </si>
  <si>
    <t>Peso en el momento de la recuperación</t>
  </si>
  <si>
    <t>Typo de peso utilizado para medir el pez recuperado (por defecto = RD: peso vivo)</t>
  </si>
  <si>
    <t xml:space="preserve">Método utilizado para obtener el peso en el momento de la recuperación </t>
  </si>
  <si>
    <t>Condición global (general) del pez en el momento de la recuperación (códigos de la escala de daños de ICCAT)</t>
  </si>
  <si>
    <t>Condición/estado de la cabeza del pez en el momento de la recuperación (códigos de la escala de daños de ICCAT)</t>
  </si>
  <si>
    <t>Condición/estado de la boca del pez en el momento de la recuperación (códigos de la escala de daños de ICCAT)</t>
  </si>
  <si>
    <t>Condición/estado de los ojos del pez en el momento de la recuperación (códigos de la escala de daños de ICCAT)</t>
  </si>
  <si>
    <t>Condición/estado de la piel del pez en el momento de la recuperación (códigos de la escala de daños de ICCAT)</t>
  </si>
  <si>
    <t>Condición/estado de las aletas del pez en el momento de la recuperación (códigos de la escala de daños de ICCAT)</t>
  </si>
  <si>
    <t>Condición/estado del cuerpo del pez en el momento de la recuperación (códigos de la escala de daños de ICCAT)</t>
  </si>
  <si>
    <t>Temperatura de la superficie del mar (grados Celsius) en el momento de la recuperación</t>
  </si>
  <si>
    <t>Número único de la persona (obtenido tras rellenar la tabla Personas) que identifica a quién recuperó el pez</t>
  </si>
  <si>
    <t>Para indicar si el pez ha sido vuelto a liberar de nuevo</t>
  </si>
  <si>
    <t>S (sí) si todos los datos de la recuperación fueron validados por un observador/científico; N(no) si no han sido validados</t>
  </si>
  <si>
    <t>Notas adicionales sobre la recuperación (por ej. Indicar "orphan recovery" si para una recuperación determinada no existen datos de liberación)</t>
  </si>
  <si>
    <t>Puntuación de la evaluación cualitativa global realizada por un científico cualificado (véase la escala en la Tabla T20)</t>
  </si>
  <si>
    <t>Número único (identificador) que se utilizará en el formulario ST-TG02 (ID del buque de las operaciones de liberación y recuperación)</t>
  </si>
  <si>
    <t>Nombre buque</t>
  </si>
  <si>
    <t>Nombre del buque</t>
  </si>
  <si>
    <t>Puerto/zona base</t>
  </si>
  <si>
    <t>Puerto base del buque</t>
  </si>
  <si>
    <t>Pabellón del buque</t>
  </si>
  <si>
    <t>Arte principal utilizado por el buque en las operaciones de liberación/recuperación</t>
  </si>
  <si>
    <t>Eslora total (m)</t>
  </si>
  <si>
    <t>TRB (t)</t>
  </si>
  <si>
    <t>Tonelaje de registro bruto (t)</t>
  </si>
  <si>
    <t>Liberación</t>
  </si>
  <si>
    <t>¿Está incluido este buque en la sección de liberación de la tabla principal (ST-TG02)? Sí o No</t>
  </si>
  <si>
    <t>Recuperación</t>
  </si>
  <si>
    <t>¿Está incluido este buque en la sección de recuperación de la tabla principal (ST-TG02)? Sí o No</t>
  </si>
  <si>
    <t>Notas adicionales relacionadas con el buque</t>
  </si>
  <si>
    <t>Identificación del buque</t>
  </si>
  <si>
    <t>Otros</t>
  </si>
  <si>
    <t>Incluido en la sección</t>
  </si>
  <si>
    <t>ID persona</t>
  </si>
  <si>
    <t>Número único (identificador) que se utilizará en el formulario ST-TG02 (ID marcador y ID recuperador)</t>
  </si>
  <si>
    <t>Nombre (completo)</t>
  </si>
  <si>
    <t>Nombre completo de la persona (Marcador/Recuperador)</t>
  </si>
  <si>
    <t>Tipo persona</t>
  </si>
  <si>
    <t>Categoría (códigos ICCAT) a la que pertenece esta persona (Observador, científico, etc.)</t>
  </si>
  <si>
    <t>¿Marcador?</t>
  </si>
  <si>
    <t>¿Recuperador?</t>
  </si>
  <si>
    <t>Direccion (completa)</t>
  </si>
  <si>
    <t>Dirección completa de la persona</t>
  </si>
  <si>
    <t>País de la persona</t>
  </si>
  <si>
    <t>Dirección correo electrónico</t>
  </si>
  <si>
    <t>Correo electrónico de la persona</t>
  </si>
  <si>
    <t>Teléfono de la persona</t>
  </si>
  <si>
    <t>Numéro unique du spécimen qui identifie de façon unique un poisson (généralement 1 nombre par ligne, sauf en cas de poissons remis à l'eau plusieurs fois)</t>
  </si>
  <si>
    <t xml:space="preserve">Code d'espèce ICCAT </t>
  </si>
  <si>
    <t>Code de sexe ICCAT</t>
  </si>
  <si>
    <t>Code standard ICCAT spécifiant l'apposition/récupération de marque (cf. définitions dans tableau)</t>
  </si>
  <si>
    <t>Date (format unique) de l'opération d'apposition de marque</t>
  </si>
  <si>
    <t>Heure (format unique) de l'opération d'apposition de marque</t>
  </si>
  <si>
    <t>Description zone</t>
  </si>
  <si>
    <t>Si aucune coordonnée géographique (Lat/Lon) n'est soumise, décrire la zone géographique de la remise à l'eau</t>
  </si>
  <si>
    <t>ID navire</t>
  </si>
  <si>
    <t>Numéro unique du navire (obtenu après avoir complété le tableau Navires) identifiant le navire utilisé dans l'opération d'apposition de marque</t>
  </si>
  <si>
    <t>Engin utilisé pour capturer le poisson remis à l'eau (codes engins ICCAT)</t>
  </si>
  <si>
    <t>Type école</t>
  </si>
  <si>
    <t>Définir le mode d'opération de pêche (DCP, banc libre etc.) durant l'opération d'apposition de marque</t>
  </si>
  <si>
    <t>Acronyme enquête</t>
  </si>
  <si>
    <t>Acronyme de l'enquête associée à l'opération d'apposition de marque. Laisser cette case vide s'il s'agit d'un marquage opportuniste</t>
  </si>
  <si>
    <t>T07</t>
  </si>
  <si>
    <t>Appât utilisé (généralement hameçons &amp; lignes) pour la capture du poisson remis à l'eau</t>
  </si>
  <si>
    <t>Profondeur (m)</t>
  </si>
  <si>
    <t xml:space="preserve">Profondeur de la capture du poisson remis à l'eau </t>
  </si>
  <si>
    <t>Taille du poisson à la remise à l'eau</t>
  </si>
  <si>
    <t>Type de taille utilisée pour mesurer le poisson remis à l'eau (par défaut = FL: longueur droite à la fourche)</t>
  </si>
  <si>
    <t>Méthode utilisée pour obtenir la taille à la remise à l'eau</t>
  </si>
  <si>
    <t>Poids à la remise à l'eau</t>
  </si>
  <si>
    <t>Type de poids utilisé pour mesurer le poisson remis à l'eau (par défaut = RD: poids vif)</t>
  </si>
  <si>
    <t>Méthode utilisée pour obtenir le poids à la remise à l'eau</t>
  </si>
  <si>
    <t>Condition globale (générale) du poisson à la remise à l'eau (codes ICCAT  d'échelle de blessures)</t>
  </si>
  <si>
    <t>tête</t>
  </si>
  <si>
    <t>Condition/état de la tête du poisson à la remise à l'eau (codes ICCAT  d'échelle de blessures)</t>
  </si>
  <si>
    <t>bouche</t>
  </si>
  <si>
    <t>Condition/état de la bouche du poisson à la remise à l'eau (codes ICCAT  d'échelle de blessures)</t>
  </si>
  <si>
    <t>yeux</t>
  </si>
  <si>
    <t>Condition/état des yeux du poisson à la remise à l'eau (codes ICCAT  d'échelle de blessures)</t>
  </si>
  <si>
    <t>peau</t>
  </si>
  <si>
    <t>Condition/état de la peau du poisson à la remise à l'eau (codes ICCAT  d'échelle de blessures)</t>
  </si>
  <si>
    <t>nageoires</t>
  </si>
  <si>
    <t>Condition/état des nageoires du poisson à la remise à l'eau (codes ICCAT  d'échelle de blessures)</t>
  </si>
  <si>
    <t>corps</t>
  </si>
  <si>
    <t>Condition/état du corps du poisson à la remise à l'eau (codes ICCAT  d'échelle de blessures)</t>
  </si>
  <si>
    <t>SST (°C)</t>
  </si>
  <si>
    <t xml:space="preserve">Température de la mer en surface (degrés Celsius) à la remise à l'eau </t>
  </si>
  <si>
    <t>Etat (douglas)</t>
  </si>
  <si>
    <t>Etat de la mer à la remise à l'eau (échelle Douglas )</t>
  </si>
  <si>
    <t>Vitesse (beaufort)</t>
  </si>
  <si>
    <t>Vitesse du vent  à la remise à l'eau (échelle de Beaufort)</t>
  </si>
  <si>
    <t>Couverture (échelle/%)</t>
  </si>
  <si>
    <t>Couverture du ciel à la remise à l'eau (choisir d'après une échelle standard ou donner un % de 0 à 100%)</t>
  </si>
  <si>
    <t>Numéro unique de la personne (obtenu après avoir rempli le tableau Personnes) identifiant la personne ayant marqué le poisson</t>
  </si>
  <si>
    <t>Vérification scientifique ?</t>
  </si>
  <si>
    <t>Y(oui) si toutes les données de marquage ont été validées par un scientifique/observateur; N(non) si elles n'ont pas été validées</t>
  </si>
  <si>
    <t>Notes de remise à l'eau</t>
  </si>
  <si>
    <t>Notes additionnelles sur l'apposition de marques</t>
  </si>
  <si>
    <t>Date (format unique ) de l'opération de récupération</t>
  </si>
  <si>
    <t>Heure (format unique ) de l'opération de récupération</t>
  </si>
  <si>
    <t>Si aucune coordonnée géographique (Lat/Lon) n'est soumise, décrire la zone géographique de la récupération</t>
  </si>
  <si>
    <t>Numéro unique du navire (obtenu après avoir complété le tableau Navires) identifiant le navire utilisé dans l'opération de récupération</t>
  </si>
  <si>
    <t>Engin utilisé pour capturer le poisson récupéré (codes engins ICCAT)</t>
  </si>
  <si>
    <t>Définir le mode d'opération de pêche (DCP, banc libre etc.) durant l'opération de récupération</t>
  </si>
  <si>
    <t>Acronyme de l'enquête associé à l'opération de récupération . Laisser la case "néant" vide</t>
  </si>
  <si>
    <t>Lieu de récupération</t>
  </si>
  <si>
    <t>Code ICCAT identifiant l'endroit de récupération du poisson (en mer, marché, usine de mise en conserve etc.)</t>
  </si>
  <si>
    <t>Taille du poisson à la récupération</t>
  </si>
  <si>
    <t>Type de taille utilisé pour mesurer le poisson récupéré (par défaut = FL: longueur droite à la fourche)</t>
  </si>
  <si>
    <t>Méthode utilisée pour obtenir la taille à la récupération</t>
  </si>
  <si>
    <t>Poids à la récupération</t>
  </si>
  <si>
    <t>Type de poids utilisé pour mesurer le poisson récupéré (par défaut = RD: poids vif)</t>
  </si>
  <si>
    <t>Méthode utilisée pour obtenir le poids à la récupération</t>
  </si>
  <si>
    <t>Condition globale (générale) du poisson à la récupération (codes ICCAT  d'échelle de blessures)</t>
  </si>
  <si>
    <t>Condition/état de la tête du poisson à la récupération  (codes ICCAT  d'échelle de blessures)</t>
  </si>
  <si>
    <t>Condition/état de la bouche du poisson à la récupération  (codes ICCAT  d'échelle de blessures)</t>
  </si>
  <si>
    <t>Condition/état des yeux du poisson à la récupération  (codes ICCAT  d'échelle de blessures)</t>
  </si>
  <si>
    <t>Condition/état de la peau du poisson à la récupération  (codes ICCAT  d'échelle de blessures)</t>
  </si>
  <si>
    <t>Condition/état des nageoires du poisson à la récupération  (codes ICCAT  d'échelle de blessures)</t>
  </si>
  <si>
    <t>Condition/état du corps du poisson à la récupération  (codes ICCAT  d'échelle de blessures)</t>
  </si>
  <si>
    <t xml:space="preserve">Température de la mer en surface (degrés Celsius) à la récupération </t>
  </si>
  <si>
    <t>Numéro unique de la personne (obtenu après avoir rempli le tableau Personnes) identifiant la personne ayant récupéré le poisson</t>
  </si>
  <si>
    <t>Remis à l'eau de nouveau?</t>
  </si>
  <si>
    <t>Pour indiquer si le poisson a été marqué et remis à l'eau une nouvelle fois</t>
  </si>
  <si>
    <t>Y(oui) si toutes les données de récupération ont été validées par un scientifique/observateur; N(non) si elles n'ont pas été validées</t>
  </si>
  <si>
    <t>Notes de récupération</t>
  </si>
  <si>
    <t>Notes additionnelles sur la récupération (ex: indiquer "récupération orpheline" si pour une récupération donnée il n'existe pas de données d'apposition de la marque)</t>
  </si>
  <si>
    <t>Note de la qualité de l'info</t>
  </si>
  <si>
    <t>Note d'évaluation de la qualité globale réalisée par un scientifique qualifié (voir barème au tableau T20)</t>
  </si>
  <si>
    <t>Numéro unique (identifiant) à utiliser dans le formulaire ST-TG02 (ID du navire pour les opérations de marquage et de récupération)</t>
  </si>
  <si>
    <t>Nom du navire</t>
  </si>
  <si>
    <t>Zone/port d'attache</t>
  </si>
  <si>
    <t xml:space="preserve">Port d'attache du navire </t>
  </si>
  <si>
    <t>Pavillon du navire</t>
  </si>
  <si>
    <t>Engin principal utilisé par le navire dans les opérations de marquage/récupération</t>
  </si>
  <si>
    <t>LHT (m)</t>
  </si>
  <si>
    <t>Longueur hors-tout (mètres)</t>
  </si>
  <si>
    <t>TJB (t)</t>
  </si>
  <si>
    <t>Tonnes de jauge brutes (t)</t>
  </si>
  <si>
    <t>Marquage</t>
  </si>
  <si>
    <t>Récupération</t>
  </si>
  <si>
    <t>Notes additionnelles sur le navire</t>
  </si>
  <si>
    <t>ID personne</t>
  </si>
  <si>
    <t>Numéro unique (identifiant) à utiliser dans le formulaire ST-TG02 (ID de personne ayant apposé la marque et ID de personne ayant procédé à la récupération)</t>
  </si>
  <si>
    <t>Nom (complet)</t>
  </si>
  <si>
    <t>Type de personne</t>
  </si>
  <si>
    <t>Catégorie (codes ICCAT) à laquelle cette personne appartient (Observateur, scientifique, etc.)</t>
  </si>
  <si>
    <t>Personne ayant apposé la marque ?</t>
  </si>
  <si>
    <t>Personne ayant récupéré la marque ?</t>
  </si>
  <si>
    <t>Adresse (complète)</t>
  </si>
  <si>
    <t>Adresse complète de la personne</t>
  </si>
  <si>
    <t>Pays de la personne</t>
  </si>
  <si>
    <t xml:space="preserve">Adresse e-mail </t>
  </si>
  <si>
    <t>Adresse e-mail de la personne</t>
  </si>
  <si>
    <t>Nº de téléphone de la personne</t>
  </si>
  <si>
    <t>Email</t>
  </si>
  <si>
    <t>Remarks (vessel)</t>
  </si>
  <si>
    <t>Notes (bateaux)</t>
  </si>
  <si>
    <t>Notas (buques)</t>
  </si>
  <si>
    <t>Notes (personne)</t>
  </si>
  <si>
    <t>Remarks (person)</t>
  </si>
  <si>
    <t>Notas (persona)</t>
  </si>
  <si>
    <t xml:space="preserve">Correspondant de marquage </t>
  </si>
  <si>
    <t xml:space="preserve">Identifiant (unique) du spécimen 
</t>
  </si>
  <si>
    <t>Marques utilisées (codes complets)</t>
  </si>
  <si>
    <t>Strate temporelle</t>
  </si>
  <si>
    <t>Strate géographique</t>
  </si>
  <si>
    <t>Opération de pêche</t>
  </si>
  <si>
    <t>Caractéristiques du spécimen</t>
  </si>
  <si>
    <t>Environnement</t>
  </si>
  <si>
    <t>Mer</t>
  </si>
  <si>
    <t>Vent</t>
  </si>
  <si>
    <t>Ciel</t>
  </si>
  <si>
    <t>Autre</t>
  </si>
  <si>
    <t>Information SUR LE MARQUAGE</t>
  </si>
  <si>
    <t>Information SUR LA RÉCUPÉRATION</t>
  </si>
  <si>
    <t>Autres</t>
  </si>
  <si>
    <t>D15a</t>
  </si>
  <si>
    <t>D15b</t>
  </si>
  <si>
    <t>D15c</t>
  </si>
  <si>
    <t>D24a</t>
  </si>
  <si>
    <t>D24b</t>
  </si>
  <si>
    <t>D14a</t>
  </si>
  <si>
    <t>D14b</t>
  </si>
  <si>
    <t>Taille (cm)</t>
  </si>
  <si>
    <t>Poids (kg)</t>
  </si>
  <si>
    <t>D14c</t>
  </si>
  <si>
    <t>Condition du poisson (blessures)</t>
  </si>
  <si>
    <t>D24c</t>
  </si>
  <si>
    <t>Detaille</t>
  </si>
  <si>
    <t>Personnes (marque/ récupéré) detailles</t>
  </si>
  <si>
    <t>Nom complet de la personne (marquage/récupération)</t>
  </si>
  <si>
    <t>Identification du navire</t>
  </si>
  <si>
    <t>Correspondant à la section</t>
  </si>
  <si>
    <t>Detalle</t>
  </si>
  <si>
    <t>Identificador del ejemplar (único)</t>
  </si>
  <si>
    <t>Marcas usadas (códigos completos)</t>
  </si>
  <si>
    <t>Información sobre LIBERACIÓN</t>
  </si>
  <si>
    <t xml:space="preserve">Estrato temporal </t>
  </si>
  <si>
    <t>Estrato geográfico</t>
  </si>
  <si>
    <t>Operación pesquera</t>
  </si>
  <si>
    <t>Características del ejemplar</t>
  </si>
  <si>
    <t>Talla</t>
  </si>
  <si>
    <t>Peso</t>
  </si>
  <si>
    <t>Condiciones del pez (daños)</t>
  </si>
  <si>
    <t>Entorno</t>
  </si>
  <si>
    <t>Mar</t>
  </si>
  <si>
    <t>Viento</t>
  </si>
  <si>
    <t>Cielo</t>
  </si>
  <si>
    <t>Información sobre RECUPERACIÓN</t>
  </si>
  <si>
    <t>Validación</t>
  </si>
  <si>
    <t>Environment (sea)</t>
  </si>
  <si>
    <t>Environnement (mer)</t>
  </si>
  <si>
    <t>Entorno (mar)</t>
  </si>
  <si>
    <t>Personas (marcadores/recuperadores) detalles</t>
  </si>
  <si>
    <t>General (all form)</t>
  </si>
  <si>
    <t>General (todo el formulario)</t>
  </si>
  <si>
    <t>General (tout le formulaire)</t>
  </si>
  <si>
    <t>4-Instructions</t>
  </si>
  <si>
    <t>Specific</t>
  </si>
  <si>
    <t>Corresponsal de marcado</t>
  </si>
  <si>
    <t>H02</t>
  </si>
  <si>
    <t>Talla (cm)</t>
  </si>
  <si>
    <t>Peso (kg)</t>
  </si>
  <si>
    <t>Additional person related notes (tagger/recapturer)</t>
  </si>
  <si>
    <t>Notas adicionales relacionadas con el marcador/recuperador</t>
  </si>
  <si>
    <t>Notes additionnelles sur la personne du marquage</t>
  </si>
  <si>
    <t>D05</t>
  </si>
  <si>
    <t>RC code</t>
  </si>
  <si>
    <t>TG02B</t>
  </si>
  <si>
    <t>TG02C</t>
  </si>
  <si>
    <t>Conventional tagging events (releases/recaptures)</t>
  </si>
  <si>
    <t>Événements de marquage conventionelle (marcage/récuperation)</t>
  </si>
  <si>
    <t>Eventos de marcado  convencional (marcado/recaptura)</t>
  </si>
  <si>
    <t>Navires impliqués dans des expériences de marquage</t>
  </si>
  <si>
    <t>Buques involucrados en experimentos de marcado</t>
  </si>
  <si>
    <t>Persons (taggers/recapturers) involved in tagging experiments</t>
  </si>
  <si>
    <t>Personas (marcadores/recapturadores) involucradas en experimentos de marcado</t>
  </si>
  <si>
    <t>Personnes (tagueurs / recaptureurs) impliquées dans les expériences de marquage</t>
  </si>
  <si>
    <t>T08 Length types</t>
  </si>
  <si>
    <t>T09 Length methods</t>
  </si>
  <si>
    <t>T10 Weight types</t>
  </si>
  <si>
    <t>T11 Weight methods</t>
  </si>
  <si>
    <t>T12 Injury states</t>
  </si>
  <si>
    <t>T13 Version types (header)</t>
  </si>
  <si>
    <t>T14 Content types (header)</t>
  </si>
  <si>
    <t>Measured: Dynamometer</t>
  </si>
  <si>
    <t>cabeza</t>
  </si>
  <si>
    <t xml:space="preserve">Marque 1 </t>
  </si>
  <si>
    <t>Marca 1</t>
  </si>
  <si>
    <t>Marque 2</t>
  </si>
  <si>
    <t>Marque 3</t>
  </si>
  <si>
    <t>Marque 4</t>
  </si>
  <si>
    <t>Marca 2</t>
  </si>
  <si>
    <t>Marca 3</t>
  </si>
  <si>
    <t>Marca 4</t>
  </si>
  <si>
    <r>
      <t xml:space="preserve">Conventional tag codes used now/future (3A6N): </t>
    </r>
    <r>
      <rPr>
        <b/>
        <sz val="9"/>
        <rFont val="Calibri"/>
        <family val="2"/>
        <scheme val="minor"/>
      </rPr>
      <t>XXX</t>
    </r>
    <r>
      <rPr>
        <sz val="9"/>
        <rFont val="Calibri"/>
        <family val="2"/>
        <scheme val="minor"/>
      </rPr>
      <t>999999 with X={A…Z, "-"}; 9=[0…9]</t>
    </r>
  </si>
  <si>
    <r>
      <t xml:space="preserve">Conventional tag codes used historically (2A6N):  </t>
    </r>
    <r>
      <rPr>
        <b/>
        <sz val="9"/>
        <rFont val="Calibri"/>
        <family val="2"/>
        <scheme val="minor"/>
      </rPr>
      <t>XX</t>
    </r>
    <r>
      <rPr>
        <sz val="9"/>
        <rFont val="Calibri"/>
        <family val="2"/>
        <scheme val="minor"/>
      </rPr>
      <t>999999 with X={A…Z, "-"}; 9=[0…9]</t>
    </r>
  </si>
  <si>
    <t>Tag code formats (conventional)</t>
  </si>
  <si>
    <t>Example</t>
  </si>
  <si>
    <t>RM000132</t>
  </si>
  <si>
    <t>ATP000456</t>
  </si>
  <si>
    <t>Latitude at which the fish was released. Choose one of the two formats available (see formats)</t>
  </si>
  <si>
    <t>see format</t>
  </si>
  <si>
    <t>dd= degrees; mm=minutes;ss=seconds (E: East, W: West)</t>
  </si>
  <si>
    <t>dd= degrees; mm=minutes;ss=seconds (N: North, S: South)</t>
  </si>
  <si>
    <t>Decimal degree coordinate system {(N,+),(S,-)}. (dd.d# = ±(dd + mm/60 + ss/3600)):: 5 decimals (max)</t>
  </si>
  <si>
    <t>Decimal degree coordinate system {(E,+),(W,-)}. (ddd.d# = ±(dd + mm/60 + ss/3600)):: 5 decimals (max)</t>
  </si>
  <si>
    <t>152034N</t>
  </si>
  <si>
    <t>653015W</t>
  </si>
  <si>
    <t>Longitude at which the fish was released. Choose one of the two formats available (see formats)</t>
  </si>
  <si>
    <t>Longitude at which the fish was recovered. Choose one of the two formats available (see formats)</t>
  </si>
  <si>
    <t>Latitude à laquelle le poisson a été remis à l'eau. Choisissez l'un des deux formats disponibles (voir formats)</t>
  </si>
  <si>
    <t>Longitude à laquelle le poisson a été remis à l'eau. Choisissez l'un des deux formats disponibles (voir formats)</t>
  </si>
  <si>
    <t>Longitude à laquelle le poisson a été récupéré. Choisissez l'un des deux formats disponibles (voir formats)</t>
  </si>
  <si>
    <t>Latitud en la que el pez fue liberado. Elija uno de los dos formatos disponibles (ver formatos)</t>
  </si>
  <si>
    <t>Longitud en la que el pez fue liberado. Elija uno de los dos formatos disponibles (ver formatos)</t>
  </si>
  <si>
    <t>Latitud en la que el pez fue recuperado. Elija uno de los dos formatos disponibles (ver formatos)</t>
  </si>
  <si>
    <t>Longitud en la que el pez fue recuperado. Elija uno de los dos formatos disponibles (ver formatos)</t>
  </si>
  <si>
    <t>H01a</t>
  </si>
  <si>
    <t>H2a</t>
  </si>
  <si>
    <t>Helper1</t>
  </si>
  <si>
    <t>(Cette information complémentaire est confidentielle et ne sera utilisée que sur le système de loterie ICCAT)</t>
  </si>
  <si>
    <t>(Esta información complementaria es confidencial y solo se utilizará en el sistema de lotería de ICCAT)</t>
  </si>
  <si>
    <t>Contrôle qualité</t>
  </si>
  <si>
    <t>Control calidad</t>
  </si>
  <si>
    <t>reFcGl</t>
  </si>
  <si>
    <t>reFcHe</t>
  </si>
  <si>
    <t>reFcMo</t>
  </si>
  <si>
    <t>reFcEy</t>
  </si>
  <si>
    <t>reFcSk</t>
  </si>
  <si>
    <t>reFcFi</t>
  </si>
  <si>
    <t>reFcBo</t>
  </si>
  <si>
    <t>rcFcGl</t>
  </si>
  <si>
    <t>rcFcHe</t>
  </si>
  <si>
    <t>rcFcMo</t>
  </si>
  <si>
    <t>rcFcEy</t>
  </si>
  <si>
    <t>rcFcSk</t>
  </si>
  <si>
    <t>rcFcFi</t>
  </si>
  <si>
    <t>rcFcBo</t>
  </si>
  <si>
    <t>Time (hh:mm)</t>
  </si>
  <si>
    <t>Time  (hh:mm)</t>
  </si>
  <si>
    <t>Heure  (hh:mm)</t>
  </si>
  <si>
    <t>Hora  (hh:mm)</t>
  </si>
  <si>
    <t>Liberación (R)/Recuperación (C):Identificador del evento (único)</t>
  </si>
  <si>
    <t>Specimen identifier (unique)</t>
  </si>
  <si>
    <t>Release(R)/Recovery(C): Event identifier (unique)</t>
  </si>
  <si>
    <t>Marquage (R)/Récupération (C) : Identifiant de l'opération (unique)</t>
  </si>
  <si>
    <t>Tagging operation  (unique identifier)</t>
  </si>
  <si>
    <t>Opération de marquage (Identifiant unique)</t>
  </si>
  <si>
    <t>Operación de marcado (Identificador único)</t>
  </si>
  <si>
    <t>To indicate if the fish has been released again</t>
  </si>
  <si>
    <t>¿Está incluida esta persona en la sección de liberación de la tabla principal (TG02A)? Sí o No</t>
  </si>
  <si>
    <t>¿Está incluida esta persona en la sección de recuperación de la tabla principal (TG02A)? Sí o No</t>
  </si>
  <si>
    <t>Recovery place</t>
  </si>
  <si>
    <t>Gear cod.</t>
  </si>
  <si>
    <t>Type cod.</t>
  </si>
  <si>
    <t>Method cod.</t>
  </si>
  <si>
    <t>Flag cod.</t>
  </si>
  <si>
    <t>Country cod.</t>
  </si>
  <si>
    <t>Species cod.</t>
  </si>
  <si>
    <t>Espèce cod.</t>
  </si>
  <si>
    <t>Sexe cod.</t>
  </si>
  <si>
    <t>RCStage cod.</t>
  </si>
  <si>
    <t>Sex cod.</t>
  </si>
  <si>
    <t>Bait cod.</t>
  </si>
  <si>
    <t>Cebo (cód.)</t>
  </si>
  <si>
    <t>Engin cod.</t>
  </si>
  <si>
    <t>Appât cod.</t>
  </si>
  <si>
    <t>Méthode cod.</t>
  </si>
  <si>
    <t>Tipo cód.</t>
  </si>
  <si>
    <t>Método cód.</t>
  </si>
  <si>
    <t>Arte cód.</t>
  </si>
  <si>
    <t>Pavillon cod.</t>
  </si>
  <si>
    <t>Pabellón cód.</t>
  </si>
  <si>
    <t xml:space="preserve">Pays cod. </t>
  </si>
  <si>
    <t>País cód.</t>
  </si>
  <si>
    <t>Datos de marcado-liberación de marcas convencionales</t>
  </si>
  <si>
    <t>Données de marquage-récupération de marques conventionnelles</t>
  </si>
  <si>
    <t>Date déclaration</t>
  </si>
  <si>
    <t>Fecha notificación</t>
  </si>
  <si>
    <t>Always use the lastest version of this form</t>
  </si>
  <si>
    <t>Name (full OR Name &amp; Surname) of the Statistical Correspondent (officially nominated by the CPC)</t>
  </si>
  <si>
    <t>Telephone number of the Statistical Correspondent</t>
  </si>
  <si>
    <t>Institute (ministry, agency, research Institute, etc.) to which the statistical Correspondent is affiliated</t>
  </si>
  <si>
    <t>Department within the Institution, where applicable</t>
  </si>
  <si>
    <t>Postal address of the institution (street, number, city, state)</t>
  </si>
  <si>
    <t>Choose the Flag CPC reporting the data (ICCAT codes)</t>
  </si>
  <si>
    <t>Specify if this submission is Preliminary (subject to revision) or Final (already validated)</t>
  </si>
  <si>
    <t>Add additional (complementary) notes in respect to the overall dataset (if needed)</t>
  </si>
  <si>
    <t>Is this vessel listed in the recovery section of main table (ST-TG02). Yes or No</t>
  </si>
  <si>
    <t>Is this person listed in the release section of main table (TG02A). Yes or No</t>
  </si>
  <si>
    <t>Is this person listed in the recovery section of main table (TG02A). Yes or No</t>
  </si>
  <si>
    <t>Ce navire figure-t-il dans la section de récupération du tableau principal (ST-TG02)? Oui ou Non</t>
  </si>
  <si>
    <t>Cette personne figure-t-elle dans la section de marquage du tableau principal (TG02A)? Oui ou Non</t>
  </si>
  <si>
    <t>Cette personne figure-t-elle dans la section de récupération du tableau principal (TG02A)? Oui ou Non</t>
  </si>
  <si>
    <t>Utiliser toujours la dernière version de ce formulaire</t>
  </si>
  <si>
    <t>Choisisser la langue (EN, FR, ES) pour la traduction du formulaire</t>
  </si>
  <si>
    <t>Adresse email du Correspondant statistique</t>
  </si>
  <si>
    <t>Numéro de téléphone du Correspondant statistique</t>
  </si>
  <si>
    <t>Institution (ministère, agence, institut de recherche, etc.) à laquelle le Correspondant statistique est affilié</t>
  </si>
  <si>
    <t>Département au sein de l'institution, le cas échéant</t>
  </si>
  <si>
    <t>Adresse postale de l'institution (rue, numéro, ville, état)</t>
  </si>
  <si>
    <t>Pays dans lequel l'institution est installée</t>
  </si>
  <si>
    <t>Choisir la CPC de pavillon qui déclare les données (code ICCAT)</t>
  </si>
  <si>
    <t>Préciser si cette soumission est préliminaire (sujette à révision) ou finale (déjà validée)</t>
  </si>
  <si>
    <t>Ajouter des notes additionnelles (complémentaires) en ce qui concerne le jeu de données global (si nécessaire)</t>
  </si>
  <si>
    <t>Code de la 1er marque conventionnelle. Seuls les caractères {A…Z,"-"} et 9={0…9} sont autorisés. Choisir le format</t>
  </si>
  <si>
    <t>Code de la 2ème marque conventionnelle. Seuls les caractères {A…Z,"-"} et 9={0…9} sont autorisés. Choisir le format si utilisé</t>
  </si>
  <si>
    <t>3ème code de marque conventionnelle. Seuls les caractères {A…Z,"-"} et 9={0…9} sont autorisés. Choisir le format si utilisé</t>
  </si>
  <si>
    <t>4ème code de marque conventionnelle. Seuls les caractères {A…Z,"-"} et 9={0…9} sont autorisés. Choisir le format si utilisé</t>
  </si>
  <si>
    <t>Ce navire figure-t-il dans la section de marquage du tableau principal (ST-TG02)? Oui ou Non</t>
  </si>
  <si>
    <t>Utilice siempre la última versión de este formulario</t>
  </si>
  <si>
    <t>Elija el idioma (EN, FR, ES) para la traducción del formulario</t>
  </si>
  <si>
    <t>Nombre (completo o nombre y apellido) del Corresponsal estadístico designado oficialmente por la CPC</t>
  </si>
  <si>
    <t>Dirección de correo electrónico del corresponsal estadístico</t>
  </si>
  <si>
    <t>Número de teléfono del corresponsal estadístico</t>
  </si>
  <si>
    <t>Institución (Ministerio, Agencia, instituto de investigación, etc.) al que pertenece el corresponsal estadístico</t>
  </si>
  <si>
    <t>Departamento dentro de la institución, si procede</t>
  </si>
  <si>
    <t>Dirección postal de la institución (calle, número, ciudad, estado)</t>
  </si>
  <si>
    <t>País en el que tiene su sede la institución</t>
  </si>
  <si>
    <t>Escoger la CPC del pabellón que comunica los datos (códigos ICCAT)</t>
  </si>
  <si>
    <t>Especificar si la presentación es preliminar (sujeta a revisión) o final (ya validada)</t>
  </si>
  <si>
    <t>Añadir notas adicionales (complementarias) para el conjunto de datos global (si se requieren)</t>
  </si>
  <si>
    <t>ENG</t>
  </si>
  <si>
    <t>Marqueur ID</t>
  </si>
  <si>
    <t>Marcador ID</t>
  </si>
  <si>
    <t>Récupérateur ID</t>
  </si>
  <si>
    <t xml:space="preserve">Recuperador ID </t>
  </si>
  <si>
    <t>Tagger ID</t>
  </si>
  <si>
    <t>Recoverer ID</t>
  </si>
  <si>
    <t>pending SCRS</t>
  </si>
  <si>
    <t>No decisions made (yet by the SCRS) to this form on Filter 2</t>
  </si>
  <si>
    <t>2020a</t>
  </si>
  <si>
    <t>Table. Flag codes</t>
  </si>
  <si>
    <t>Kajikia albida</t>
  </si>
  <si>
    <t>2-Tuna (small t.)</t>
  </si>
  <si>
    <t>3-Tuna (other sp.)</t>
  </si>
  <si>
    <t>4-Sharks (major sp.)</t>
  </si>
  <si>
    <t>5-Sharks (other sp.)</t>
  </si>
  <si>
    <t>Requin-vache</t>
  </si>
  <si>
    <t>Cañabota ojigrande</t>
  </si>
  <si>
    <t xml:space="preserve">Inshore manta ray </t>
  </si>
  <si>
    <t>Mobula japonica</t>
  </si>
  <si>
    <t>SKH</t>
  </si>
  <si>
    <t>Selachimorpha (Pleurotremata)</t>
  </si>
  <si>
    <t>Various sharks nei</t>
  </si>
  <si>
    <t>Requins divers nca</t>
  </si>
  <si>
    <t>Escualos diversos nep</t>
  </si>
  <si>
    <t>6-Superorder</t>
  </si>
  <si>
    <t>6-Teleosts</t>
  </si>
  <si>
    <t>7-Turtles</t>
  </si>
  <si>
    <t>8-Seabirds</t>
  </si>
  <si>
    <t>9-Mammals</t>
  </si>
  <si>
    <t>AUT</t>
  </si>
  <si>
    <t>FIN</t>
  </si>
  <si>
    <t>LUX</t>
  </si>
  <si>
    <t>SVK</t>
  </si>
  <si>
    <t>BIH</t>
  </si>
  <si>
    <t>Bosnia and Herzegovina</t>
  </si>
  <si>
    <t>BFA</t>
  </si>
  <si>
    <t>Burkina Faso</t>
  </si>
  <si>
    <t>DJI</t>
  </si>
  <si>
    <t>Djibouti</t>
  </si>
  <si>
    <t>IMN</t>
  </si>
  <si>
    <t>Isle of Man</t>
  </si>
  <si>
    <t>MNG</t>
  </si>
  <si>
    <t>Mongolia</t>
  </si>
  <si>
    <t>MKD</t>
  </si>
  <si>
    <t>Longline: Targetting ALB</t>
  </si>
  <si>
    <t>Longline: Targetting BFT</t>
  </si>
  <si>
    <t>Longline: With mother boat</t>
  </si>
  <si>
    <t>Longline: Targetting SWO</t>
  </si>
  <si>
    <t>Trap: small traps</t>
  </si>
  <si>
    <t xml:space="preserve">Gillnet: Drift gillnets </t>
  </si>
  <si>
    <t>Other (specified in Notes)</t>
  </si>
  <si>
    <t>ContentCode</t>
  </si>
  <si>
    <t>New (FULL)</t>
  </si>
  <si>
    <t>New data (never reported to ICCAT): FULL coverage</t>
  </si>
  <si>
    <t>NF</t>
  </si>
  <si>
    <t>New (PARTIAL)</t>
  </si>
  <si>
    <t>New data (never reported to ICCAT): PARTIAL coverage</t>
  </si>
  <si>
    <t>NP</t>
  </si>
  <si>
    <t>Revised data (FULL): to fully replace the previously reported data</t>
  </si>
  <si>
    <t>RF</t>
  </si>
  <si>
    <t>Revised data (PARTIAL): to partially replace the previously reported data</t>
  </si>
  <si>
    <t>RP</t>
  </si>
  <si>
    <t>FlagCode</t>
  </si>
  <si>
    <t>SpeciesCode</t>
  </si>
  <si>
    <t>GearCode</t>
  </si>
  <si>
    <t>SchoolTypeCode</t>
  </si>
  <si>
    <t>PersonTypeCode</t>
  </si>
  <si>
    <t>SkyCoverageCode</t>
  </si>
  <si>
    <t>RecPlaceCode</t>
  </si>
  <si>
    <t>QualInfoScoreCode</t>
  </si>
  <si>
    <t>TagTypeCode</t>
  </si>
  <si>
    <t>Status (2020)</t>
  </si>
  <si>
    <t>{2020a}*</t>
  </si>
  <si>
    <t>* Suffix "a" refers to the form sub-version (minor corrections &amp; no changes in structure) revised within a year. Sequentially issued (i.e.: 2020a, 2020b, ...) whenever required.</t>
  </si>
  <si>
    <t>InjuryStateCode</t>
  </si>
  <si>
    <t>WgtMethodCode</t>
  </si>
  <si>
    <t>WgtTypeCode</t>
  </si>
  <si>
    <t>LenMethodCode</t>
  </si>
  <si>
    <t>BaitTypeCode</t>
  </si>
  <si>
    <t>LenTypeCode</t>
  </si>
  <si>
    <t>TagColorCode</t>
  </si>
  <si>
    <t>SexCode</t>
  </si>
  <si>
    <t>RCStageCode</t>
  </si>
  <si>
    <r>
      <t>Etmopterus bullisi</t>
    </r>
    <r>
      <rPr>
        <sz val="9"/>
        <color rgb="FF00000A"/>
        <rFont val="Times New Roman"/>
        <family val="1"/>
      </rPr>
      <t xml:space="preserve"> </t>
    </r>
  </si>
  <si>
    <r>
      <t>Euprotomicrus bispinatus</t>
    </r>
    <r>
      <rPr>
        <sz val="9"/>
        <color rgb="FF00000A"/>
        <rFont val="Times New Roman"/>
        <family val="1"/>
      </rPr>
      <t xml:space="preserve"> </t>
    </r>
  </si>
  <si>
    <r>
      <t>Euprotomicroides zantedeschia</t>
    </r>
    <r>
      <rPr>
        <sz val="9"/>
        <color rgb="FF00000A"/>
        <rFont val="Times New Roman"/>
        <family val="1"/>
      </rPr>
      <t xml:space="preserve"> </t>
    </r>
  </si>
  <si>
    <r>
      <t>Hexanchus nakamurai</t>
    </r>
    <r>
      <rPr>
        <sz val="9"/>
        <color rgb="FF00000A"/>
        <rFont val="Times New Roman"/>
        <family val="1"/>
      </rPr>
      <t xml:space="preserve"> </t>
    </r>
  </si>
  <si>
    <r>
      <t>Isistius plutodus</t>
    </r>
    <r>
      <rPr>
        <sz val="9"/>
        <color rgb="FF00000A"/>
        <rFont val="Times New Roman"/>
        <family val="1"/>
      </rPr>
      <t xml:space="preserve"> </t>
    </r>
  </si>
  <si>
    <r>
      <t>Mitsukurina owstoni</t>
    </r>
    <r>
      <rPr>
        <sz val="9"/>
        <color rgb="FF00000A"/>
        <rFont val="Times New Roman"/>
        <family val="1"/>
      </rPr>
      <t xml:space="preserve"> </t>
    </r>
  </si>
  <si>
    <r>
      <t>Manta alfredi</t>
    </r>
    <r>
      <rPr>
        <sz val="9"/>
        <color rgb="FF00000A"/>
        <rFont val="Times New Roman"/>
        <family val="1"/>
      </rPr>
      <t xml:space="preserve"> </t>
    </r>
  </si>
  <si>
    <r>
      <t>Deania profundorum</t>
    </r>
    <r>
      <rPr>
        <sz val="9"/>
        <color rgb="FF00000A"/>
        <rFont val="Times New Roman"/>
        <family val="1"/>
      </rPr>
      <t xml:space="preserve"> </t>
    </r>
  </si>
  <si>
    <t>Fish condition (injuries)</t>
  </si>
  <si>
    <t>FlagA2ISO</t>
  </si>
  <si>
    <t>AL</t>
  </si>
  <si>
    <t>DZ</t>
  </si>
  <si>
    <t>AO</t>
  </si>
  <si>
    <t>BZ</t>
  </si>
  <si>
    <t>BR</t>
  </si>
  <si>
    <t>CA</t>
  </si>
  <si>
    <t>CV</t>
  </si>
  <si>
    <t>CN</t>
  </si>
  <si>
    <t>CW</t>
  </si>
  <si>
    <t>CI</t>
  </si>
  <si>
    <t>AT</t>
  </si>
  <si>
    <t>BE</t>
  </si>
  <si>
    <t>BG</t>
  </si>
  <si>
    <t>HR</t>
  </si>
  <si>
    <t>CY</t>
  </si>
  <si>
    <t>CZ</t>
  </si>
  <si>
    <t>DK</t>
  </si>
  <si>
    <t>ES</t>
  </si>
  <si>
    <t>EE</t>
  </si>
  <si>
    <t>FI</t>
  </si>
  <si>
    <t>FR</t>
  </si>
  <si>
    <t>DE</t>
  </si>
  <si>
    <t>GR</t>
  </si>
  <si>
    <t>HU</t>
  </si>
  <si>
    <t>IE</t>
  </si>
  <si>
    <t>IT</t>
  </si>
  <si>
    <t>LV</t>
  </si>
  <si>
    <t>LT</t>
  </si>
  <si>
    <t>LU</t>
  </si>
  <si>
    <t>MT</t>
  </si>
  <si>
    <t>NL</t>
  </si>
  <si>
    <t>PL</t>
  </si>
  <si>
    <t>PT</t>
  </si>
  <si>
    <t>RO</t>
  </si>
  <si>
    <t>SK</t>
  </si>
  <si>
    <t>SI</t>
  </si>
  <si>
    <t>SE</t>
  </si>
  <si>
    <t>GB</t>
  </si>
  <si>
    <t>EG</t>
  </si>
  <si>
    <t>SV</t>
  </si>
  <si>
    <t>PM</t>
  </si>
  <si>
    <t>GA</t>
  </si>
  <si>
    <t>GM</t>
  </si>
  <si>
    <t>GH</t>
  </si>
  <si>
    <t>GD</t>
  </si>
  <si>
    <t>GT</t>
  </si>
  <si>
    <t>GW</t>
  </si>
  <si>
    <t>GQ</t>
  </si>
  <si>
    <t>GN</t>
  </si>
  <si>
    <t>HN</t>
  </si>
  <si>
    <t>IS</t>
  </si>
  <si>
    <t>JP</t>
  </si>
  <si>
    <t>KR</t>
  </si>
  <si>
    <t>LR</t>
  </si>
  <si>
    <t>LY</t>
  </si>
  <si>
    <t>MA</t>
  </si>
  <si>
    <t>MR</t>
  </si>
  <si>
    <t>MX</t>
  </si>
  <si>
    <t>NA</t>
  </si>
  <si>
    <t>NI</t>
  </si>
  <si>
    <t>NG</t>
  </si>
  <si>
    <t>NO</t>
  </si>
  <si>
    <t>PA</t>
  </si>
  <si>
    <t>PH</t>
  </si>
  <si>
    <t>RU</t>
  </si>
  <si>
    <t>ST</t>
  </si>
  <si>
    <t>SN</t>
  </si>
  <si>
    <t>SL</t>
  </si>
  <si>
    <t>ZA</t>
  </si>
  <si>
    <t>VC</t>
  </si>
  <si>
    <t>SY</t>
  </si>
  <si>
    <t>TT</t>
  </si>
  <si>
    <t>TR</t>
  </si>
  <si>
    <t>US</t>
  </si>
  <si>
    <t>BM</t>
  </si>
  <si>
    <t>VG</t>
  </si>
  <si>
    <t>SH</t>
  </si>
  <si>
    <t>TC</t>
  </si>
  <si>
    <t>UY</t>
  </si>
  <si>
    <t>VU</t>
  </si>
  <si>
    <t>VE</t>
  </si>
  <si>
    <t>BO</t>
  </si>
  <si>
    <t>TW</t>
  </si>
  <si>
    <t>CO</t>
  </si>
  <si>
    <t>CR</t>
  </si>
  <si>
    <t>GY</t>
  </si>
  <si>
    <t>SR</t>
  </si>
  <si>
    <t>AD</t>
  </si>
  <si>
    <t>AI</t>
  </si>
  <si>
    <t>AG</t>
  </si>
  <si>
    <t>AR</t>
  </si>
  <si>
    <t>AW</t>
  </si>
  <si>
    <t>AU</t>
  </si>
  <si>
    <t>BS</t>
  </si>
  <si>
    <t>BY</t>
  </si>
  <si>
    <t>BJ</t>
  </si>
  <si>
    <t>BA</t>
  </si>
  <si>
    <t>BN</t>
  </si>
  <si>
    <t>BF</t>
  </si>
  <si>
    <t>KH</t>
  </si>
  <si>
    <t>CM</t>
  </si>
  <si>
    <t>KY</t>
  </si>
  <si>
    <t>CL</t>
  </si>
  <si>
    <t>CG</t>
  </si>
  <si>
    <t>CK</t>
  </si>
  <si>
    <t>CU</t>
  </si>
  <si>
    <t>DJ</t>
  </si>
  <si>
    <t>DM</t>
  </si>
  <si>
    <t>DO</t>
  </si>
  <si>
    <t>EC</t>
  </si>
  <si>
    <t>FK</t>
  </si>
  <si>
    <t>FO</t>
  </si>
  <si>
    <t>FJ</t>
  </si>
  <si>
    <t>GE</t>
  </si>
  <si>
    <t>GU</t>
  </si>
  <si>
    <t>HT</t>
  </si>
  <si>
    <t>IN</t>
  </si>
  <si>
    <t>IR</t>
  </si>
  <si>
    <t>IM</t>
  </si>
  <si>
    <t>Qatar</t>
  </si>
  <si>
    <t>QAT</t>
  </si>
  <si>
    <t>QA</t>
  </si>
  <si>
    <t>IL</t>
  </si>
  <si>
    <t>JM</t>
  </si>
  <si>
    <t>KE</t>
  </si>
  <si>
    <t>KI</t>
  </si>
  <si>
    <t>KW</t>
  </si>
  <si>
    <t>LB</t>
  </si>
  <si>
    <t>MG</t>
  </si>
  <si>
    <t>MY</t>
  </si>
  <si>
    <t>MV</t>
  </si>
  <si>
    <t>MH</t>
  </si>
  <si>
    <t>MU</t>
  </si>
  <si>
    <t>FM</t>
  </si>
  <si>
    <t>MN</t>
  </si>
  <si>
    <t>ME</t>
  </si>
  <si>
    <t>MZ</t>
  </si>
  <si>
    <t>NC</t>
  </si>
  <si>
    <t>NZ</t>
  </si>
  <si>
    <t>MK</t>
  </si>
  <si>
    <t>OM</t>
  </si>
  <si>
    <t>PW</t>
  </si>
  <si>
    <t>PG</t>
  </si>
  <si>
    <t>PE</t>
  </si>
  <si>
    <t>PF</t>
  </si>
  <si>
    <t>PR</t>
  </si>
  <si>
    <t>KN</t>
  </si>
  <si>
    <t>WS</t>
  </si>
  <si>
    <t>SA</t>
  </si>
  <si>
    <t>RS</t>
  </si>
  <si>
    <t>SC</t>
  </si>
  <si>
    <t>SG</t>
  </si>
  <si>
    <t>SB</t>
  </si>
  <si>
    <t>LK</t>
  </si>
  <si>
    <t>LC</t>
  </si>
  <si>
    <t>CH</t>
  </si>
  <si>
    <t>TZ</t>
  </si>
  <si>
    <t>TH</t>
  </si>
  <si>
    <t>TG</t>
  </si>
  <si>
    <t>TO</t>
  </si>
  <si>
    <t>TV</t>
  </si>
  <si>
    <t>VI</t>
  </si>
  <si>
    <t>UA</t>
  </si>
  <si>
    <t>AE</t>
  </si>
  <si>
    <t>VN</t>
  </si>
  <si>
    <t>Türkiye</t>
  </si>
  <si>
    <t>EU-Austria</t>
  </si>
  <si>
    <t>EU-AUT</t>
  </si>
  <si>
    <t>EU-Belgium</t>
  </si>
  <si>
    <t>EU-BEL</t>
  </si>
  <si>
    <t>EU-Bulgaria</t>
  </si>
  <si>
    <t>EU-BGR</t>
  </si>
  <si>
    <t>EU-Croatia</t>
  </si>
  <si>
    <t>EU-HRV</t>
  </si>
  <si>
    <t>EU-Cyprus</t>
  </si>
  <si>
    <t>EU-CYP</t>
  </si>
  <si>
    <t>EU-Czechia</t>
  </si>
  <si>
    <t>EU-CZE</t>
  </si>
  <si>
    <t>EU-Denmark</t>
  </si>
  <si>
    <t>EU-DNK</t>
  </si>
  <si>
    <t>EU-España</t>
  </si>
  <si>
    <t>EU-ESP</t>
  </si>
  <si>
    <t>EU-Estonia</t>
  </si>
  <si>
    <t>EU-EST</t>
  </si>
  <si>
    <t>EU-Finland</t>
  </si>
  <si>
    <t>EU-FIN</t>
  </si>
  <si>
    <t>EU-France</t>
  </si>
  <si>
    <t>EU-FRA</t>
  </si>
  <si>
    <t>EU-Germany</t>
  </si>
  <si>
    <t>EU-DEU</t>
  </si>
  <si>
    <t>EU-Greece</t>
  </si>
  <si>
    <t>EU-GRC</t>
  </si>
  <si>
    <t>EU-Hungary</t>
  </si>
  <si>
    <t>EU-HUN</t>
  </si>
  <si>
    <t>EU-Ireland</t>
  </si>
  <si>
    <t>EU-IRL</t>
  </si>
  <si>
    <t>EU-Italy</t>
  </si>
  <si>
    <t>EU-ITA</t>
  </si>
  <si>
    <t>EU-Latvia</t>
  </si>
  <si>
    <t>EU-LVA</t>
  </si>
  <si>
    <t>EU-Lithuania</t>
  </si>
  <si>
    <t>EU-LTU</t>
  </si>
  <si>
    <t>EU-Luxemburg</t>
  </si>
  <si>
    <t>EU-LUX</t>
  </si>
  <si>
    <t>EU-Malta</t>
  </si>
  <si>
    <t>EU-MLT</t>
  </si>
  <si>
    <t>EU-Netherlands</t>
  </si>
  <si>
    <t>EU-NLD</t>
  </si>
  <si>
    <t>EU-Poland</t>
  </si>
  <si>
    <t>EU-POL</t>
  </si>
  <si>
    <t>EU-Portugal</t>
  </si>
  <si>
    <t>EU-PRT</t>
  </si>
  <si>
    <t>EU-Rumania</t>
  </si>
  <si>
    <t>EU-ROU</t>
  </si>
  <si>
    <t>EU-Slovakia</t>
  </si>
  <si>
    <t>EU-SVK</t>
  </si>
  <si>
    <t>EU-Slovenia</t>
  </si>
  <si>
    <t>EU-SVN</t>
  </si>
  <si>
    <t>EU-Sweden</t>
  </si>
  <si>
    <t>EU-SWE</t>
  </si>
  <si>
    <t>England</t>
  </si>
  <si>
    <t>GB-ENG</t>
  </si>
  <si>
    <t>FR-St Pierre et Miquelon</t>
  </si>
  <si>
    <t>FR-SPM</t>
  </si>
  <si>
    <t>Great Britain</t>
  </si>
  <si>
    <t>Guinée Rep</t>
  </si>
  <si>
    <t>Korea Rep</t>
  </si>
  <si>
    <t>Northern Ireland</t>
  </si>
  <si>
    <t>GB-NIR</t>
  </si>
  <si>
    <t>NIR</t>
  </si>
  <si>
    <t>S Tomé e Príncipe</t>
  </si>
  <si>
    <t>Scotland</t>
  </si>
  <si>
    <t>GB-SCT</t>
  </si>
  <si>
    <t>SCT</t>
  </si>
  <si>
    <t>St Vincent and Grenadines</t>
  </si>
  <si>
    <t>UK-Bermuda</t>
  </si>
  <si>
    <t>UK-BMU</t>
  </si>
  <si>
    <t>UK-British Virgin Islands</t>
  </si>
  <si>
    <t>UK-VGB</t>
  </si>
  <si>
    <t>UK-Sta Helena</t>
  </si>
  <si>
    <t>UK-SHN</t>
  </si>
  <si>
    <t>UK-Turks and Caicos</t>
  </si>
  <si>
    <t>UK-TCA</t>
  </si>
  <si>
    <t>Wales</t>
  </si>
  <si>
    <t>GB-WLS</t>
  </si>
  <si>
    <t>WLS</t>
  </si>
  <si>
    <t>Gibraltar</t>
  </si>
  <si>
    <t>GIB</t>
  </si>
  <si>
    <t>GI</t>
  </si>
  <si>
    <t>North Macedonia Rep</t>
  </si>
  <si>
    <t>San Marino</t>
  </si>
  <si>
    <t>SMR</t>
  </si>
  <si>
    <t>SM</t>
  </si>
  <si>
    <t>Sta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</si>
</sst>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u/>
      <sz val="11"/>
      <color theme="10"/>
      <name val="Calibri"/>
      <family val="2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b/>
      <sz val="16"/>
      <color rgb="FF0070C0"/>
      <name val="Cambria"/>
      <family val="1"/>
      <scheme val="major"/>
    </font>
    <font>
      <b/>
      <sz val="9"/>
      <color rgb="FF0070C0"/>
      <name val="Cambria"/>
      <family val="1"/>
      <scheme val="major"/>
    </font>
    <font>
      <sz val="9"/>
      <color rgb="FF0070C0"/>
      <name val="Cambria"/>
      <family val="1"/>
      <scheme val="major"/>
    </font>
    <font>
      <b/>
      <sz val="9"/>
      <color rgb="FF00B050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14"/>
      <color rgb="FF0070C0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9"/>
      <color theme="0"/>
      <name val="Times New Roman"/>
      <family val="1"/>
    </font>
    <font>
      <sz val="11"/>
      <name val="Calibri"/>
      <family val="2"/>
      <scheme val="minor"/>
    </font>
    <font>
      <sz val="9"/>
      <color theme="1"/>
      <name val="Courier New"/>
      <family val="3"/>
    </font>
    <font>
      <b/>
      <sz val="9"/>
      <name val="Times New Roman"/>
      <family val="1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u/>
      <sz val="8"/>
      <color indexed="12"/>
      <name val="Calibri"/>
      <family val="2"/>
      <scheme val="minor"/>
    </font>
    <font>
      <u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10"/>
      <color rgb="FF0070C0"/>
      <name val="Cambria"/>
      <family val="1"/>
      <scheme val="maj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0"/>
      <name val="Cambria"/>
      <family val="1"/>
      <scheme val="major"/>
    </font>
    <font>
      <sz val="9"/>
      <name val="Calibri"/>
      <family val="2"/>
    </font>
    <font>
      <sz val="9"/>
      <color rgb="FFFF0000"/>
      <name val="Calibri"/>
      <family val="2"/>
    </font>
    <font>
      <b/>
      <u/>
      <sz val="8"/>
      <color theme="10"/>
      <name val="Calibri"/>
      <family val="2"/>
    </font>
    <font>
      <b/>
      <u/>
      <sz val="8"/>
      <color theme="10"/>
      <name val="Calibri"/>
      <family val="2"/>
      <scheme val="minor"/>
    </font>
    <font>
      <sz val="9"/>
      <color rgb="FF00000A"/>
      <name val="Times New Roman"/>
      <family val="1"/>
    </font>
    <font>
      <u/>
      <sz val="8"/>
      <color theme="10"/>
      <name val="Calibri"/>
      <family val="2"/>
    </font>
    <font>
      <sz val="8"/>
      <color theme="0" tint="-4.9989318521683403E-2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rgb="FF0070C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0.59999389629810485"/>
        <bgColor indexed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/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0.24994659260841701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0.24994659260841701"/>
      </bottom>
      <diagonal/>
    </border>
    <border>
      <left/>
      <right/>
      <top style="thin">
        <color theme="0" tint="-4.9989318521683403E-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4.9989318521683403E-2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24994659260841701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2" fillId="0" borderId="0"/>
    <xf numFmtId="0" fontId="24" fillId="0" borderId="0"/>
    <xf numFmtId="0" fontId="62" fillId="20" borderId="0" applyNumberFormat="0" applyBorder="0" applyAlignment="0" applyProtection="0"/>
  </cellStyleXfs>
  <cellXfs count="540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15" fillId="0" borderId="5" xfId="0" applyFont="1" applyFill="1" applyBorder="1" applyAlignment="1" applyProtection="1">
      <alignment horizontal="center" vertical="top"/>
      <protection locked="0"/>
    </xf>
    <xf numFmtId="0" fontId="16" fillId="0" borderId="0" xfId="4" applyFont="1" applyProtection="1">
      <protection hidden="1"/>
    </xf>
    <xf numFmtId="0" fontId="16" fillId="0" borderId="5" xfId="4" applyFont="1" applyBorder="1" applyAlignment="1" applyProtection="1">
      <alignment horizontal="center"/>
      <protection hidden="1"/>
    </xf>
    <xf numFmtId="0" fontId="16" fillId="0" borderId="9" xfId="4" applyFont="1" applyBorder="1" applyProtection="1">
      <protection hidden="1"/>
    </xf>
    <xf numFmtId="0" fontId="16" fillId="0" borderId="9" xfId="4" applyFont="1" applyBorder="1" applyAlignment="1" applyProtection="1">
      <alignment horizontal="center"/>
      <protection hidden="1"/>
    </xf>
    <xf numFmtId="0" fontId="16" fillId="0" borderId="4" xfId="4" applyFont="1" applyBorder="1" applyAlignment="1" applyProtection="1">
      <alignment horizontal="center"/>
      <protection hidden="1"/>
    </xf>
    <xf numFmtId="0" fontId="16" fillId="0" borderId="0" xfId="4" applyFont="1" applyBorder="1" applyProtection="1">
      <protection hidden="1"/>
    </xf>
    <xf numFmtId="0" fontId="16" fillId="0" borderId="0" xfId="4" applyFont="1" applyBorder="1" applyAlignment="1" applyProtection="1">
      <alignment horizontal="center"/>
      <protection hidden="1"/>
    </xf>
    <xf numFmtId="0" fontId="16" fillId="0" borderId="12" xfId="4" applyFont="1" applyBorder="1" applyAlignment="1" applyProtection="1">
      <alignment horizontal="center"/>
      <protection hidden="1"/>
    </xf>
    <xf numFmtId="0" fontId="25" fillId="0" borderId="9" xfId="4" applyFont="1" applyBorder="1" applyAlignment="1" applyProtection="1">
      <alignment vertical="center" readingOrder="1"/>
      <protection hidden="1"/>
    </xf>
    <xf numFmtId="0" fontId="25" fillId="0" borderId="0" xfId="4" applyFont="1" applyBorder="1" applyAlignment="1" applyProtection="1">
      <alignment vertical="center" readingOrder="1"/>
      <protection hidden="1"/>
    </xf>
    <xf numFmtId="0" fontId="16" fillId="0" borderId="3" xfId="4" applyFont="1" applyBorder="1" applyAlignment="1" applyProtection="1">
      <alignment horizontal="center"/>
      <protection hidden="1"/>
    </xf>
    <xf numFmtId="0" fontId="16" fillId="0" borderId="2" xfId="4" applyFont="1" applyBorder="1" applyProtection="1">
      <protection hidden="1"/>
    </xf>
    <xf numFmtId="0" fontId="25" fillId="0" borderId="2" xfId="4" applyFont="1" applyBorder="1" applyAlignment="1" applyProtection="1">
      <alignment vertical="center" readingOrder="1"/>
      <protection hidden="1"/>
    </xf>
    <xf numFmtId="0" fontId="16" fillId="0" borderId="2" xfId="4" applyFont="1" applyBorder="1" applyAlignment="1" applyProtection="1">
      <alignment horizontal="center"/>
      <protection hidden="1"/>
    </xf>
    <xf numFmtId="0" fontId="20" fillId="4" borderId="1" xfId="4" applyFont="1" applyFill="1" applyBorder="1" applyAlignment="1" applyProtection="1">
      <alignment vertical="top"/>
      <protection hidden="1"/>
    </xf>
    <xf numFmtId="0" fontId="20" fillId="4" borderId="1" xfId="4" applyFont="1" applyFill="1" applyBorder="1" applyAlignment="1" applyProtection="1">
      <protection hidden="1"/>
    </xf>
    <xf numFmtId="0" fontId="16" fillId="5" borderId="10" xfId="0" applyFont="1" applyFill="1" applyBorder="1" applyAlignment="1" applyProtection="1">
      <alignment vertical="top"/>
      <protection hidden="1"/>
    </xf>
    <xf numFmtId="0" fontId="16" fillId="5" borderId="3" xfId="0" applyFont="1" applyFill="1" applyBorder="1" applyAlignment="1" applyProtection="1">
      <alignment vertical="top"/>
      <protection hidden="1"/>
    </xf>
    <xf numFmtId="0" fontId="16" fillId="0" borderId="6" xfId="0" applyFont="1" applyBorder="1" applyAlignment="1" applyProtection="1">
      <protection hidden="1"/>
    </xf>
    <xf numFmtId="0" fontId="16" fillId="0" borderId="4" xfId="0" applyFont="1" applyBorder="1" applyAlignment="1" applyProtection="1">
      <protection hidden="1"/>
    </xf>
    <xf numFmtId="0" fontId="16" fillId="0" borderId="7" xfId="0" applyFont="1" applyBorder="1" applyAlignment="1" applyProtection="1">
      <protection hidden="1"/>
    </xf>
    <xf numFmtId="0" fontId="16" fillId="0" borderId="5" xfId="0" applyFont="1" applyBorder="1" applyAlignment="1" applyProtection="1">
      <protection hidden="1"/>
    </xf>
    <xf numFmtId="0" fontId="9" fillId="0" borderId="4" xfId="0" applyFont="1" applyBorder="1" applyAlignment="1" applyProtection="1">
      <protection hidden="1"/>
    </xf>
    <xf numFmtId="0" fontId="9" fillId="0" borderId="5" xfId="0" applyFont="1" applyBorder="1" applyAlignment="1" applyProtection="1">
      <protection hidden="1"/>
    </xf>
    <xf numFmtId="0" fontId="9" fillId="0" borderId="4" xfId="0" applyFont="1" applyFill="1" applyBorder="1" applyAlignment="1" applyProtection="1">
      <protection hidden="1"/>
    </xf>
    <xf numFmtId="0" fontId="9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17" fillId="0" borderId="0" xfId="0" applyFont="1" applyFill="1" applyBorder="1" applyAlignment="1" applyProtection="1">
      <alignment vertical="top"/>
      <protection hidden="1"/>
    </xf>
    <xf numFmtId="0" fontId="17" fillId="0" borderId="0" xfId="0" applyFont="1" applyFill="1" applyBorder="1" applyAlignment="1" applyProtection="1">
      <alignment horizontal="center" vertical="top"/>
      <protection hidden="1"/>
    </xf>
    <xf numFmtId="0" fontId="16" fillId="0" borderId="0" xfId="5" applyFont="1" applyAlignment="1" applyProtection="1">
      <alignment vertical="top"/>
      <protection hidden="1"/>
    </xf>
    <xf numFmtId="0" fontId="16" fillId="0" borderId="0" xfId="5" applyFont="1" applyBorder="1" applyAlignment="1" applyProtection="1">
      <alignment vertical="top"/>
      <protection hidden="1"/>
    </xf>
    <xf numFmtId="0" fontId="16" fillId="0" borderId="0" xfId="5" applyFont="1" applyAlignment="1" applyProtection="1">
      <alignment vertical="top" wrapText="1"/>
      <protection hidden="1"/>
    </xf>
    <xf numFmtId="0" fontId="16" fillId="0" borderId="0" xfId="0" applyFont="1" applyFill="1" applyBorder="1" applyAlignment="1" applyProtection="1">
      <alignment vertical="top" wrapText="1"/>
      <protection hidden="1"/>
    </xf>
    <xf numFmtId="0" fontId="16" fillId="0" borderId="0" xfId="0" applyFont="1" applyBorder="1" applyAlignment="1" applyProtection="1">
      <alignment vertical="top" wrapText="1"/>
      <protection hidden="1"/>
    </xf>
    <xf numFmtId="0" fontId="16" fillId="0" borderId="0" xfId="0" applyFont="1" applyBorder="1" applyAlignment="1" applyProtection="1">
      <alignment horizontal="center" vertical="top" wrapText="1"/>
      <protection hidden="1"/>
    </xf>
    <xf numFmtId="0" fontId="20" fillId="13" borderId="1" xfId="0" applyFont="1" applyFill="1" applyBorder="1" applyAlignment="1" applyProtection="1">
      <alignment vertical="top" wrapText="1"/>
      <protection hidden="1"/>
    </xf>
    <xf numFmtId="0" fontId="12" fillId="2" borderId="2" xfId="0" applyFont="1" applyFill="1" applyBorder="1" applyAlignment="1" applyProtection="1">
      <alignment vertical="top"/>
      <protection hidden="1"/>
    </xf>
    <xf numFmtId="0" fontId="12" fillId="2" borderId="3" xfId="0" applyFont="1" applyFill="1" applyBorder="1" applyAlignment="1" applyProtection="1">
      <alignment vertical="top"/>
      <protection hidden="1"/>
    </xf>
    <xf numFmtId="0" fontId="14" fillId="2" borderId="9" xfId="0" applyFont="1" applyFill="1" applyBorder="1" applyAlignment="1" applyProtection="1">
      <alignment horizontal="center" vertical="top"/>
      <protection hidden="1"/>
    </xf>
    <xf numFmtId="0" fontId="34" fillId="11" borderId="18" xfId="4" applyFont="1" applyFill="1" applyBorder="1" applyAlignment="1" applyProtection="1">
      <alignment vertical="top" wrapText="1"/>
      <protection hidden="1"/>
    </xf>
    <xf numFmtId="0" fontId="34" fillId="11" borderId="19" xfId="4" applyFont="1" applyFill="1" applyBorder="1" applyAlignment="1" applyProtection="1">
      <alignment vertical="top" wrapText="1"/>
      <protection hidden="1"/>
    </xf>
    <xf numFmtId="0" fontId="34" fillId="11" borderId="20" xfId="4" applyFont="1" applyFill="1" applyBorder="1" applyAlignment="1" applyProtection="1">
      <alignment vertical="top" wrapText="1"/>
      <protection hidden="1"/>
    </xf>
    <xf numFmtId="0" fontId="3" fillId="0" borderId="0" xfId="4" applyFont="1" applyFill="1" applyBorder="1" applyAlignment="1" applyProtection="1">
      <alignment vertical="top" wrapText="1"/>
      <protection hidden="1"/>
    </xf>
    <xf numFmtId="0" fontId="3" fillId="0" borderId="0" xfId="4" applyFont="1" applyFill="1" applyBorder="1" applyAlignment="1" applyProtection="1">
      <alignment vertical="top" wrapText="1" shrinkToFit="1"/>
      <protection hidden="1"/>
    </xf>
    <xf numFmtId="0" fontId="7" fillId="0" borderId="0" xfId="4" applyFont="1" applyFill="1" applyBorder="1" applyAlignment="1" applyProtection="1">
      <alignment vertical="top" wrapText="1" shrinkToFit="1"/>
      <protection hidden="1"/>
    </xf>
    <xf numFmtId="0" fontId="7" fillId="0" borderId="0" xfId="4" applyFont="1" applyFill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vertical="top" wrapText="1"/>
      <protection hidden="1"/>
    </xf>
    <xf numFmtId="0" fontId="3" fillId="0" borderId="0" xfId="4" applyFont="1" applyAlignment="1" applyProtection="1">
      <alignment vertical="top" wrapText="1"/>
      <protection hidden="1"/>
    </xf>
    <xf numFmtId="0" fontId="3" fillId="0" borderId="0" xfId="4" applyFont="1" applyAlignment="1" applyProtection="1">
      <alignment vertical="top"/>
      <protection hidden="1"/>
    </xf>
    <xf numFmtId="0" fontId="3" fillId="0" borderId="0" xfId="5" applyNumberFormat="1" applyFont="1" applyFill="1" applyBorder="1" applyAlignment="1" applyProtection="1">
      <alignment vertical="top" wrapText="1"/>
      <protection hidden="1"/>
    </xf>
    <xf numFmtId="0" fontId="3" fillId="0" borderId="0" xfId="4" applyFont="1" applyFill="1" applyAlignment="1" applyProtection="1">
      <alignment vertical="top" wrapText="1"/>
      <protection hidden="1"/>
    </xf>
    <xf numFmtId="0" fontId="3" fillId="0" borderId="0" xfId="5" applyFont="1" applyFill="1" applyBorder="1" applyAlignment="1" applyProtection="1">
      <alignment vertical="top" wrapText="1"/>
      <protection hidden="1"/>
    </xf>
    <xf numFmtId="0" fontId="23" fillId="0" borderId="0" xfId="0" applyFont="1" applyFill="1" applyBorder="1" applyAlignment="1" applyProtection="1">
      <alignment vertical="top" shrinkToFit="1"/>
      <protection hidden="1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vertical="top" wrapText="1"/>
      <protection hidden="1"/>
    </xf>
    <xf numFmtId="0" fontId="34" fillId="0" borderId="0" xfId="4" applyFont="1" applyFill="1" applyBorder="1" applyAlignment="1" applyProtection="1">
      <alignment vertical="top" wrapText="1"/>
      <protection hidden="1"/>
    </xf>
    <xf numFmtId="0" fontId="42" fillId="2" borderId="6" xfId="0" applyFont="1" applyFill="1" applyBorder="1" applyAlignment="1" applyProtection="1">
      <alignment horizontal="right" shrinkToFit="1"/>
      <protection hidden="1"/>
    </xf>
    <xf numFmtId="0" fontId="23" fillId="2" borderId="0" xfId="0" applyFont="1" applyFill="1" applyBorder="1" applyAlignment="1" applyProtection="1">
      <alignment horizontal="right" vertical="top" shrinkToFit="1"/>
      <protection hidden="1"/>
    </xf>
    <xf numFmtId="0" fontId="23" fillId="2" borderId="0" xfId="0" applyFont="1" applyFill="1" applyBorder="1" applyAlignment="1" applyProtection="1">
      <alignment wrapText="1" shrinkToFit="1"/>
      <protection hidden="1"/>
    </xf>
    <xf numFmtId="0" fontId="23" fillId="2" borderId="0" xfId="0" applyFont="1" applyFill="1" applyBorder="1" applyAlignment="1" applyProtection="1">
      <alignment vertical="top" wrapText="1"/>
      <protection hidden="1"/>
    </xf>
    <xf numFmtId="0" fontId="23" fillId="2" borderId="0" xfId="0" applyFont="1" applyFill="1" applyBorder="1" applyAlignment="1" applyProtection="1">
      <alignment shrinkToFit="1"/>
      <protection hidden="1"/>
    </xf>
    <xf numFmtId="0" fontId="23" fillId="2" borderId="1" xfId="0" applyFont="1" applyFill="1" applyBorder="1" applyAlignment="1" applyProtection="1">
      <alignment horizontal="center" shrinkToFit="1"/>
      <protection hidden="1"/>
    </xf>
    <xf numFmtId="0" fontId="23" fillId="2" borderId="6" xfId="0" applyFont="1" applyFill="1" applyBorder="1" applyAlignment="1" applyProtection="1">
      <alignment horizontal="right" shrinkToFit="1"/>
      <protection hidden="1"/>
    </xf>
    <xf numFmtId="0" fontId="23" fillId="2" borderId="0" xfId="0" applyFont="1" applyFill="1" applyBorder="1" applyAlignment="1" applyProtection="1">
      <alignment horizontal="right" shrinkToFit="1"/>
      <protection hidden="1"/>
    </xf>
    <xf numFmtId="0" fontId="42" fillId="2" borderId="6" xfId="0" applyFont="1" applyFill="1" applyBorder="1" applyAlignment="1" applyProtection="1">
      <alignment horizontal="right" vertical="top" shrinkToFit="1"/>
      <protection hidden="1"/>
    </xf>
    <xf numFmtId="0" fontId="42" fillId="2" borderId="0" xfId="0" applyFont="1" applyFill="1" applyBorder="1" applyAlignment="1" applyProtection="1">
      <alignment vertical="top" wrapText="1" shrinkToFit="1"/>
      <protection hidden="1"/>
    </xf>
    <xf numFmtId="0" fontId="23" fillId="2" borderId="6" xfId="0" applyFont="1" applyFill="1" applyBorder="1" applyAlignment="1" applyProtection="1">
      <alignment vertical="top" wrapText="1"/>
      <protection hidden="1"/>
    </xf>
    <xf numFmtId="0" fontId="23" fillId="2" borderId="6" xfId="0" applyFont="1" applyFill="1" applyBorder="1" applyAlignment="1" applyProtection="1">
      <alignment horizontal="right" vertical="top" shrinkToFit="1"/>
      <protection hidden="1"/>
    </xf>
    <xf numFmtId="0" fontId="41" fillId="2" borderId="0" xfId="1" applyNumberFormat="1" applyFont="1" applyFill="1" applyBorder="1" applyAlignment="1" applyProtection="1">
      <alignment horizontal="right" vertical="top" wrapText="1" shrinkToFit="1"/>
      <protection hidden="1"/>
    </xf>
    <xf numFmtId="0" fontId="23" fillId="2" borderId="7" xfId="0" applyFont="1" applyFill="1" applyBorder="1" applyAlignment="1" applyProtection="1">
      <alignment horizontal="right" vertical="top" wrapText="1" shrinkToFit="1"/>
      <protection hidden="1"/>
    </xf>
    <xf numFmtId="49" fontId="23" fillId="2" borderId="9" xfId="0" applyNumberFormat="1" applyFont="1" applyFill="1" applyBorder="1" applyAlignment="1" applyProtection="1">
      <alignment horizontal="right" vertical="top" wrapText="1" shrinkToFit="1"/>
      <protection hidden="1"/>
    </xf>
    <xf numFmtId="0" fontId="42" fillId="2" borderId="9" xfId="0" applyFont="1" applyFill="1" applyBorder="1" applyAlignment="1" applyProtection="1">
      <alignment vertical="top" wrapText="1" shrinkToFit="1"/>
      <protection hidden="1"/>
    </xf>
    <xf numFmtId="0" fontId="23" fillId="2" borderId="9" xfId="0" applyFont="1" applyFill="1" applyBorder="1" applyAlignment="1" applyProtection="1">
      <alignment vertical="top" wrapText="1" shrinkToFit="1"/>
      <protection hidden="1"/>
    </xf>
    <xf numFmtId="0" fontId="38" fillId="2" borderId="7" xfId="0" applyFont="1" applyFill="1" applyBorder="1" applyAlignment="1" applyProtection="1">
      <alignment horizontal="center" vertical="top" wrapText="1"/>
      <protection hidden="1"/>
    </xf>
    <xf numFmtId="0" fontId="38" fillId="2" borderId="9" xfId="0" applyFont="1" applyFill="1" applyBorder="1" applyAlignment="1" applyProtection="1">
      <alignment horizontal="center" vertical="top" wrapText="1"/>
      <protection hidden="1"/>
    </xf>
    <xf numFmtId="0" fontId="23" fillId="2" borderId="9" xfId="0" applyFont="1" applyFill="1" applyBorder="1" applyAlignment="1" applyProtection="1">
      <alignment horizontal="right" shrinkToFit="1"/>
      <protection hidden="1"/>
    </xf>
    <xf numFmtId="0" fontId="23" fillId="2" borderId="0" xfId="0" applyFont="1" applyFill="1" applyBorder="1" applyAlignment="1" applyProtection="1">
      <alignment horizontal="left" vertical="top" wrapText="1" shrinkToFit="1"/>
      <protection hidden="1"/>
    </xf>
    <xf numFmtId="0" fontId="23" fillId="2" borderId="4" xfId="0" applyFont="1" applyFill="1" applyBorder="1" applyAlignment="1" applyProtection="1">
      <alignment vertical="top" wrapText="1"/>
      <protection hidden="1"/>
    </xf>
    <xf numFmtId="0" fontId="23" fillId="2" borderId="0" xfId="0" applyFont="1" applyFill="1" applyBorder="1" applyAlignment="1" applyProtection="1">
      <alignment horizontal="center" vertical="top" wrapText="1"/>
      <protection hidden="1"/>
    </xf>
    <xf numFmtId="0" fontId="42" fillId="2" borderId="0" xfId="0" applyFont="1" applyFill="1" applyBorder="1" applyAlignment="1" applyProtection="1">
      <alignment vertical="top" wrapText="1"/>
      <protection hidden="1"/>
    </xf>
    <xf numFmtId="0" fontId="23" fillId="2" borderId="7" xfId="0" applyFont="1" applyFill="1" applyBorder="1" applyAlignment="1" applyProtection="1">
      <alignment vertical="top" wrapText="1"/>
      <protection hidden="1"/>
    </xf>
    <xf numFmtId="0" fontId="38" fillId="2" borderId="5" xfId="0" applyFont="1" applyFill="1" applyBorder="1" applyAlignment="1" applyProtection="1">
      <alignment horizontal="center" vertical="top" wrapText="1"/>
      <protection hidden="1"/>
    </xf>
    <xf numFmtId="0" fontId="23" fillId="0" borderId="0" xfId="0" applyFont="1" applyFill="1" applyAlignment="1" applyProtection="1">
      <alignment vertical="top"/>
      <protection hidden="1"/>
    </xf>
    <xf numFmtId="0" fontId="23" fillId="0" borderId="0" xfId="0" applyFont="1" applyFill="1" applyAlignment="1" applyProtection="1">
      <alignment vertical="top" wrapText="1"/>
      <protection hidden="1"/>
    </xf>
    <xf numFmtId="0" fontId="47" fillId="10" borderId="1" xfId="0" applyFont="1" applyFill="1" applyBorder="1" applyAlignment="1" applyProtection="1">
      <alignment vertical="top" wrapText="1"/>
      <protection hidden="1"/>
    </xf>
    <xf numFmtId="0" fontId="49" fillId="0" borderId="0" xfId="0" quotePrefix="1" applyFont="1" applyFill="1" applyBorder="1" applyAlignment="1" applyProtection="1">
      <alignment vertical="top"/>
      <protection hidden="1"/>
    </xf>
    <xf numFmtId="0" fontId="49" fillId="0" borderId="0" xfId="0" applyFont="1" applyFill="1" applyAlignment="1" applyProtection="1">
      <alignment vertical="top"/>
      <protection hidden="1"/>
    </xf>
    <xf numFmtId="0" fontId="16" fillId="0" borderId="14" xfId="0" applyFont="1" applyBorder="1" applyAlignment="1" applyProtection="1">
      <alignment vertical="top"/>
      <protection hidden="1"/>
    </xf>
    <xf numFmtId="0" fontId="16" fillId="0" borderId="14" xfId="0" applyFont="1" applyFill="1" applyBorder="1" applyAlignment="1" applyProtection="1">
      <alignment vertical="top"/>
      <protection hidden="1"/>
    </xf>
    <xf numFmtId="0" fontId="20" fillId="13" borderId="11" xfId="0" applyFont="1" applyFill="1" applyBorder="1" applyAlignment="1" applyProtection="1">
      <alignment horizontal="center" vertical="top" wrapText="1"/>
      <protection hidden="1"/>
    </xf>
    <xf numFmtId="0" fontId="16" fillId="0" borderId="0" xfId="0" applyFont="1" applyBorder="1" applyAlignment="1" applyProtection="1">
      <alignment horizontal="center" vertical="top"/>
      <protection hidden="1"/>
    </xf>
    <xf numFmtId="0" fontId="16" fillId="0" borderId="0" xfId="0" applyFont="1" applyFill="1" applyBorder="1" applyAlignment="1" applyProtection="1">
      <alignment horizontal="center" vertical="top"/>
      <protection hidden="1"/>
    </xf>
    <xf numFmtId="0" fontId="16" fillId="14" borderId="0" xfId="0" applyFont="1" applyFill="1" applyBorder="1" applyAlignment="1" applyProtection="1">
      <alignment horizontal="center" vertical="top"/>
      <protection hidden="1"/>
    </xf>
    <xf numFmtId="0" fontId="16" fillId="0" borderId="0" xfId="5" applyFont="1" applyFill="1" applyBorder="1" applyAlignment="1" applyProtection="1">
      <alignment horizontal="center" vertical="top"/>
      <protection hidden="1"/>
    </xf>
    <xf numFmtId="0" fontId="20" fillId="13" borderId="10" xfId="0" applyFont="1" applyFill="1" applyBorder="1" applyAlignment="1" applyProtection="1">
      <alignment vertical="top" wrapText="1"/>
      <protection hidden="1"/>
    </xf>
    <xf numFmtId="0" fontId="16" fillId="14" borderId="0" xfId="5" applyFont="1" applyFill="1" applyBorder="1" applyAlignment="1" applyProtection="1">
      <alignment horizontal="center" vertical="top" wrapText="1"/>
      <protection hidden="1"/>
    </xf>
    <xf numFmtId="0" fontId="16" fillId="0" borderId="0" xfId="5" applyFont="1" applyFill="1" applyBorder="1" applyAlignment="1" applyProtection="1">
      <alignment vertical="top" wrapText="1"/>
      <protection hidden="1"/>
    </xf>
    <xf numFmtId="0" fontId="16" fillId="0" borderId="2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9" xfId="5" applyFont="1" applyFill="1" applyBorder="1" applyAlignment="1" applyProtection="1">
      <alignment horizontal="center" vertical="top"/>
      <protection hidden="1"/>
    </xf>
    <xf numFmtId="0" fontId="20" fillId="13" borderId="11" xfId="0" applyFont="1" applyFill="1" applyBorder="1" applyAlignment="1" applyProtection="1">
      <alignment vertical="top" wrapText="1"/>
      <protection hidden="1"/>
    </xf>
    <xf numFmtId="0" fontId="16" fillId="10" borderId="48" xfId="0" applyFont="1" applyFill="1" applyBorder="1" applyAlignment="1" applyProtection="1">
      <alignment vertical="center" wrapText="1"/>
      <protection hidden="1"/>
    </xf>
    <xf numFmtId="0" fontId="16" fillId="0" borderId="50" xfId="0" applyFont="1" applyBorder="1" applyAlignment="1" applyProtection="1">
      <alignment horizontal="center" vertical="top"/>
      <protection hidden="1"/>
    </xf>
    <xf numFmtId="0" fontId="16" fillId="14" borderId="54" xfId="0" applyFont="1" applyFill="1" applyBorder="1" applyAlignment="1" applyProtection="1">
      <alignment horizontal="center" vertical="top"/>
      <protection hidden="1"/>
    </xf>
    <xf numFmtId="0" fontId="16" fillId="0" borderId="50" xfId="5" applyFont="1" applyFill="1" applyBorder="1" applyAlignment="1" applyProtection="1">
      <alignment horizontal="center" vertical="top"/>
      <protection hidden="1"/>
    </xf>
    <xf numFmtId="0" fontId="7" fillId="0" borderId="0" xfId="0" applyFont="1" applyProtection="1">
      <protection hidden="1"/>
    </xf>
    <xf numFmtId="0" fontId="7" fillId="10" borderId="48" xfId="0" applyFont="1" applyFill="1" applyBorder="1" applyAlignment="1" applyProtection="1">
      <alignment vertical="center" wrapText="1"/>
      <protection hidden="1"/>
    </xf>
    <xf numFmtId="0" fontId="3" fillId="0" borderId="0" xfId="4" applyNumberFormat="1" applyFont="1" applyFill="1" applyBorder="1" applyAlignment="1" applyProtection="1">
      <alignment vertical="top" wrapText="1"/>
      <protection hidden="1"/>
    </xf>
    <xf numFmtId="0" fontId="7" fillId="0" borderId="0" xfId="0" applyFont="1" applyFill="1" applyAlignment="1" applyProtection="1">
      <alignment vertical="top" wrapText="1"/>
      <protection hidden="1"/>
    </xf>
    <xf numFmtId="0" fontId="3" fillId="0" borderId="21" xfId="4" applyNumberFormat="1" applyFont="1" applyFill="1" applyBorder="1" applyAlignment="1" applyProtection="1">
      <alignment vertical="top" wrapText="1"/>
      <protection hidden="1"/>
    </xf>
    <xf numFmtId="0" fontId="3" fillId="0" borderId="17" xfId="4" applyNumberFormat="1" applyFont="1" applyFill="1" applyBorder="1" applyAlignment="1" applyProtection="1">
      <alignment vertical="top" wrapText="1"/>
      <protection hidden="1"/>
    </xf>
    <xf numFmtId="0" fontId="3" fillId="0" borderId="17" xfId="5" applyNumberFormat="1" applyFont="1" applyFill="1" applyBorder="1" applyAlignment="1" applyProtection="1">
      <alignment vertical="top" wrapText="1"/>
      <protection hidden="1"/>
    </xf>
    <xf numFmtId="0" fontId="3" fillId="0" borderId="22" xfId="4" applyNumberFormat="1" applyFont="1" applyFill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top"/>
      <protection hidden="1"/>
    </xf>
    <xf numFmtId="0" fontId="9" fillId="0" borderId="0" xfId="0" applyFont="1" applyFill="1" applyBorder="1" applyAlignme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Alignment="1" applyProtection="1">
      <protection hidden="1"/>
    </xf>
    <xf numFmtId="0" fontId="28" fillId="0" borderId="0" xfId="3" applyFont="1" applyFill="1" applyBorder="1" applyAlignment="1" applyProtection="1">
      <protection hidden="1"/>
    </xf>
    <xf numFmtId="0" fontId="28" fillId="8" borderId="10" xfId="2" applyFont="1" applyFill="1" applyBorder="1" applyAlignment="1" applyProtection="1">
      <protection hidden="1"/>
    </xf>
    <xf numFmtId="0" fontId="28" fillId="8" borderId="3" xfId="2" applyFont="1" applyFill="1" applyBorder="1" applyAlignment="1" applyProtection="1">
      <protection hidden="1"/>
    </xf>
    <xf numFmtId="0" fontId="28" fillId="8" borderId="10" xfId="3" applyFont="1" applyFill="1" applyBorder="1" applyAlignment="1" applyProtection="1">
      <protection hidden="1"/>
    </xf>
    <xf numFmtId="0" fontId="28" fillId="8" borderId="2" xfId="3" applyFont="1" applyFill="1" applyBorder="1" applyAlignment="1" applyProtection="1">
      <protection hidden="1"/>
    </xf>
    <xf numFmtId="0" fontId="28" fillId="8" borderId="3" xfId="3" applyFont="1" applyFill="1" applyBorder="1" applyAlignment="1" applyProtection="1">
      <protection hidden="1"/>
    </xf>
    <xf numFmtId="0" fontId="28" fillId="0" borderId="6" xfId="2" applyFont="1" applyFill="1" applyBorder="1" applyAlignment="1" applyProtection="1">
      <protection hidden="1"/>
    </xf>
    <xf numFmtId="0" fontId="28" fillId="0" borderId="4" xfId="2" applyFont="1" applyFill="1" applyBorder="1" applyAlignment="1" applyProtection="1">
      <protection hidden="1"/>
    </xf>
    <xf numFmtId="0" fontId="9" fillId="0" borderId="6" xfId="0" applyFont="1" applyBorder="1" applyAlignment="1" applyProtection="1">
      <protection hidden="1"/>
    </xf>
    <xf numFmtId="0" fontId="28" fillId="0" borderId="6" xfId="3" applyFont="1" applyFill="1" applyBorder="1" applyAlignment="1" applyProtection="1">
      <protection hidden="1"/>
    </xf>
    <xf numFmtId="0" fontId="28" fillId="0" borderId="4" xfId="3" applyFont="1" applyFill="1" applyBorder="1" applyAlignment="1" applyProtection="1">
      <protection hidden="1"/>
    </xf>
    <xf numFmtId="0" fontId="27" fillId="12" borderId="10" xfId="0" applyFont="1" applyFill="1" applyBorder="1" applyAlignment="1" applyProtection="1">
      <protection hidden="1"/>
    </xf>
    <xf numFmtId="0" fontId="27" fillId="12" borderId="2" xfId="0" applyFont="1" applyFill="1" applyBorder="1" applyAlignment="1" applyProtection="1">
      <protection hidden="1"/>
    </xf>
    <xf numFmtId="0" fontId="27" fillId="12" borderId="3" xfId="0" applyFont="1" applyFill="1" applyBorder="1" applyAlignment="1" applyProtection="1">
      <protection hidden="1"/>
    </xf>
    <xf numFmtId="0" fontId="36" fillId="0" borderId="6" xfId="0" applyFont="1" applyBorder="1" applyAlignment="1" applyProtection="1">
      <protection hidden="1"/>
    </xf>
    <xf numFmtId="0" fontId="36" fillId="0" borderId="0" xfId="0" applyFont="1" applyBorder="1" applyAlignment="1" applyProtection="1">
      <protection hidden="1"/>
    </xf>
    <xf numFmtId="0" fontId="36" fillId="0" borderId="7" xfId="0" applyFont="1" applyBorder="1" applyAlignment="1" applyProtection="1">
      <protection hidden="1"/>
    </xf>
    <xf numFmtId="0" fontId="36" fillId="0" borderId="9" xfId="0" applyFont="1" applyBorder="1" applyAlignment="1" applyProtection="1">
      <protection hidden="1"/>
    </xf>
    <xf numFmtId="0" fontId="28" fillId="0" borderId="7" xfId="2" applyFont="1" applyFill="1" applyBorder="1" applyAlignment="1" applyProtection="1">
      <protection hidden="1"/>
    </xf>
    <xf numFmtId="0" fontId="28" fillId="0" borderId="5" xfId="2" applyFont="1" applyFill="1" applyBorder="1" applyAlignment="1" applyProtection="1">
      <protection hidden="1"/>
    </xf>
    <xf numFmtId="0" fontId="29" fillId="12" borderId="10" xfId="3" applyFont="1" applyFill="1" applyBorder="1" applyAlignment="1" applyProtection="1">
      <alignment wrapText="1"/>
      <protection hidden="1"/>
    </xf>
    <xf numFmtId="0" fontId="28" fillId="0" borderId="6" xfId="3" quotePrefix="1" applyFont="1" applyFill="1" applyBorder="1" applyAlignment="1" applyProtection="1">
      <alignment wrapText="1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29" fillId="5" borderId="10" xfId="2" applyFont="1" applyFill="1" applyBorder="1" applyAlignment="1" applyProtection="1">
      <protection hidden="1"/>
    </xf>
    <xf numFmtId="0" fontId="29" fillId="5" borderId="3" xfId="2" applyFont="1" applyFill="1" applyBorder="1" applyAlignment="1" applyProtection="1">
      <protection hidden="1"/>
    </xf>
    <xf numFmtId="0" fontId="4" fillId="0" borderId="7" xfId="3" applyFont="1" applyFill="1" applyBorder="1" applyAlignment="1" applyProtection="1">
      <alignment wrapText="1"/>
      <protection hidden="1"/>
    </xf>
    <xf numFmtId="0" fontId="7" fillId="0" borderId="9" xfId="0" applyFont="1" applyBorder="1" applyAlignment="1" applyProtection="1"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protection hidden="1"/>
    </xf>
    <xf numFmtId="0" fontId="9" fillId="0" borderId="6" xfId="0" applyFont="1" applyFill="1" applyBorder="1" applyAlignment="1" applyProtection="1">
      <protection hidden="1"/>
    </xf>
    <xf numFmtId="0" fontId="28" fillId="0" borderId="7" xfId="3" applyFont="1" applyFill="1" applyBorder="1" applyAlignment="1" applyProtection="1">
      <protection hidden="1"/>
    </xf>
    <xf numFmtId="0" fontId="28" fillId="0" borderId="9" xfId="3" applyFont="1" applyFill="1" applyBorder="1" applyAlignment="1" applyProtection="1">
      <protection hidden="1"/>
    </xf>
    <xf numFmtId="0" fontId="28" fillId="0" borderId="5" xfId="3" applyFont="1" applyFill="1" applyBorder="1" applyAlignment="1" applyProtection="1">
      <protection hidden="1"/>
    </xf>
    <xf numFmtId="0" fontId="28" fillId="8" borderId="2" xfId="2" applyFont="1" applyFill="1" applyBorder="1" applyAlignment="1" applyProtection="1">
      <protection hidden="1"/>
    </xf>
    <xf numFmtId="0" fontId="9" fillId="0" borderId="7" xfId="0" applyFont="1" applyFill="1" applyBorder="1" applyAlignment="1" applyProtection="1">
      <protection hidden="1"/>
    </xf>
    <xf numFmtId="0" fontId="9" fillId="0" borderId="5" xfId="0" applyFont="1" applyFill="1" applyBorder="1" applyAlignment="1" applyProtection="1">
      <protection hidden="1"/>
    </xf>
    <xf numFmtId="0" fontId="28" fillId="0" borderId="0" xfId="2" applyFont="1" applyFill="1" applyBorder="1" applyAlignment="1" applyProtection="1">
      <protection hidden="1"/>
    </xf>
    <xf numFmtId="0" fontId="28" fillId="0" borderId="9" xfId="2" applyFont="1" applyFill="1" applyBorder="1" applyAlignment="1" applyProtection="1">
      <protection hidden="1"/>
    </xf>
    <xf numFmtId="0" fontId="28" fillId="0" borderId="6" xfId="2" applyFont="1" applyFill="1" applyBorder="1" applyAlignment="1" applyProtection="1">
      <alignment wrapText="1"/>
      <protection hidden="1"/>
    </xf>
    <xf numFmtId="0" fontId="28" fillId="0" borderId="4" xfId="2" applyFont="1" applyFill="1" applyBorder="1" applyAlignment="1" applyProtection="1">
      <alignment wrapText="1"/>
      <protection hidden="1"/>
    </xf>
    <xf numFmtId="0" fontId="9" fillId="0" borderId="7" xfId="0" applyFont="1" applyBorder="1" applyAlignment="1" applyProtection="1">
      <protection hidden="1"/>
    </xf>
    <xf numFmtId="0" fontId="28" fillId="6" borderId="7" xfId="2" applyFont="1" applyFill="1" applyBorder="1" applyAlignment="1" applyProtection="1">
      <alignment wrapText="1"/>
      <protection hidden="1"/>
    </xf>
    <xf numFmtId="0" fontId="28" fillId="6" borderId="5" xfId="2" applyFont="1" applyFill="1" applyBorder="1" applyAlignment="1" applyProtection="1">
      <alignment wrapText="1"/>
      <protection hidden="1"/>
    </xf>
    <xf numFmtId="0" fontId="28" fillId="6" borderId="7" xfId="3" applyFont="1" applyFill="1" applyBorder="1" applyAlignment="1" applyProtection="1">
      <protection hidden="1"/>
    </xf>
    <xf numFmtId="0" fontId="28" fillId="6" borderId="5" xfId="3" applyFont="1" applyFill="1" applyBorder="1" applyAlignment="1" applyProtection="1">
      <protection hidden="1"/>
    </xf>
    <xf numFmtId="0" fontId="28" fillId="0" borderId="6" xfId="3" applyFont="1" applyFill="1" applyBorder="1" applyAlignment="1" applyProtection="1">
      <alignment wrapText="1"/>
      <protection hidden="1"/>
    </xf>
    <xf numFmtId="0" fontId="28" fillId="0" borderId="4" xfId="3" applyFont="1" applyFill="1" applyBorder="1" applyAlignment="1" applyProtection="1">
      <alignment wrapText="1"/>
      <protection hidden="1"/>
    </xf>
    <xf numFmtId="0" fontId="28" fillId="0" borderId="7" xfId="3" applyFont="1" applyFill="1" applyBorder="1" applyAlignment="1" applyProtection="1">
      <alignment wrapText="1"/>
      <protection hidden="1"/>
    </xf>
    <xf numFmtId="0" fontId="28" fillId="0" borderId="5" xfId="3" applyFont="1" applyFill="1" applyBorder="1" applyAlignment="1" applyProtection="1">
      <alignment wrapText="1"/>
      <protection hidden="1"/>
    </xf>
    <xf numFmtId="0" fontId="29" fillId="0" borderId="4" xfId="3" applyFont="1" applyFill="1" applyBorder="1" applyAlignment="1" applyProtection="1">
      <protection hidden="1"/>
    </xf>
    <xf numFmtId="0" fontId="9" fillId="6" borderId="7" xfId="0" applyFont="1" applyFill="1" applyBorder="1" applyAlignment="1" applyProtection="1">
      <protection hidden="1"/>
    </xf>
    <xf numFmtId="0" fontId="9" fillId="6" borderId="5" xfId="0" applyFont="1" applyFill="1" applyBorder="1" applyAlignment="1" applyProtection="1">
      <protection hidden="1"/>
    </xf>
    <xf numFmtId="0" fontId="33" fillId="2" borderId="2" xfId="0" applyFont="1" applyFill="1" applyBorder="1" applyAlignment="1" applyProtection="1">
      <alignment vertical="top"/>
      <protection hidden="1"/>
    </xf>
    <xf numFmtId="0" fontId="33" fillId="2" borderId="3" xfId="0" applyFont="1" applyFill="1" applyBorder="1" applyAlignment="1" applyProtection="1">
      <alignment vertical="top"/>
      <protection hidden="1"/>
    </xf>
    <xf numFmtId="0" fontId="32" fillId="0" borderId="0" xfId="0" applyFont="1" applyProtection="1">
      <protection hidden="1"/>
    </xf>
    <xf numFmtId="0" fontId="31" fillId="2" borderId="9" xfId="0" applyFont="1" applyFill="1" applyBorder="1" applyAlignment="1" applyProtection="1">
      <alignment vertical="top"/>
      <protection hidden="1"/>
    </xf>
    <xf numFmtId="0" fontId="31" fillId="2" borderId="5" xfId="0" applyFont="1" applyFill="1" applyBorder="1" applyAlignment="1" applyProtection="1">
      <alignment vertical="top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top"/>
      <protection hidden="1"/>
    </xf>
    <xf numFmtId="0" fontId="31" fillId="0" borderId="0" xfId="0" applyFont="1" applyFill="1" applyBorder="1" applyAlignment="1" applyProtection="1">
      <alignment vertical="top"/>
      <protection hidden="1"/>
    </xf>
    <xf numFmtId="0" fontId="32" fillId="0" borderId="0" xfId="0" applyFont="1" applyFill="1" applyProtection="1">
      <protection hidden="1"/>
    </xf>
    <xf numFmtId="0" fontId="16" fillId="2" borderId="3" xfId="0" applyFont="1" applyFill="1" applyBorder="1" applyAlignment="1" applyProtection="1">
      <alignment vertical="top" wrapText="1"/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6" fillId="2" borderId="6" xfId="0" applyFont="1" applyFill="1" applyBorder="1" applyAlignment="1" applyProtection="1">
      <alignment horizontal="right" vertical="top" wrapText="1"/>
      <protection hidden="1"/>
    </xf>
    <xf numFmtId="0" fontId="16" fillId="2" borderId="0" xfId="0" applyFont="1" applyFill="1" applyBorder="1" applyAlignment="1" applyProtection="1">
      <alignment horizontal="right" vertical="top" wrapText="1"/>
      <protection hidden="1"/>
    </xf>
    <xf numFmtId="0" fontId="16" fillId="2" borderId="0" xfId="0" applyFont="1" applyFill="1" applyBorder="1" applyAlignment="1" applyProtection="1">
      <alignment vertical="top" wrapText="1"/>
      <protection hidden="1"/>
    </xf>
    <xf numFmtId="0" fontId="27" fillId="2" borderId="0" xfId="0" applyFont="1" applyFill="1" applyBorder="1" applyAlignment="1" applyProtection="1">
      <protection hidden="1"/>
    </xf>
    <xf numFmtId="0" fontId="32" fillId="2" borderId="6" xfId="0" applyFont="1" applyFill="1" applyBorder="1" applyProtection="1">
      <protection hidden="1"/>
    </xf>
    <xf numFmtId="0" fontId="32" fillId="2" borderId="0" xfId="0" applyFont="1" applyFill="1" applyBorder="1" applyProtection="1">
      <protection hidden="1"/>
    </xf>
    <xf numFmtId="0" fontId="27" fillId="2" borderId="4" xfId="0" applyFont="1" applyFill="1" applyBorder="1" applyAlignment="1" applyProtection="1">
      <protection hidden="1"/>
    </xf>
    <xf numFmtId="0" fontId="16" fillId="2" borderId="7" xfId="0" applyFont="1" applyFill="1" applyBorder="1" applyAlignment="1" applyProtection="1">
      <alignment vertical="top" wrapText="1"/>
      <protection hidden="1"/>
    </xf>
    <xf numFmtId="0" fontId="16" fillId="2" borderId="9" xfId="0" applyFont="1" applyFill="1" applyBorder="1" applyAlignment="1" applyProtection="1">
      <alignment vertical="top" wrapText="1"/>
      <protection hidden="1"/>
    </xf>
    <xf numFmtId="0" fontId="9" fillId="0" borderId="0" xfId="0" applyFont="1" applyProtection="1">
      <protection hidden="1"/>
    </xf>
    <xf numFmtId="0" fontId="50" fillId="0" borderId="0" xfId="0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0" fillId="0" borderId="0" xfId="0" applyProtection="1">
      <protection locked="0"/>
    </xf>
    <xf numFmtId="0" fontId="16" fillId="2" borderId="2" xfId="0" applyFont="1" applyFill="1" applyBorder="1" applyAlignment="1" applyProtection="1">
      <alignment vertical="top"/>
      <protection hidden="1"/>
    </xf>
    <xf numFmtId="0" fontId="16" fillId="2" borderId="3" xfId="0" applyFont="1" applyFill="1" applyBorder="1" applyAlignment="1" applyProtection="1">
      <alignment vertical="top"/>
      <protection hidden="1"/>
    </xf>
    <xf numFmtId="0" fontId="20" fillId="2" borderId="9" xfId="0" applyFont="1" applyFill="1" applyBorder="1" applyAlignment="1" applyProtection="1">
      <alignment horizontal="center" vertical="top"/>
      <protection hidden="1"/>
    </xf>
    <xf numFmtId="0" fontId="20" fillId="2" borderId="5" xfId="0" applyFont="1" applyFill="1" applyBorder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Fill="1" applyAlignment="1" applyProtection="1">
      <alignment vertical="top"/>
      <protection hidden="1"/>
    </xf>
    <xf numFmtId="0" fontId="3" fillId="0" borderId="0" xfId="0" applyFont="1" applyFill="1" applyAlignment="1" applyProtection="1">
      <alignment vertical="top"/>
      <protection locked="0"/>
    </xf>
    <xf numFmtId="0" fontId="47" fillId="0" borderId="0" xfId="0" applyFont="1" applyAlignment="1" applyProtection="1">
      <alignment vertical="top"/>
      <protection hidden="1"/>
    </xf>
    <xf numFmtId="0" fontId="23" fillId="2" borderId="0" xfId="0" applyFont="1" applyFill="1" applyAlignment="1" applyProtection="1">
      <alignment vertical="top"/>
      <protection hidden="1"/>
    </xf>
    <xf numFmtId="0" fontId="47" fillId="2" borderId="0" xfId="0" applyFont="1" applyFill="1" applyAlignment="1" applyProtection="1">
      <alignment vertical="top"/>
      <protection hidden="1"/>
    </xf>
    <xf numFmtId="0" fontId="47" fillId="0" borderId="0" xfId="0" applyNumberFormat="1" applyFont="1" applyFill="1" applyBorder="1" applyAlignment="1" applyProtection="1">
      <alignment vertical="top" shrinkToFit="1"/>
      <protection locked="0"/>
    </xf>
    <xf numFmtId="14" fontId="47" fillId="0" borderId="6" xfId="0" applyNumberFormat="1" applyFont="1" applyFill="1" applyBorder="1" applyAlignment="1" applyProtection="1">
      <alignment vertical="top" shrinkToFit="1"/>
      <protection locked="0"/>
    </xf>
    <xf numFmtId="20" fontId="47" fillId="0" borderId="0" xfId="0" applyNumberFormat="1" applyFont="1" applyFill="1" applyBorder="1" applyAlignment="1" applyProtection="1">
      <alignment vertical="top" shrinkToFit="1"/>
      <protection locked="0"/>
    </xf>
    <xf numFmtId="0" fontId="53" fillId="0" borderId="0" xfId="0" applyNumberFormat="1" applyFont="1" applyFill="1" applyBorder="1" applyAlignment="1" applyProtection="1">
      <alignment vertical="top" shrinkToFit="1"/>
      <protection locked="0"/>
    </xf>
    <xf numFmtId="14" fontId="23" fillId="0" borderId="6" xfId="0" applyNumberFormat="1" applyFont="1" applyFill="1" applyBorder="1" applyAlignment="1" applyProtection="1">
      <alignment vertical="top" shrinkToFit="1"/>
      <protection locked="0"/>
    </xf>
    <xf numFmtId="20" fontId="23" fillId="0" borderId="0" xfId="0" applyNumberFormat="1" applyFont="1" applyFill="1" applyBorder="1" applyAlignment="1" applyProtection="1">
      <alignment vertical="top" shrinkToFit="1"/>
      <protection locked="0"/>
    </xf>
    <xf numFmtId="0" fontId="23" fillId="0" borderId="0" xfId="0" applyNumberFormat="1" applyFont="1" applyFill="1" applyBorder="1" applyAlignment="1" applyProtection="1">
      <alignment vertical="top" shrinkToFit="1"/>
      <protection locked="0"/>
    </xf>
    <xf numFmtId="0" fontId="23" fillId="0" borderId="0" xfId="0" applyFont="1" applyFill="1" applyBorder="1" applyAlignment="1" applyProtection="1">
      <alignment vertical="top"/>
      <protection locked="0"/>
    </xf>
    <xf numFmtId="0" fontId="47" fillId="0" borderId="0" xfId="0" applyNumberFormat="1" applyFont="1" applyBorder="1" applyAlignment="1" applyProtection="1">
      <alignment vertical="top" shrinkToFit="1"/>
      <protection locked="0"/>
    </xf>
    <xf numFmtId="14" fontId="47" fillId="0" borderId="6" xfId="0" applyNumberFormat="1" applyFont="1" applyBorder="1" applyAlignment="1" applyProtection="1">
      <alignment vertical="top" shrinkToFit="1"/>
      <protection locked="0"/>
    </xf>
    <xf numFmtId="20" fontId="47" fillId="0" borderId="0" xfId="0" applyNumberFormat="1" applyFont="1" applyBorder="1" applyAlignment="1" applyProtection="1">
      <alignment vertical="top" shrinkToFit="1"/>
      <protection locked="0"/>
    </xf>
    <xf numFmtId="0" fontId="47" fillId="0" borderId="0" xfId="0" applyFont="1" applyBorder="1" applyAlignment="1" applyProtection="1">
      <alignment vertical="top"/>
      <protection locked="0"/>
    </xf>
    <xf numFmtId="0" fontId="47" fillId="0" borderId="0" xfId="0" applyFont="1" applyAlignment="1" applyProtection="1">
      <alignment vertical="top"/>
      <protection locked="0"/>
    </xf>
    <xf numFmtId="0" fontId="23" fillId="0" borderId="0" xfId="0" applyFont="1" applyFill="1" applyAlignment="1" applyProtection="1">
      <alignment vertical="top"/>
      <protection locked="0"/>
    </xf>
    <xf numFmtId="0" fontId="16" fillId="0" borderId="2" xfId="0" applyFont="1" applyBorder="1" applyAlignment="1" applyProtection="1">
      <alignment vertical="top" wrapText="1"/>
      <protection hidden="1"/>
    </xf>
    <xf numFmtId="0" fontId="16" fillId="0" borderId="9" xfId="0" applyFont="1" applyBorder="1" applyAlignment="1" applyProtection="1">
      <alignment vertical="top" wrapText="1"/>
      <protection hidden="1"/>
    </xf>
    <xf numFmtId="0" fontId="16" fillId="0" borderId="50" xfId="0" applyFont="1" applyBorder="1" applyAlignment="1" applyProtection="1">
      <alignment vertical="top" wrapText="1"/>
      <protection hidden="1"/>
    </xf>
    <xf numFmtId="0" fontId="16" fillId="14" borderId="54" xfId="5" applyFont="1" applyFill="1" applyBorder="1" applyAlignment="1" applyProtection="1">
      <alignment horizontal="center" vertical="top" wrapText="1"/>
      <protection hidden="1"/>
    </xf>
    <xf numFmtId="0" fontId="16" fillId="0" borderId="50" xfId="5" applyFont="1" applyFill="1" applyBorder="1" applyAlignment="1" applyProtection="1">
      <alignment vertical="top" wrapText="1"/>
      <protection hidden="1"/>
    </xf>
    <xf numFmtId="0" fontId="16" fillId="0" borderId="9" xfId="5" applyFont="1" applyFill="1" applyBorder="1" applyAlignment="1" applyProtection="1">
      <alignment vertical="top" wrapText="1"/>
      <protection hidden="1"/>
    </xf>
    <xf numFmtId="0" fontId="3" fillId="0" borderId="0" xfId="4" applyFont="1" applyFill="1" applyBorder="1" applyAlignment="1" applyProtection="1">
      <alignment vertical="top"/>
      <protection hidden="1"/>
    </xf>
    <xf numFmtId="0" fontId="8" fillId="0" borderId="0" xfId="4" applyFont="1" applyFill="1" applyBorder="1" applyAlignment="1" applyProtection="1">
      <alignment vertical="top"/>
      <protection hidden="1"/>
    </xf>
    <xf numFmtId="0" fontId="16" fillId="2" borderId="7" xfId="0" applyFont="1" applyFill="1" applyBorder="1" applyAlignment="1" applyProtection="1">
      <alignment vertical="top"/>
      <protection hidden="1"/>
    </xf>
    <xf numFmtId="0" fontId="16" fillId="2" borderId="14" xfId="0" applyFont="1" applyFill="1" applyBorder="1" applyAlignment="1" applyProtection="1">
      <alignment vertical="top"/>
      <protection hidden="1"/>
    </xf>
    <xf numFmtId="0" fontId="16" fillId="2" borderId="11" xfId="0" applyFont="1" applyFill="1" applyBorder="1" applyAlignment="1" applyProtection="1">
      <alignment vertical="center" wrapText="1"/>
      <protection hidden="1"/>
    </xf>
    <xf numFmtId="0" fontId="16" fillId="2" borderId="10" xfId="0" applyFont="1" applyFill="1" applyBorder="1" applyAlignment="1" applyProtection="1">
      <alignment vertical="top"/>
      <protection hidden="1"/>
    </xf>
    <xf numFmtId="0" fontId="16" fillId="18" borderId="14" xfId="0" applyFont="1" applyFill="1" applyBorder="1" applyAlignment="1" applyProtection="1">
      <alignment vertical="top"/>
      <protection hidden="1"/>
    </xf>
    <xf numFmtId="0" fontId="16" fillId="4" borderId="14" xfId="0" applyFont="1" applyFill="1" applyBorder="1" applyAlignment="1" applyProtection="1">
      <alignment vertical="top"/>
      <protection hidden="1"/>
    </xf>
    <xf numFmtId="0" fontId="7" fillId="4" borderId="1" xfId="0" applyFont="1" applyFill="1" applyBorder="1" applyAlignment="1" applyProtection="1">
      <alignment vertical="center" wrapText="1"/>
      <protection hidden="1"/>
    </xf>
    <xf numFmtId="0" fontId="16" fillId="10" borderId="49" xfId="0" applyFont="1" applyFill="1" applyBorder="1" applyAlignment="1" applyProtection="1">
      <alignment vertical="top"/>
      <protection hidden="1"/>
    </xf>
    <xf numFmtId="0" fontId="23" fillId="19" borderId="0" xfId="0" quotePrefix="1" applyFont="1" applyFill="1" applyBorder="1" applyAlignment="1" applyProtection="1">
      <alignment vertical="top"/>
      <protection hidden="1"/>
    </xf>
    <xf numFmtId="0" fontId="23" fillId="19" borderId="0" xfId="0" applyFont="1" applyFill="1" applyBorder="1" applyProtection="1">
      <protection hidden="1"/>
    </xf>
    <xf numFmtId="0" fontId="50" fillId="0" borderId="0" xfId="0" quotePrefix="1" applyFont="1" applyFill="1" applyBorder="1" applyAlignment="1" applyProtection="1">
      <alignment vertical="top"/>
      <protection hidden="1"/>
    </xf>
    <xf numFmtId="0" fontId="16" fillId="17" borderId="14" xfId="5" applyFont="1" applyFill="1" applyBorder="1" applyAlignment="1" applyProtection="1">
      <alignment vertical="top"/>
      <protection hidden="1"/>
    </xf>
    <xf numFmtId="0" fontId="16" fillId="17" borderId="55" xfId="5" applyFont="1" applyFill="1" applyBorder="1" applyAlignment="1" applyProtection="1">
      <alignment vertical="top"/>
      <protection hidden="1"/>
    </xf>
    <xf numFmtId="0" fontId="16" fillId="16" borderId="1" xfId="0" applyFont="1" applyFill="1" applyBorder="1" applyAlignment="1" applyProtection="1">
      <alignment vertical="center" wrapText="1"/>
      <protection hidden="1"/>
    </xf>
    <xf numFmtId="0" fontId="23" fillId="16" borderId="0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vertical="top"/>
      <protection hidden="1"/>
    </xf>
    <xf numFmtId="0" fontId="16" fillId="16" borderId="14" xfId="5" applyFont="1" applyFill="1" applyBorder="1" applyAlignment="1" applyProtection="1">
      <alignment vertical="top"/>
      <protection hidden="1"/>
    </xf>
    <xf numFmtId="0" fontId="40" fillId="2" borderId="2" xfId="0" applyFont="1" applyFill="1" applyBorder="1" applyAlignment="1" applyProtection="1">
      <alignment horizontal="center" vertical="top" wrapText="1" shrinkToFit="1"/>
      <protection hidden="1"/>
    </xf>
    <xf numFmtId="0" fontId="40" fillId="2" borderId="0" xfId="0" applyFont="1" applyFill="1" applyBorder="1" applyAlignment="1" applyProtection="1">
      <alignment horizontal="center" vertical="top" wrapText="1" shrinkToFit="1"/>
      <protection hidden="1"/>
    </xf>
    <xf numFmtId="0" fontId="45" fillId="0" borderId="0" xfId="0" applyFont="1" applyFill="1" applyBorder="1" applyAlignment="1" applyProtection="1">
      <alignment vertical="top" shrinkToFit="1"/>
      <protection locked="0"/>
    </xf>
    <xf numFmtId="0" fontId="23" fillId="2" borderId="41" xfId="0" applyFont="1" applyFill="1" applyBorder="1" applyAlignment="1" applyProtection="1">
      <alignment vertical="top" wrapText="1"/>
      <protection hidden="1"/>
    </xf>
    <xf numFmtId="0" fontId="45" fillId="2" borderId="41" xfId="0" applyFont="1" applyFill="1" applyBorder="1" applyAlignment="1" applyProtection="1">
      <alignment vertical="top" shrinkToFit="1"/>
      <protection hidden="1"/>
    </xf>
    <xf numFmtId="0" fontId="17" fillId="2" borderId="2" xfId="0" applyFont="1" applyFill="1" applyBorder="1" applyAlignment="1" applyProtection="1">
      <alignment vertical="top" wrapText="1"/>
      <protection hidden="1"/>
    </xf>
    <xf numFmtId="0" fontId="23" fillId="2" borderId="12" xfId="0" applyFont="1" applyFill="1" applyBorder="1" applyAlignment="1" applyProtection="1">
      <alignment vertical="center" shrinkToFit="1"/>
      <protection hidden="1"/>
    </xf>
    <xf numFmtId="0" fontId="23" fillId="2" borderId="8" xfId="0" applyFont="1" applyFill="1" applyBorder="1" applyAlignment="1" applyProtection="1">
      <alignment vertical="center" shrinkToFit="1"/>
      <protection hidden="1"/>
    </xf>
    <xf numFmtId="0" fontId="23" fillId="10" borderId="11" xfId="0" applyFont="1" applyFill="1" applyBorder="1" applyAlignment="1" applyProtection="1">
      <alignment horizontal="center" vertical="center" shrinkToFit="1"/>
      <protection locked="0"/>
    </xf>
    <xf numFmtId="0" fontId="23" fillId="10" borderId="12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vertical="top" wrapText="1"/>
      <protection locked="0"/>
    </xf>
    <xf numFmtId="0" fontId="23" fillId="2" borderId="0" xfId="0" applyFont="1" applyFill="1" applyBorder="1" applyAlignment="1" applyProtection="1">
      <alignment horizontal="right" vertical="top" wrapText="1" shrinkToFit="1"/>
      <protection hidden="1"/>
    </xf>
    <xf numFmtId="0" fontId="23" fillId="2" borderId="0" xfId="0" applyFont="1" applyFill="1" applyBorder="1" applyAlignment="1" applyProtection="1">
      <alignment vertical="top" wrapText="1" shrinkToFit="1"/>
      <protection hidden="1"/>
    </xf>
    <xf numFmtId="0" fontId="23" fillId="0" borderId="0" xfId="0" applyFont="1" applyProtection="1">
      <protection hidden="1"/>
    </xf>
    <xf numFmtId="0" fontId="16" fillId="0" borderId="6" xfId="0" applyFont="1" applyBorder="1" applyProtection="1">
      <protection hidden="1"/>
    </xf>
    <xf numFmtId="0" fontId="16" fillId="0" borderId="4" xfId="0" applyFont="1" applyBorder="1" applyProtection="1">
      <protection hidden="1"/>
    </xf>
    <xf numFmtId="0" fontId="16" fillId="0" borderId="7" xfId="0" applyFont="1" applyBorder="1" applyProtection="1">
      <protection hidden="1"/>
    </xf>
    <xf numFmtId="0" fontId="16" fillId="0" borderId="5" xfId="0" applyFont="1" applyBorder="1" applyProtection="1">
      <protection hidden="1"/>
    </xf>
    <xf numFmtId="0" fontId="16" fillId="0" borderId="9" xfId="0" applyFont="1" applyBorder="1" applyProtection="1">
      <protection hidden="1"/>
    </xf>
    <xf numFmtId="0" fontId="16" fillId="7" borderId="10" xfId="0" applyFont="1" applyFill="1" applyBorder="1" applyProtection="1">
      <protection hidden="1"/>
    </xf>
    <xf numFmtId="0" fontId="16" fillId="7" borderId="2" xfId="0" applyFont="1" applyFill="1" applyBorder="1" applyProtection="1">
      <protection hidden="1"/>
    </xf>
    <xf numFmtId="0" fontId="16" fillId="7" borderId="3" xfId="0" applyFont="1" applyFill="1" applyBorder="1" applyProtection="1">
      <protection hidden="1"/>
    </xf>
    <xf numFmtId="0" fontId="16" fillId="0" borderId="0" xfId="0" applyFont="1" applyBorder="1" applyProtection="1">
      <protection hidden="1"/>
    </xf>
    <xf numFmtId="0" fontId="16" fillId="3" borderId="4" xfId="0" applyFont="1" applyFill="1" applyBorder="1" applyProtection="1">
      <protection hidden="1"/>
    </xf>
    <xf numFmtId="0" fontId="16" fillId="3" borderId="5" xfId="0" applyFont="1" applyFill="1" applyBorder="1" applyProtection="1">
      <protection hidden="1"/>
    </xf>
    <xf numFmtId="0" fontId="47" fillId="0" borderId="0" xfId="0" applyFont="1" applyProtection="1">
      <protection hidden="1"/>
    </xf>
    <xf numFmtId="0" fontId="23" fillId="2" borderId="2" xfId="0" applyFont="1" applyFill="1" applyBorder="1" applyAlignment="1" applyProtection="1">
      <alignment vertical="top" wrapText="1"/>
      <protection hidden="1"/>
    </xf>
    <xf numFmtId="0" fontId="23" fillId="2" borderId="3" xfId="0" applyFont="1" applyFill="1" applyBorder="1" applyAlignment="1" applyProtection="1">
      <alignment vertical="top" wrapText="1"/>
      <protection hidden="1"/>
    </xf>
    <xf numFmtId="0" fontId="38" fillId="2" borderId="0" xfId="0" applyFont="1" applyFill="1" applyBorder="1" applyAlignment="1" applyProtection="1">
      <alignment vertical="top" wrapText="1"/>
      <protection hidden="1"/>
    </xf>
    <xf numFmtId="0" fontId="23" fillId="2" borderId="4" xfId="0" applyFont="1" applyFill="1" applyBorder="1" applyAlignment="1" applyProtection="1">
      <alignment vertical="top" wrapText="1" shrinkToFit="1"/>
      <protection hidden="1"/>
    </xf>
    <xf numFmtId="0" fontId="23" fillId="2" borderId="6" xfId="0" applyFont="1" applyFill="1" applyBorder="1" applyAlignment="1" applyProtection="1">
      <alignment horizontal="right" vertical="top" wrapText="1"/>
      <protection hidden="1"/>
    </xf>
    <xf numFmtId="0" fontId="23" fillId="2" borderId="0" xfId="0" applyFont="1" applyFill="1" applyBorder="1" applyAlignment="1" applyProtection="1">
      <alignment horizontal="right" vertical="top" wrapText="1"/>
      <protection hidden="1"/>
    </xf>
    <xf numFmtId="0" fontId="47" fillId="2" borderId="4" xfId="0" applyFont="1" applyFill="1" applyBorder="1" applyProtection="1">
      <protection hidden="1"/>
    </xf>
    <xf numFmtId="0" fontId="47" fillId="2" borderId="0" xfId="0" applyFont="1" applyFill="1" applyProtection="1">
      <protection hidden="1"/>
    </xf>
    <xf numFmtId="0" fontId="46" fillId="2" borderId="0" xfId="0" applyFont="1" applyFill="1" applyBorder="1" applyAlignment="1" applyProtection="1">
      <protection hidden="1"/>
    </xf>
    <xf numFmtId="0" fontId="41" fillId="2" borderId="4" xfId="1" applyFont="1" applyFill="1" applyBorder="1" applyAlignment="1" applyProtection="1">
      <alignment horizontal="right" vertical="top" wrapText="1"/>
      <protection hidden="1"/>
    </xf>
    <xf numFmtId="0" fontId="47" fillId="19" borderId="1" xfId="0" applyFont="1" applyFill="1" applyBorder="1" applyAlignment="1" applyProtection="1">
      <alignment wrapText="1"/>
      <protection hidden="1"/>
    </xf>
    <xf numFmtId="0" fontId="48" fillId="19" borderId="1" xfId="1" applyFont="1" applyFill="1" applyBorder="1" applyAlignment="1" applyProtection="1">
      <alignment wrapText="1"/>
      <protection hidden="1"/>
    </xf>
    <xf numFmtId="0" fontId="61" fillId="0" borderId="0" xfId="0" quotePrefix="1" applyFont="1" applyFill="1" applyBorder="1" applyAlignment="1" applyProtection="1">
      <alignment vertical="top"/>
      <protection hidden="1"/>
    </xf>
    <xf numFmtId="0" fontId="61" fillId="0" borderId="0" xfId="0" applyFont="1" applyFill="1" applyBorder="1" applyProtection="1">
      <protection hidden="1"/>
    </xf>
    <xf numFmtId="0" fontId="23" fillId="0" borderId="0" xfId="0" applyFont="1" applyFill="1" applyBorder="1" applyProtection="1">
      <protection hidden="1"/>
    </xf>
    <xf numFmtId="0" fontId="6" fillId="16" borderId="1" xfId="1" applyFill="1" applyBorder="1" applyAlignment="1" applyProtection="1">
      <alignment vertical="center" wrapText="1"/>
      <protection hidden="1"/>
    </xf>
    <xf numFmtId="0" fontId="62" fillId="20" borderId="0" xfId="6" applyBorder="1" applyAlignment="1" applyProtection="1">
      <alignment horizontal="center" vertical="top"/>
      <protection hidden="1"/>
    </xf>
    <xf numFmtId="0" fontId="62" fillId="20" borderId="0" xfId="6" applyBorder="1" applyAlignment="1" applyProtection="1">
      <alignment vertical="top" wrapText="1"/>
      <protection hidden="1"/>
    </xf>
    <xf numFmtId="0" fontId="47" fillId="18" borderId="1" xfId="0" applyFont="1" applyFill="1" applyBorder="1" applyAlignment="1" applyProtection="1">
      <alignment vertical="top" wrapText="1"/>
      <protection hidden="1"/>
    </xf>
    <xf numFmtId="0" fontId="48" fillId="2" borderId="1" xfId="1" applyFont="1" applyFill="1" applyBorder="1" applyAlignment="1" applyProtection="1">
      <alignment vertical="top" wrapText="1"/>
      <protection hidden="1"/>
    </xf>
    <xf numFmtId="0" fontId="48" fillId="18" borderId="1" xfId="1" applyFont="1" applyFill="1" applyBorder="1" applyAlignment="1" applyProtection="1">
      <alignment vertical="top" wrapText="1"/>
      <protection hidden="1"/>
    </xf>
    <xf numFmtId="0" fontId="47" fillId="2" borderId="1" xfId="0" applyFont="1" applyFill="1" applyBorder="1" applyAlignment="1" applyProtection="1">
      <alignment vertical="top" wrapText="1"/>
      <protection hidden="1"/>
    </xf>
    <xf numFmtId="0" fontId="47" fillId="10" borderId="1" xfId="0" applyFont="1" applyFill="1" applyBorder="1" applyAlignment="1" applyProtection="1">
      <alignment vertical="top"/>
      <protection hidden="1"/>
    </xf>
    <xf numFmtId="0" fontId="47" fillId="4" borderId="1" xfId="0" applyFont="1" applyFill="1" applyBorder="1" applyAlignment="1" applyProtection="1">
      <alignment vertical="top" wrapText="1"/>
      <protection hidden="1"/>
    </xf>
    <xf numFmtId="0" fontId="48" fillId="4" borderId="1" xfId="1" applyFont="1" applyFill="1" applyBorder="1" applyAlignment="1" applyProtection="1">
      <alignment vertical="top" wrapText="1"/>
      <protection hidden="1"/>
    </xf>
    <xf numFmtId="0" fontId="23" fillId="2" borderId="9" xfId="0" applyFont="1" applyFill="1" applyBorder="1" applyAlignment="1" applyProtection="1">
      <alignment vertical="top" wrapText="1"/>
      <protection hidden="1"/>
    </xf>
    <xf numFmtId="0" fontId="47" fillId="19" borderId="1" xfId="0" applyFont="1" applyFill="1" applyBorder="1" applyAlignment="1" applyProtection="1">
      <alignment vertical="top" wrapText="1"/>
      <protection hidden="1"/>
    </xf>
    <xf numFmtId="0" fontId="39" fillId="2" borderId="2" xfId="0" applyFont="1" applyFill="1" applyBorder="1" applyAlignment="1" applyProtection="1">
      <alignment vertical="top" wrapText="1"/>
      <protection hidden="1"/>
    </xf>
    <xf numFmtId="0" fontId="27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alignment vertical="top"/>
      <protection hidden="1"/>
    </xf>
    <xf numFmtId="0" fontId="16" fillId="5" borderId="10" xfId="2" applyFont="1" applyFill="1" applyBorder="1" applyProtection="1">
      <protection hidden="1"/>
    </xf>
    <xf numFmtId="0" fontId="16" fillId="5" borderId="2" xfId="2" applyFont="1" applyFill="1" applyBorder="1" applyProtection="1">
      <protection hidden="1"/>
    </xf>
    <xf numFmtId="0" fontId="55" fillId="5" borderId="2" xfId="0" applyFont="1" applyFill="1" applyBorder="1" applyProtection="1">
      <protection hidden="1"/>
    </xf>
    <xf numFmtId="0" fontId="55" fillId="5" borderId="3" xfId="0" applyFont="1" applyFill="1" applyBorder="1" applyProtection="1">
      <protection hidden="1"/>
    </xf>
    <xf numFmtId="0" fontId="9" fillId="0" borderId="6" xfId="0" applyFont="1" applyBorder="1" applyProtection="1">
      <protection hidden="1"/>
    </xf>
    <xf numFmtId="0" fontId="9" fillId="0" borderId="4" xfId="0" applyFont="1" applyBorder="1" applyProtection="1">
      <protection hidden="1"/>
    </xf>
    <xf numFmtId="0" fontId="63" fillId="0" borderId="6" xfId="0" applyFont="1" applyBorder="1" applyProtection="1">
      <protection hidden="1"/>
    </xf>
    <xf numFmtId="0" fontId="9" fillId="0" borderId="16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9" xfId="0" applyFont="1" applyBorder="1" applyProtection="1"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Border="1" applyProtection="1">
      <protection hidden="1"/>
    </xf>
    <xf numFmtId="0" fontId="9" fillId="3" borderId="4" xfId="0" applyFont="1" applyFill="1" applyBorder="1" applyProtection="1">
      <protection hidden="1"/>
    </xf>
    <xf numFmtId="0" fontId="22" fillId="0" borderId="0" xfId="4" applyProtection="1">
      <protection hidden="1"/>
    </xf>
    <xf numFmtId="0" fontId="44" fillId="2" borderId="4" xfId="0" applyFont="1" applyFill="1" applyBorder="1" applyAlignment="1" applyProtection="1">
      <alignment horizontal="center" vertical="top" wrapText="1"/>
      <protection hidden="1"/>
    </xf>
    <xf numFmtId="0" fontId="47" fillId="2" borderId="0" xfId="0" applyFont="1" applyFill="1" applyBorder="1" applyProtection="1">
      <protection hidden="1"/>
    </xf>
    <xf numFmtId="0" fontId="47" fillId="0" borderId="0" xfId="0" applyFont="1" applyBorder="1" applyProtection="1">
      <protection hidden="1"/>
    </xf>
    <xf numFmtId="0" fontId="23" fillId="2" borderId="0" xfId="0" applyFont="1" applyFill="1" applyBorder="1" applyAlignment="1" applyProtection="1">
      <alignment vertical="top" shrinkToFit="1"/>
      <protection hidden="1"/>
    </xf>
    <xf numFmtId="0" fontId="23" fillId="18" borderId="0" xfId="0" applyFont="1" applyFill="1" applyBorder="1" applyAlignment="1" applyProtection="1">
      <alignment vertical="top" shrinkToFit="1"/>
      <protection hidden="1"/>
    </xf>
    <xf numFmtId="0" fontId="23" fillId="18" borderId="0" xfId="0" applyNumberFormat="1" applyFont="1" applyFill="1" applyBorder="1" applyAlignment="1" applyProtection="1">
      <alignment vertical="top" shrinkToFit="1"/>
      <protection hidden="1"/>
    </xf>
    <xf numFmtId="0" fontId="23" fillId="4" borderId="0" xfId="0" applyFont="1" applyFill="1" applyBorder="1" applyAlignment="1" applyProtection="1">
      <alignment vertical="top" shrinkToFit="1"/>
      <protection hidden="1"/>
    </xf>
    <xf numFmtId="0" fontId="23" fillId="4" borderId="0" xfId="0" applyNumberFormat="1" applyFont="1" applyFill="1" applyBorder="1" applyAlignment="1" applyProtection="1">
      <alignment vertical="top" shrinkToFit="1"/>
      <protection hidden="1"/>
    </xf>
    <xf numFmtId="0" fontId="23" fillId="10" borderId="0" xfId="0" applyFont="1" applyFill="1" applyBorder="1" applyAlignment="1" applyProtection="1">
      <alignment vertical="top" shrinkToFit="1"/>
      <protection hidden="1"/>
    </xf>
    <xf numFmtId="0" fontId="9" fillId="0" borderId="0" xfId="0" applyFont="1" applyBorder="1" applyAlignment="1" applyProtection="1">
      <alignment horizontal="center"/>
      <protection locked="0"/>
    </xf>
    <xf numFmtId="0" fontId="23" fillId="2" borderId="9" xfId="0" applyFont="1" applyFill="1" applyBorder="1" applyAlignment="1" applyProtection="1">
      <alignment vertical="top" wrapText="1"/>
      <protection hidden="1"/>
    </xf>
    <xf numFmtId="0" fontId="39" fillId="2" borderId="6" xfId="0" applyFont="1" applyFill="1" applyBorder="1" applyAlignment="1" applyProtection="1">
      <alignment vertical="top" wrapText="1"/>
      <protection hidden="1"/>
    </xf>
    <xf numFmtId="0" fontId="39" fillId="2" borderId="0" xfId="0" applyFont="1" applyFill="1" applyBorder="1" applyAlignment="1" applyProtection="1">
      <alignment vertical="top" wrapText="1"/>
      <protection hidden="1"/>
    </xf>
    <xf numFmtId="0" fontId="41" fillId="2" borderId="6" xfId="1" applyFont="1" applyFill="1" applyBorder="1" applyAlignment="1" applyProtection="1">
      <alignment horizontal="right" vertical="top" wrapText="1"/>
      <protection hidden="1"/>
    </xf>
    <xf numFmtId="0" fontId="41" fillId="2" borderId="0" xfId="1" applyFont="1" applyFill="1" applyBorder="1" applyAlignment="1" applyProtection="1">
      <alignment horizontal="right" vertical="top" wrapText="1"/>
      <protection hidden="1"/>
    </xf>
    <xf numFmtId="0" fontId="23" fillId="0" borderId="0" xfId="0" applyFont="1" applyFill="1" applyBorder="1" applyAlignment="1" applyProtection="1">
      <alignment vertical="top" wrapText="1"/>
      <protection locked="0"/>
    </xf>
    <xf numFmtId="0" fontId="23" fillId="0" borderId="4" xfId="0" applyFont="1" applyFill="1" applyBorder="1" applyAlignment="1" applyProtection="1">
      <alignment vertical="top" wrapText="1"/>
      <protection locked="0"/>
    </xf>
    <xf numFmtId="0" fontId="48" fillId="2" borderId="0" xfId="1" applyFont="1" applyFill="1" applyBorder="1" applyAlignment="1" applyProtection="1">
      <alignment horizontal="right" vertical="top" wrapText="1"/>
      <protection hidden="1"/>
    </xf>
    <xf numFmtId="0" fontId="48" fillId="2" borderId="0" xfId="1" applyFont="1" applyFill="1" applyBorder="1" applyAlignment="1" applyProtection="1">
      <alignment horizontal="right" vertical="top" shrinkToFit="1"/>
      <protection hidden="1"/>
    </xf>
    <xf numFmtId="0" fontId="39" fillId="2" borderId="29" xfId="0" applyFont="1" applyFill="1" applyBorder="1" applyAlignment="1" applyProtection="1">
      <alignment shrinkToFit="1"/>
      <protection hidden="1"/>
    </xf>
    <xf numFmtId="0" fontId="39" fillId="2" borderId="30" xfId="0" applyFont="1" applyFill="1" applyBorder="1" applyAlignment="1" applyProtection="1">
      <alignment shrinkToFit="1"/>
      <protection hidden="1"/>
    </xf>
    <xf numFmtId="0" fontId="39" fillId="2" borderId="31" xfId="0" applyFont="1" applyFill="1" applyBorder="1" applyAlignment="1" applyProtection="1">
      <alignment shrinkToFit="1"/>
      <protection hidden="1"/>
    </xf>
    <xf numFmtId="0" fontId="58" fillId="2" borderId="23" xfId="1" applyFont="1" applyFill="1" applyBorder="1" applyAlignment="1" applyProtection="1">
      <alignment horizontal="center" vertical="center" wrapText="1"/>
      <protection hidden="1"/>
    </xf>
    <xf numFmtId="0" fontId="58" fillId="2" borderId="26" xfId="1" applyFont="1" applyFill="1" applyBorder="1" applyAlignment="1" applyProtection="1">
      <alignment horizontal="center" vertical="center" wrapText="1"/>
      <protection hidden="1"/>
    </xf>
    <xf numFmtId="0" fontId="44" fillId="2" borderId="32" xfId="0" applyFont="1" applyFill="1" applyBorder="1" applyAlignment="1" applyProtection="1">
      <alignment horizontal="center" vertical="center" wrapText="1" shrinkToFit="1"/>
      <protection hidden="1"/>
    </xf>
    <xf numFmtId="0" fontId="44" fillId="2" borderId="33" xfId="0" applyFont="1" applyFill="1" applyBorder="1" applyAlignment="1" applyProtection="1">
      <alignment horizontal="center" vertical="center" wrapText="1" shrinkToFit="1"/>
      <protection hidden="1"/>
    </xf>
    <xf numFmtId="0" fontId="44" fillId="2" borderId="34" xfId="0" applyFont="1" applyFill="1" applyBorder="1" applyAlignment="1" applyProtection="1">
      <alignment horizontal="center" vertical="center" wrapText="1" shrinkToFit="1"/>
      <protection hidden="1"/>
    </xf>
    <xf numFmtId="0" fontId="44" fillId="2" borderId="3" xfId="0" applyFont="1" applyFill="1" applyBorder="1" applyAlignment="1" applyProtection="1">
      <alignment horizontal="center" vertical="center" wrapText="1" shrinkToFit="1"/>
      <protection hidden="1"/>
    </xf>
    <xf numFmtId="0" fontId="44" fillId="2" borderId="11" xfId="0" applyFont="1" applyFill="1" applyBorder="1" applyAlignment="1" applyProtection="1">
      <alignment horizontal="center" vertical="center" wrapText="1" shrinkToFit="1"/>
      <protection hidden="1"/>
    </xf>
    <xf numFmtId="0" fontId="44" fillId="2" borderId="10" xfId="0" applyFont="1" applyFill="1" applyBorder="1" applyAlignment="1" applyProtection="1">
      <alignment horizontal="center" vertical="center" wrapText="1" shrinkToFit="1"/>
      <protection hidden="1"/>
    </xf>
    <xf numFmtId="0" fontId="38" fillId="2" borderId="0" xfId="0" applyFont="1" applyFill="1" applyBorder="1" applyAlignment="1" applyProtection="1">
      <alignment horizontal="center" vertical="center" wrapText="1"/>
      <protection hidden="1"/>
    </xf>
    <xf numFmtId="0" fontId="44" fillId="2" borderId="43" xfId="0" applyFont="1" applyFill="1" applyBorder="1" applyAlignment="1" applyProtection="1">
      <alignment horizontal="center" vertical="center" wrapText="1"/>
      <protection hidden="1"/>
    </xf>
    <xf numFmtId="0" fontId="44" fillId="2" borderId="37" xfId="0" applyFont="1" applyFill="1" applyBorder="1" applyAlignment="1" applyProtection="1">
      <alignment horizontal="center" vertical="center" wrapText="1"/>
      <protection hidden="1"/>
    </xf>
    <xf numFmtId="0" fontId="44" fillId="2" borderId="23" xfId="0" applyFont="1" applyFill="1" applyBorder="1" applyAlignment="1" applyProtection="1">
      <alignment horizontal="center" vertical="center" wrapText="1"/>
      <protection hidden="1"/>
    </xf>
    <xf numFmtId="0" fontId="44" fillId="2" borderId="44" xfId="0" applyFont="1" applyFill="1" applyBorder="1" applyAlignment="1" applyProtection="1">
      <alignment horizontal="center" vertical="center" wrapText="1"/>
      <protection hidden="1"/>
    </xf>
    <xf numFmtId="0" fontId="44" fillId="2" borderId="38" xfId="0" applyFont="1" applyFill="1" applyBorder="1" applyAlignment="1" applyProtection="1">
      <alignment horizontal="center" vertical="center" wrapText="1"/>
      <protection hidden="1"/>
    </xf>
    <xf numFmtId="0" fontId="44" fillId="2" borderId="26" xfId="0" applyFont="1" applyFill="1" applyBorder="1" applyAlignment="1" applyProtection="1">
      <alignment horizontal="center" vertical="center" wrapText="1"/>
      <protection hidden="1"/>
    </xf>
    <xf numFmtId="0" fontId="58" fillId="2" borderId="27" xfId="1" applyFont="1" applyFill="1" applyBorder="1" applyAlignment="1" applyProtection="1">
      <alignment horizontal="center" vertical="center" wrapText="1"/>
      <protection hidden="1"/>
    </xf>
    <xf numFmtId="0" fontId="44" fillId="2" borderId="41" xfId="0" applyFont="1" applyFill="1" applyBorder="1" applyAlignment="1" applyProtection="1">
      <alignment horizontal="center" vertical="center" wrapText="1"/>
      <protection hidden="1"/>
    </xf>
    <xf numFmtId="0" fontId="44" fillId="2" borderId="39" xfId="0" applyFont="1" applyFill="1" applyBorder="1" applyAlignment="1" applyProtection="1">
      <alignment horizontal="center" vertical="center" wrapText="1"/>
      <protection hidden="1"/>
    </xf>
    <xf numFmtId="0" fontId="44" fillId="2" borderId="27" xfId="0" applyFont="1" applyFill="1" applyBorder="1" applyAlignment="1" applyProtection="1">
      <alignment horizontal="center" vertical="center" wrapText="1"/>
      <protection hidden="1"/>
    </xf>
    <xf numFmtId="0" fontId="54" fillId="9" borderId="10" xfId="0" applyFont="1" applyFill="1" applyBorder="1" applyAlignment="1" applyProtection="1">
      <alignment horizontal="center" vertical="center"/>
      <protection hidden="1"/>
    </xf>
    <xf numFmtId="0" fontId="54" fillId="9" borderId="2" xfId="0" applyFont="1" applyFill="1" applyBorder="1" applyAlignment="1" applyProtection="1">
      <alignment horizontal="center" vertical="center"/>
      <protection hidden="1"/>
    </xf>
    <xf numFmtId="0" fontId="54" fillId="9" borderId="7" xfId="0" applyFont="1" applyFill="1" applyBorder="1" applyAlignment="1" applyProtection="1">
      <alignment horizontal="center" vertical="center"/>
      <protection hidden="1"/>
    </xf>
    <xf numFmtId="0" fontId="54" fillId="9" borderId="9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top"/>
      <protection hidden="1"/>
    </xf>
    <xf numFmtId="0" fontId="51" fillId="2" borderId="9" xfId="0" applyFont="1" applyFill="1" applyBorder="1" applyAlignment="1" applyProtection="1">
      <alignment horizontal="center" vertical="top"/>
      <protection hidden="1"/>
    </xf>
    <xf numFmtId="0" fontId="39" fillId="2" borderId="10" xfId="0" applyFont="1" applyFill="1" applyBorder="1" applyAlignment="1" applyProtection="1">
      <alignment vertical="top" wrapText="1" shrinkToFit="1"/>
      <protection hidden="1"/>
    </xf>
    <xf numFmtId="0" fontId="39" fillId="2" borderId="2" xfId="0" applyFont="1" applyFill="1" applyBorder="1" applyAlignment="1" applyProtection="1">
      <alignment vertical="top" wrapText="1" shrinkToFit="1"/>
      <protection hidden="1"/>
    </xf>
    <xf numFmtId="0" fontId="39" fillId="2" borderId="10" xfId="0" applyFont="1" applyFill="1" applyBorder="1" applyAlignment="1" applyProtection="1">
      <alignment wrapText="1" shrinkToFit="1"/>
      <protection hidden="1"/>
    </xf>
    <xf numFmtId="0" fontId="39" fillId="2" borderId="2" xfId="0" applyFont="1" applyFill="1" applyBorder="1" applyAlignment="1" applyProtection="1">
      <alignment wrapText="1" shrinkToFit="1"/>
      <protection hidden="1"/>
    </xf>
    <xf numFmtId="0" fontId="41" fillId="2" borderId="2" xfId="1" applyFont="1" applyFill="1" applyBorder="1" applyAlignment="1" applyProtection="1">
      <alignment horizontal="center" shrinkToFit="1"/>
      <protection hidden="1"/>
    </xf>
    <xf numFmtId="0" fontId="41" fillId="2" borderId="3" xfId="1" applyFont="1" applyFill="1" applyBorder="1" applyAlignment="1" applyProtection="1">
      <alignment horizontal="center" shrinkToFit="1"/>
      <protection hidden="1"/>
    </xf>
    <xf numFmtId="0" fontId="23" fillId="2" borderId="11" xfId="0" applyFont="1" applyFill="1" applyBorder="1" applyAlignment="1" applyProtection="1">
      <alignment horizontal="center" vertical="center" shrinkToFit="1"/>
      <protection hidden="1"/>
    </xf>
    <xf numFmtId="0" fontId="23" fillId="2" borderId="12" xfId="0" applyFont="1" applyFill="1" applyBorder="1" applyAlignment="1" applyProtection="1">
      <alignment horizontal="center" vertical="center" shrinkToFit="1"/>
      <protection hidden="1"/>
    </xf>
    <xf numFmtId="0" fontId="23" fillId="2" borderId="8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vertical="top" wrapText="1" shrinkToFit="1"/>
      <protection locked="0"/>
    </xf>
    <xf numFmtId="0" fontId="23" fillId="2" borderId="6" xfId="0" applyFont="1" applyFill="1" applyBorder="1" applyAlignment="1" applyProtection="1">
      <alignment horizontal="right" vertical="top" wrapText="1" shrinkToFit="1"/>
      <protection hidden="1"/>
    </xf>
    <xf numFmtId="0" fontId="23" fillId="2" borderId="0" xfId="0" applyFont="1" applyFill="1" applyBorder="1" applyAlignment="1" applyProtection="1">
      <alignment horizontal="right" vertical="top" wrapText="1" shrinkToFit="1"/>
      <protection hidden="1"/>
    </xf>
    <xf numFmtId="14" fontId="23" fillId="0" borderId="0" xfId="0" applyNumberFormat="1" applyFont="1" applyFill="1" applyBorder="1" applyAlignment="1" applyProtection="1">
      <alignment vertical="top" wrapText="1"/>
      <protection locked="0"/>
    </xf>
    <xf numFmtId="0" fontId="60" fillId="0" borderId="0" xfId="1" applyFont="1" applyFill="1" applyBorder="1" applyAlignment="1" applyProtection="1">
      <alignment vertical="top" wrapText="1" shrinkToFit="1"/>
      <protection locked="0"/>
    </xf>
    <xf numFmtId="0" fontId="42" fillId="0" borderId="0" xfId="1" applyFont="1" applyFill="1" applyBorder="1" applyAlignment="1" applyProtection="1">
      <alignment vertical="top" wrapText="1" shrinkToFit="1"/>
      <protection locked="0"/>
    </xf>
    <xf numFmtId="49" fontId="23" fillId="0" borderId="0" xfId="1" applyNumberFormat="1" applyFont="1" applyFill="1" applyBorder="1" applyAlignment="1" applyProtection="1">
      <alignment horizontal="center" vertical="top" wrapText="1" shrinkToFit="1"/>
      <protection locked="0"/>
    </xf>
    <xf numFmtId="0" fontId="23" fillId="2" borderId="6" xfId="0" applyFont="1" applyFill="1" applyBorder="1" applyAlignment="1" applyProtection="1">
      <alignment vertical="top" wrapText="1" shrinkToFit="1"/>
      <protection hidden="1"/>
    </xf>
    <xf numFmtId="0" fontId="23" fillId="2" borderId="0" xfId="0" applyFont="1" applyFill="1" applyBorder="1" applyAlignment="1" applyProtection="1">
      <alignment vertical="top" wrapText="1" shrinkToFit="1"/>
      <protection hidden="1"/>
    </xf>
    <xf numFmtId="49" fontId="23" fillId="0" borderId="0" xfId="0" applyNumberFormat="1" applyFont="1" applyFill="1" applyBorder="1" applyAlignment="1" applyProtection="1">
      <alignment horizontal="center" vertical="top" wrapText="1" shrinkToFit="1"/>
      <protection locked="0"/>
    </xf>
    <xf numFmtId="0" fontId="43" fillId="15" borderId="6" xfId="0" applyFont="1" applyFill="1" applyBorder="1" applyAlignment="1" applyProtection="1">
      <alignment vertical="top" wrapText="1" shrinkToFit="1"/>
      <protection hidden="1"/>
    </xf>
    <xf numFmtId="0" fontId="43" fillId="15" borderId="0" xfId="0" applyFont="1" applyFill="1" applyBorder="1" applyAlignment="1" applyProtection="1">
      <alignment vertical="top" wrapText="1" shrinkToFit="1"/>
      <protection hidden="1"/>
    </xf>
    <xf numFmtId="0" fontId="46" fillId="4" borderId="1" xfId="0" applyFont="1" applyFill="1" applyBorder="1" applyAlignment="1" applyProtection="1">
      <alignment vertical="top"/>
      <protection hidden="1"/>
    </xf>
    <xf numFmtId="0" fontId="47" fillId="4" borderId="1" xfId="0" applyFont="1" applyFill="1" applyBorder="1" applyAlignment="1" applyProtection="1">
      <alignment vertical="top"/>
      <protection hidden="1"/>
    </xf>
    <xf numFmtId="0" fontId="47" fillId="4" borderId="1" xfId="0" applyFont="1" applyFill="1" applyBorder="1" applyAlignment="1" applyProtection="1">
      <alignment vertical="top" wrapText="1"/>
      <protection hidden="1"/>
    </xf>
    <xf numFmtId="0" fontId="48" fillId="4" borderId="1" xfId="1" applyFont="1" applyFill="1" applyBorder="1" applyAlignment="1" applyProtection="1">
      <alignment vertical="top" wrapText="1"/>
      <protection hidden="1"/>
    </xf>
    <xf numFmtId="0" fontId="47" fillId="4" borderId="11" xfId="0" applyFont="1" applyFill="1" applyBorder="1" applyAlignment="1" applyProtection="1">
      <alignment vertical="top" wrapText="1"/>
      <protection hidden="1"/>
    </xf>
    <xf numFmtId="0" fontId="47" fillId="4" borderId="8" xfId="0" applyFont="1" applyFill="1" applyBorder="1" applyAlignment="1" applyProtection="1">
      <alignment vertical="top" wrapText="1"/>
      <protection hidden="1"/>
    </xf>
    <xf numFmtId="0" fontId="47" fillId="10" borderId="1" xfId="0" applyFont="1" applyFill="1" applyBorder="1" applyAlignment="1" applyProtection="1">
      <alignment vertical="top"/>
      <protection hidden="1"/>
    </xf>
    <xf numFmtId="0" fontId="47" fillId="18" borderId="1" xfId="0" applyFont="1" applyFill="1" applyBorder="1" applyAlignment="1" applyProtection="1">
      <alignment vertical="top" wrapText="1"/>
      <protection hidden="1"/>
    </xf>
    <xf numFmtId="0" fontId="48" fillId="18" borderId="1" xfId="1" applyFont="1" applyFill="1" applyBorder="1" applyAlignment="1" applyProtection="1">
      <alignment vertical="top" wrapText="1"/>
      <protection hidden="1"/>
    </xf>
    <xf numFmtId="0" fontId="46" fillId="2" borderId="1" xfId="0" applyFont="1" applyFill="1" applyBorder="1" applyAlignment="1" applyProtection="1">
      <alignment vertical="top"/>
      <protection hidden="1"/>
    </xf>
    <xf numFmtId="0" fontId="47" fillId="2" borderId="10" xfId="0" applyFont="1" applyFill="1" applyBorder="1" applyAlignment="1" applyProtection="1">
      <alignment vertical="top"/>
      <protection hidden="1"/>
    </xf>
    <xf numFmtId="0" fontId="47" fillId="2" borderId="2" xfId="0" applyFont="1" applyFill="1" applyBorder="1" applyAlignment="1" applyProtection="1">
      <alignment vertical="top"/>
      <protection hidden="1"/>
    </xf>
    <xf numFmtId="0" fontId="47" fillId="2" borderId="3" xfId="0" applyFont="1" applyFill="1" applyBorder="1" applyAlignment="1" applyProtection="1">
      <alignment vertical="top"/>
      <protection hidden="1"/>
    </xf>
    <xf numFmtId="0" fontId="47" fillId="2" borderId="7" xfId="0" applyFont="1" applyFill="1" applyBorder="1" applyAlignment="1" applyProtection="1">
      <alignment vertical="top"/>
      <protection hidden="1"/>
    </xf>
    <xf numFmtId="0" fontId="47" fillId="2" borderId="9" xfId="0" applyFont="1" applyFill="1" applyBorder="1" applyAlignment="1" applyProtection="1">
      <alignment vertical="top"/>
      <protection hidden="1"/>
    </xf>
    <xf numFmtId="0" fontId="47" fillId="2" borderId="5" xfId="0" applyFont="1" applyFill="1" applyBorder="1" applyAlignment="1" applyProtection="1">
      <alignment vertical="top"/>
      <protection hidden="1"/>
    </xf>
    <xf numFmtId="0" fontId="48" fillId="2" borderId="1" xfId="1" applyFont="1" applyFill="1" applyBorder="1" applyAlignment="1" applyProtection="1">
      <alignment vertical="top" wrapText="1"/>
      <protection hidden="1"/>
    </xf>
    <xf numFmtId="0" fontId="46" fillId="18" borderId="1" xfId="0" applyFont="1" applyFill="1" applyBorder="1" applyAlignment="1" applyProtection="1">
      <alignment vertical="top" wrapText="1"/>
      <protection hidden="1"/>
    </xf>
    <xf numFmtId="0" fontId="47" fillId="2" borderId="1" xfId="0" applyFont="1" applyFill="1" applyBorder="1" applyAlignment="1" applyProtection="1">
      <alignment vertical="top" wrapText="1"/>
      <protection hidden="1"/>
    </xf>
    <xf numFmtId="0" fontId="19" fillId="9" borderId="10" xfId="0" applyFont="1" applyFill="1" applyBorder="1" applyAlignment="1" applyProtection="1">
      <alignment horizontal="center" vertical="center"/>
      <protection hidden="1"/>
    </xf>
    <xf numFmtId="0" fontId="19" fillId="9" borderId="2" xfId="0" applyFont="1" applyFill="1" applyBorder="1" applyAlignment="1" applyProtection="1">
      <alignment horizontal="center" vertical="center"/>
      <protection hidden="1"/>
    </xf>
    <xf numFmtId="0" fontId="19" fillId="9" borderId="7" xfId="0" applyFont="1" applyFill="1" applyBorder="1" applyAlignment="1" applyProtection="1">
      <alignment horizontal="center" vertical="center"/>
      <protection hidden="1"/>
    </xf>
    <xf numFmtId="0" fontId="19" fillId="9" borderId="9" xfId="0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center" vertical="top"/>
      <protection hidden="1"/>
    </xf>
    <xf numFmtId="0" fontId="18" fillId="2" borderId="9" xfId="0" applyFont="1" applyFill="1" applyBorder="1" applyAlignment="1" applyProtection="1">
      <alignment horizontal="center" vertical="top"/>
      <protection hidden="1"/>
    </xf>
    <xf numFmtId="0" fontId="38" fillId="2" borderId="40" xfId="1" applyFont="1" applyFill="1" applyBorder="1" applyAlignment="1" applyProtection="1">
      <alignment horizontal="center" vertical="center" wrapText="1"/>
      <protection hidden="1"/>
    </xf>
    <xf numFmtId="0" fontId="38" fillId="2" borderId="25" xfId="1" applyFont="1" applyFill="1" applyBorder="1" applyAlignment="1" applyProtection="1">
      <alignment horizontal="center" vertical="center" wrapText="1"/>
      <protection hidden="1"/>
    </xf>
    <xf numFmtId="0" fontId="39" fillId="2" borderId="28" xfId="0" applyFont="1" applyFill="1" applyBorder="1" applyAlignment="1" applyProtection="1">
      <alignment shrinkToFit="1"/>
      <protection hidden="1"/>
    </xf>
    <xf numFmtId="0" fontId="39" fillId="2" borderId="24" xfId="0" applyFont="1" applyFill="1" applyBorder="1" applyAlignment="1" applyProtection="1">
      <alignment shrinkToFit="1"/>
      <protection hidden="1"/>
    </xf>
    <xf numFmtId="0" fontId="39" fillId="2" borderId="42" xfId="0" applyFont="1" applyFill="1" applyBorder="1" applyAlignment="1" applyProtection="1">
      <alignment shrinkToFit="1"/>
      <protection hidden="1"/>
    </xf>
    <xf numFmtId="0" fontId="45" fillId="2" borderId="24" xfId="0" applyFont="1" applyFill="1" applyBorder="1" applyAlignment="1" applyProtection="1">
      <alignment horizontal="center" vertical="center" wrapText="1" shrinkToFit="1"/>
      <protection hidden="1"/>
    </xf>
    <xf numFmtId="0" fontId="45" fillId="2" borderId="42" xfId="0" applyFont="1" applyFill="1" applyBorder="1" applyAlignment="1" applyProtection="1">
      <alignment horizontal="center" vertical="center" wrapText="1" shrinkToFit="1"/>
      <protection hidden="1"/>
    </xf>
    <xf numFmtId="0" fontId="45" fillId="2" borderId="36" xfId="0" applyFont="1" applyFill="1" applyBorder="1" applyAlignment="1" applyProtection="1">
      <alignment horizontal="center" vertical="center" wrapText="1" shrinkToFit="1"/>
      <protection hidden="1"/>
    </xf>
    <xf numFmtId="0" fontId="45" fillId="2" borderId="35" xfId="0" applyFont="1" applyFill="1" applyBorder="1" applyAlignment="1" applyProtection="1">
      <alignment horizontal="center" vertical="center" wrapText="1" shrinkToFit="1"/>
      <protection hidden="1"/>
    </xf>
    <xf numFmtId="0" fontId="45" fillId="2" borderId="0" xfId="0" applyFont="1" applyFill="1" applyBorder="1" applyAlignment="1" applyProtection="1">
      <alignment horizontal="center" vertical="center" wrapText="1"/>
      <protection hidden="1"/>
    </xf>
    <xf numFmtId="0" fontId="47" fillId="19" borderId="1" xfId="0" applyFont="1" applyFill="1" applyBorder="1" applyAlignment="1" applyProtection="1">
      <alignment vertical="top" wrapText="1"/>
      <protection hidden="1"/>
    </xf>
    <xf numFmtId="0" fontId="46" fillId="19" borderId="1" xfId="0" applyFont="1" applyFill="1" applyBorder="1" applyAlignment="1" applyProtection="1">
      <alignment vertical="top" wrapText="1"/>
      <protection hidden="1"/>
    </xf>
    <xf numFmtId="0" fontId="47" fillId="2" borderId="6" xfId="0" applyFont="1" applyFill="1" applyBorder="1" applyAlignment="1" applyProtection="1">
      <alignment horizontal="right"/>
      <protection hidden="1"/>
    </xf>
    <xf numFmtId="0" fontId="47" fillId="2" borderId="0" xfId="0" applyFont="1" applyFill="1" applyBorder="1" applyAlignment="1" applyProtection="1">
      <alignment horizontal="right"/>
      <protection hidden="1"/>
    </xf>
    <xf numFmtId="0" fontId="39" fillId="2" borderId="10" xfId="0" applyFont="1" applyFill="1" applyBorder="1" applyAlignment="1" applyProtection="1">
      <alignment vertical="top" wrapText="1"/>
      <protection hidden="1"/>
    </xf>
    <xf numFmtId="0" fontId="39" fillId="2" borderId="2" xfId="0" applyFont="1" applyFill="1" applyBorder="1" applyAlignment="1" applyProtection="1">
      <alignment vertical="top" wrapText="1"/>
      <protection hidden="1"/>
    </xf>
    <xf numFmtId="0" fontId="45" fillId="2" borderId="24" xfId="0" applyFont="1" applyFill="1" applyBorder="1" applyAlignment="1" applyProtection="1">
      <alignment horizontal="center" vertical="center" wrapText="1"/>
      <protection hidden="1"/>
    </xf>
    <xf numFmtId="0" fontId="45" fillId="2" borderId="42" xfId="0" applyFont="1" applyFill="1" applyBorder="1" applyAlignment="1" applyProtection="1">
      <alignment horizontal="center" vertical="center" wrapText="1"/>
      <protection hidden="1"/>
    </xf>
    <xf numFmtId="0" fontId="45" fillId="2" borderId="36" xfId="0" applyFont="1" applyFill="1" applyBorder="1" applyAlignment="1" applyProtection="1">
      <alignment horizontal="center" vertical="center" wrapText="1"/>
      <protection hidden="1"/>
    </xf>
    <xf numFmtId="0" fontId="45" fillId="2" borderId="35" xfId="0" applyFont="1" applyFill="1" applyBorder="1" applyAlignment="1" applyProtection="1">
      <alignment horizontal="center" vertical="center" wrapText="1"/>
      <protection hidden="1"/>
    </xf>
    <xf numFmtId="0" fontId="53" fillId="2" borderId="0" xfId="0" applyFont="1" applyFill="1" applyBorder="1" applyAlignment="1" applyProtection="1">
      <alignment horizontal="center" vertical="center" wrapText="1"/>
      <protection hidden="1"/>
    </xf>
    <xf numFmtId="0" fontId="53" fillId="2" borderId="4" xfId="0" applyFont="1" applyFill="1" applyBorder="1" applyAlignment="1" applyProtection="1">
      <alignment horizontal="center" vertical="center" wrapText="1"/>
      <protection hidden="1"/>
    </xf>
    <xf numFmtId="0" fontId="53" fillId="2" borderId="9" xfId="0" applyFont="1" applyFill="1" applyBorder="1" applyAlignment="1" applyProtection="1">
      <alignment horizontal="center" vertical="center" wrapText="1"/>
      <protection hidden="1"/>
    </xf>
    <xf numFmtId="0" fontId="53" fillId="2" borderId="5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wrapText="1" shrinkToFit="1"/>
      <protection hidden="1"/>
    </xf>
    <xf numFmtId="0" fontId="21" fillId="2" borderId="4" xfId="0" applyFont="1" applyFill="1" applyBorder="1" applyAlignment="1" applyProtection="1">
      <alignment horizontal="center" vertical="center" wrapText="1" shrinkToFit="1"/>
      <protection hidden="1"/>
    </xf>
    <xf numFmtId="0" fontId="21" fillId="2" borderId="36" xfId="0" applyFont="1" applyFill="1" applyBorder="1" applyAlignment="1" applyProtection="1">
      <alignment horizontal="center" vertical="center" wrapText="1" shrinkToFit="1"/>
      <protection hidden="1"/>
    </xf>
    <xf numFmtId="0" fontId="21" fillId="2" borderId="46" xfId="0" applyFont="1" applyFill="1" applyBorder="1" applyAlignment="1" applyProtection="1">
      <alignment horizontal="center" vertical="center" wrapText="1" shrinkToFit="1"/>
      <protection hidden="1"/>
    </xf>
    <xf numFmtId="0" fontId="57" fillId="2" borderId="27" xfId="1" applyFont="1" applyFill="1" applyBorder="1" applyAlignment="1" applyProtection="1">
      <alignment horizontal="center" vertical="center" wrapText="1"/>
      <protection hidden="1"/>
    </xf>
    <xf numFmtId="0" fontId="57" fillId="2" borderId="26" xfId="1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21" fillId="2" borderId="36" xfId="0" applyFont="1" applyFill="1" applyBorder="1" applyAlignment="1" applyProtection="1">
      <alignment horizontal="center" vertical="center" wrapText="1"/>
      <protection hidden="1"/>
    </xf>
    <xf numFmtId="0" fontId="21" fillId="2" borderId="46" xfId="0" applyFont="1" applyFill="1" applyBorder="1" applyAlignment="1" applyProtection="1">
      <alignment horizontal="center" vertical="center" wrapText="1"/>
      <protection hidden="1"/>
    </xf>
    <xf numFmtId="0" fontId="35" fillId="2" borderId="40" xfId="0" applyFont="1" applyFill="1" applyBorder="1" applyAlignment="1" applyProtection="1">
      <alignment horizontal="center"/>
      <protection hidden="1"/>
    </xf>
    <xf numFmtId="0" fontId="35" fillId="2" borderId="0" xfId="0" applyFont="1" applyFill="1" applyBorder="1" applyAlignment="1" applyProtection="1">
      <alignment horizontal="center"/>
      <protection hidden="1"/>
    </xf>
    <xf numFmtId="0" fontId="10" fillId="9" borderId="10" xfId="0" applyFont="1" applyFill="1" applyBorder="1" applyAlignment="1" applyProtection="1">
      <alignment horizontal="center" vertical="center"/>
      <protection hidden="1"/>
    </xf>
    <xf numFmtId="0" fontId="10" fillId="9" borderId="2" xfId="0" applyFont="1" applyFill="1" applyBorder="1" applyAlignment="1" applyProtection="1">
      <alignment horizontal="center" vertical="center"/>
      <protection hidden="1"/>
    </xf>
    <xf numFmtId="0" fontId="10" fillId="9" borderId="7" xfId="0" applyFont="1" applyFill="1" applyBorder="1" applyAlignment="1" applyProtection="1">
      <alignment horizontal="center" vertical="center"/>
      <protection hidden="1"/>
    </xf>
    <xf numFmtId="0" fontId="10" fillId="9" borderId="9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top"/>
      <protection hidden="1"/>
    </xf>
    <xf numFmtId="0" fontId="17" fillId="2" borderId="10" xfId="0" applyFont="1" applyFill="1" applyBorder="1" applyAlignment="1" applyProtection="1">
      <alignment vertical="top" wrapText="1"/>
      <protection hidden="1"/>
    </xf>
    <xf numFmtId="0" fontId="17" fillId="2" borderId="2" xfId="0" applyFont="1" applyFill="1" applyBorder="1" applyAlignment="1" applyProtection="1">
      <alignment vertical="top" wrapText="1"/>
      <protection hidden="1"/>
    </xf>
    <xf numFmtId="0" fontId="9" fillId="2" borderId="6" xfId="0" applyFont="1" applyFill="1" applyBorder="1" applyAlignment="1" applyProtection="1">
      <alignment horizontal="right"/>
      <protection hidden="1"/>
    </xf>
    <xf numFmtId="0" fontId="9" fillId="2" borderId="0" xfId="0" applyFont="1" applyFill="1" applyBorder="1" applyAlignment="1" applyProtection="1">
      <alignment horizontal="right"/>
      <protection hidden="1"/>
    </xf>
    <xf numFmtId="0" fontId="17" fillId="2" borderId="29" xfId="0" applyFont="1" applyFill="1" applyBorder="1" applyAlignment="1" applyProtection="1">
      <alignment shrinkToFit="1"/>
      <protection hidden="1"/>
    </xf>
    <xf numFmtId="0" fontId="17" fillId="2" borderId="30" xfId="0" applyFont="1" applyFill="1" applyBorder="1" applyAlignment="1" applyProtection="1">
      <alignment shrinkToFit="1"/>
      <protection hidden="1"/>
    </xf>
    <xf numFmtId="0" fontId="17" fillId="2" borderId="45" xfId="0" applyFont="1" applyFill="1" applyBorder="1" applyAlignment="1" applyProtection="1">
      <alignment shrinkToFit="1"/>
      <protection hidden="1"/>
    </xf>
    <xf numFmtId="0" fontId="52" fillId="2" borderId="0" xfId="0" applyFont="1" applyFill="1" applyBorder="1" applyAlignment="1" applyProtection="1">
      <alignment horizontal="center" vertical="center" wrapText="1"/>
      <protection hidden="1"/>
    </xf>
    <xf numFmtId="0" fontId="52" fillId="2" borderId="4" xfId="0" applyFont="1" applyFill="1" applyBorder="1" applyAlignment="1" applyProtection="1">
      <alignment horizontal="center" vertical="center" wrapText="1"/>
      <protection hidden="1"/>
    </xf>
    <xf numFmtId="0" fontId="52" fillId="2" borderId="9" xfId="0" applyFont="1" applyFill="1" applyBorder="1" applyAlignment="1" applyProtection="1">
      <alignment horizontal="center" vertical="center" wrapText="1"/>
      <protection hidden="1"/>
    </xf>
    <xf numFmtId="0" fontId="52" fillId="2" borderId="5" xfId="0" applyFont="1" applyFill="1" applyBorder="1" applyAlignment="1" applyProtection="1">
      <alignment horizontal="center" vertical="center" wrapText="1"/>
      <protection hidden="1"/>
    </xf>
    <xf numFmtId="0" fontId="20" fillId="16" borderId="14" xfId="0" applyFont="1" applyFill="1" applyBorder="1" applyAlignment="1" applyProtection="1">
      <alignment vertical="center" wrapText="1"/>
      <protection hidden="1"/>
    </xf>
    <xf numFmtId="0" fontId="20" fillId="16" borderId="15" xfId="0" applyFont="1" applyFill="1" applyBorder="1" applyAlignment="1" applyProtection="1">
      <alignment vertical="center" wrapText="1"/>
      <protection hidden="1"/>
    </xf>
    <xf numFmtId="0" fontId="20" fillId="16" borderId="13" xfId="0" applyFont="1" applyFill="1" applyBorder="1" applyAlignment="1" applyProtection="1">
      <alignment vertical="center" wrapText="1"/>
      <protection hidden="1"/>
    </xf>
    <xf numFmtId="0" fontId="27" fillId="12" borderId="0" xfId="0" applyFont="1" applyFill="1" applyBorder="1" applyAlignment="1" applyProtection="1">
      <protection hidden="1"/>
    </xf>
    <xf numFmtId="0" fontId="9" fillId="0" borderId="9" xfId="0" applyFont="1" applyBorder="1" applyAlignment="1" applyProtection="1">
      <protection hidden="1"/>
    </xf>
    <xf numFmtId="0" fontId="20" fillId="0" borderId="0" xfId="0" applyFont="1" applyBorder="1" applyAlignment="1" applyProtection="1">
      <protection hidden="1"/>
    </xf>
    <xf numFmtId="0" fontId="27" fillId="0" borderId="0" xfId="0" applyFont="1" applyBorder="1" applyAlignment="1" applyProtection="1">
      <protection hidden="1"/>
    </xf>
    <xf numFmtId="0" fontId="27" fillId="0" borderId="0" xfId="0" applyFont="1" applyFill="1" applyBorder="1" applyAlignment="1" applyProtection="1"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16" fillId="0" borderId="0" xfId="0" applyFont="1" applyFill="1" applyBorder="1" applyAlignment="1" applyProtection="1">
      <alignment vertical="top"/>
      <protection hidden="1"/>
    </xf>
    <xf numFmtId="0" fontId="20" fillId="0" borderId="9" xfId="0" applyFont="1" applyBorder="1" applyAlignment="1" applyProtection="1">
      <alignment vertical="top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 textRotation="90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textRotation="90"/>
      <protection hidden="1"/>
    </xf>
    <xf numFmtId="0" fontId="20" fillId="0" borderId="4" xfId="0" applyFont="1" applyBorder="1" applyAlignment="1" applyProtection="1">
      <alignment horizontal="center" vertical="center" textRotation="90"/>
      <protection hidden="1"/>
    </xf>
    <xf numFmtId="0" fontId="16" fillId="2" borderId="1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textRotation="90" wrapText="1"/>
      <protection hidden="1"/>
    </xf>
    <xf numFmtId="0" fontId="20" fillId="0" borderId="47" xfId="0" applyFont="1" applyBorder="1" applyAlignment="1" applyProtection="1">
      <alignment horizontal="center" vertical="center" textRotation="90" wrapText="1"/>
      <protection hidden="1"/>
    </xf>
    <xf numFmtId="0" fontId="20" fillId="0" borderId="8" xfId="0" applyFont="1" applyBorder="1" applyAlignment="1" applyProtection="1">
      <alignment horizontal="center" vertical="center" textRotation="90" wrapText="1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30" fillId="13" borderId="0" xfId="0" applyFont="1" applyFill="1" applyBorder="1" applyAlignment="1" applyProtection="1">
      <alignment vertical="top"/>
      <protection hidden="1"/>
    </xf>
    <xf numFmtId="0" fontId="16" fillId="2" borderId="8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18" borderId="1" xfId="5" applyFont="1" applyFill="1" applyBorder="1" applyAlignment="1" applyProtection="1">
      <alignment horizontal="center" vertical="center" wrapText="1"/>
      <protection hidden="1"/>
    </xf>
    <xf numFmtId="0" fontId="16" fillId="18" borderId="1" xfId="0" applyFont="1" applyFill="1" applyBorder="1" applyAlignment="1" applyProtection="1">
      <alignment horizontal="center" vertical="center" wrapText="1"/>
      <protection hidden="1"/>
    </xf>
    <xf numFmtId="0" fontId="16" fillId="18" borderId="11" xfId="0" applyFont="1" applyFill="1" applyBorder="1" applyAlignment="1" applyProtection="1">
      <alignment horizontal="center" vertical="center" wrapText="1"/>
      <protection hidden="1"/>
    </xf>
    <xf numFmtId="0" fontId="16" fillId="18" borderId="12" xfId="0" applyFont="1" applyFill="1" applyBorder="1" applyAlignment="1" applyProtection="1">
      <alignment horizontal="center" vertical="center" wrapText="1"/>
      <protection hidden="1"/>
    </xf>
    <xf numFmtId="0" fontId="16" fillId="18" borderId="8" xfId="0" applyFont="1" applyFill="1" applyBorder="1" applyAlignment="1" applyProtection="1">
      <alignment horizontal="center" vertical="center" wrapText="1"/>
      <protection hidden="1"/>
    </xf>
    <xf numFmtId="0" fontId="7" fillId="18" borderId="11" xfId="0" applyFont="1" applyFill="1" applyBorder="1" applyAlignment="1" applyProtection="1">
      <alignment horizontal="center" vertical="center" wrapText="1"/>
      <protection hidden="1"/>
    </xf>
    <xf numFmtId="0" fontId="7" fillId="18" borderId="12" xfId="0" applyFont="1" applyFill="1" applyBorder="1" applyAlignment="1" applyProtection="1">
      <alignment horizontal="center" vertical="center" wrapText="1"/>
      <protection hidden="1"/>
    </xf>
    <xf numFmtId="0" fontId="7" fillId="18" borderId="8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16" fillId="4" borderId="1" xfId="5" applyFont="1" applyFill="1" applyBorder="1" applyAlignment="1" applyProtection="1">
      <alignment horizontal="center" vertical="center" wrapText="1"/>
      <protection hidden="1"/>
    </xf>
    <xf numFmtId="0" fontId="7" fillId="18" borderId="1" xfId="0" applyFont="1" applyFill="1" applyBorder="1" applyAlignment="1" applyProtection="1">
      <alignment horizontal="center" vertical="center" wrapText="1"/>
      <protection hidden="1"/>
    </xf>
    <xf numFmtId="0" fontId="20" fillId="14" borderId="52" xfId="5" applyFont="1" applyFill="1" applyBorder="1" applyAlignment="1" applyProtection="1">
      <alignment vertical="center" wrapText="1"/>
      <protection hidden="1"/>
    </xf>
    <xf numFmtId="0" fontId="20" fillId="14" borderId="53" xfId="5" applyFont="1" applyFill="1" applyBorder="1" applyAlignment="1" applyProtection="1">
      <alignment vertical="center" wrapText="1"/>
      <protection hidden="1"/>
    </xf>
    <xf numFmtId="0" fontId="20" fillId="16" borderId="11" xfId="5" applyFont="1" applyFill="1" applyBorder="1" applyAlignment="1" applyProtection="1">
      <alignment horizontal="center" vertical="center" textRotation="90" wrapText="1"/>
      <protection hidden="1"/>
    </xf>
    <xf numFmtId="0" fontId="20" fillId="16" borderId="12" xfId="5" applyFont="1" applyFill="1" applyBorder="1" applyAlignment="1" applyProtection="1">
      <alignment horizontal="center" vertical="center" textRotation="90" wrapText="1"/>
      <protection hidden="1"/>
    </xf>
    <xf numFmtId="0" fontId="20" fillId="16" borderId="8" xfId="5" applyFont="1" applyFill="1" applyBorder="1" applyAlignment="1" applyProtection="1">
      <alignment horizontal="center" vertical="center" textRotation="90" wrapText="1"/>
      <protection hidden="1"/>
    </xf>
    <xf numFmtId="0" fontId="20" fillId="0" borderId="12" xfId="5" applyFont="1" applyBorder="1" applyAlignment="1" applyProtection="1">
      <alignment horizontal="center" vertical="center" textRotation="90" wrapText="1"/>
      <protection hidden="1"/>
    </xf>
    <xf numFmtId="0" fontId="20" fillId="0" borderId="8" xfId="5" applyFont="1" applyBorder="1" applyAlignment="1" applyProtection="1">
      <alignment horizontal="center" vertical="center" textRotation="90" wrapText="1"/>
      <protection hidden="1"/>
    </xf>
    <xf numFmtId="0" fontId="7" fillId="17" borderId="1" xfId="0" applyFont="1" applyFill="1" applyBorder="1" applyAlignment="1" applyProtection="1">
      <alignment horizontal="center" vertical="center" wrapText="1"/>
      <protection hidden="1"/>
    </xf>
    <xf numFmtId="0" fontId="7" fillId="17" borderId="47" xfId="0" applyFont="1" applyFill="1" applyBorder="1" applyAlignment="1" applyProtection="1">
      <alignment horizontal="center" vertical="center" wrapText="1"/>
      <protection hidden="1"/>
    </xf>
    <xf numFmtId="0" fontId="20" fillId="17" borderId="11" xfId="5" applyFont="1" applyFill="1" applyBorder="1" applyAlignment="1" applyProtection="1">
      <alignment horizontal="center" vertical="center" textRotation="90" wrapText="1"/>
      <protection hidden="1"/>
    </xf>
    <xf numFmtId="0" fontId="20" fillId="17" borderId="12" xfId="5" applyFont="1" applyFill="1" applyBorder="1" applyAlignment="1" applyProtection="1">
      <alignment horizontal="center" vertical="center" textRotation="90" wrapText="1"/>
      <protection hidden="1"/>
    </xf>
    <xf numFmtId="0" fontId="20" fillId="17" borderId="48" xfId="5" applyFont="1" applyFill="1" applyBorder="1" applyAlignment="1" applyProtection="1">
      <alignment horizontal="center" vertical="center" textRotation="90" wrapText="1"/>
      <protection hidden="1"/>
    </xf>
    <xf numFmtId="0" fontId="20" fillId="0" borderId="51" xfId="5" applyFont="1" applyBorder="1" applyAlignment="1" applyProtection="1">
      <alignment horizontal="center" vertical="center" textRotation="90" wrapText="1"/>
      <protection hidden="1"/>
    </xf>
    <xf numFmtId="0" fontId="20" fillId="0" borderId="48" xfId="5" applyFont="1" applyBorder="1" applyAlignment="1" applyProtection="1">
      <alignment horizontal="center" vertical="center" textRotation="90" wrapText="1"/>
      <protection hidden="1"/>
    </xf>
    <xf numFmtId="0" fontId="16" fillId="17" borderId="1" xfId="5" applyFont="1" applyFill="1" applyBorder="1" applyAlignment="1" applyProtection="1">
      <alignment horizontal="center" vertical="center" wrapText="1"/>
      <protection hidden="1"/>
    </xf>
    <xf numFmtId="0" fontId="7" fillId="16" borderId="10" xfId="0" applyFont="1" applyFill="1" applyBorder="1" applyAlignment="1" applyProtection="1">
      <alignment horizontal="center" vertical="center" wrapText="1"/>
      <protection hidden="1"/>
    </xf>
    <xf numFmtId="0" fontId="7" fillId="16" borderId="3" xfId="0" applyFont="1" applyFill="1" applyBorder="1" applyAlignment="1" applyProtection="1">
      <alignment horizontal="center" vertical="center" wrapText="1"/>
      <protection hidden="1"/>
    </xf>
    <xf numFmtId="0" fontId="7" fillId="16" borderId="6" xfId="0" applyFont="1" applyFill="1" applyBorder="1" applyAlignment="1" applyProtection="1">
      <alignment horizontal="center" vertical="center" wrapText="1"/>
      <protection hidden="1"/>
    </xf>
    <xf numFmtId="0" fontId="7" fillId="16" borderId="4" xfId="0" applyFont="1" applyFill="1" applyBorder="1" applyAlignment="1" applyProtection="1">
      <alignment horizontal="center" vertical="center" wrapText="1"/>
      <protection hidden="1"/>
    </xf>
    <xf numFmtId="0" fontId="7" fillId="16" borderId="7" xfId="0" applyFont="1" applyFill="1" applyBorder="1" applyAlignment="1" applyProtection="1">
      <alignment horizontal="center" vertical="center" wrapText="1"/>
      <protection hidden="1"/>
    </xf>
    <xf numFmtId="0" fontId="7" fillId="16" borderId="5" xfId="0" applyFont="1" applyFill="1" applyBorder="1" applyAlignment="1" applyProtection="1">
      <alignment horizontal="center" vertical="center" wrapText="1"/>
      <protection hidden="1"/>
    </xf>
    <xf numFmtId="0" fontId="26" fillId="4" borderId="0" xfId="4" applyFont="1" applyFill="1" applyAlignment="1" applyProtection="1">
      <alignment vertical="center" readingOrder="1"/>
      <protection hidden="1"/>
    </xf>
    <xf numFmtId="0" fontId="16" fillId="0" borderId="10" xfId="4" applyFont="1" applyBorder="1" applyAlignment="1" applyProtection="1">
      <alignment horizontal="center" vertical="top"/>
      <protection hidden="1"/>
    </xf>
    <xf numFmtId="0" fontId="16" fillId="0" borderId="6" xfId="4" applyFont="1" applyBorder="1" applyAlignment="1" applyProtection="1">
      <alignment horizontal="center" vertical="top"/>
      <protection hidden="1"/>
    </xf>
    <xf numFmtId="0" fontId="16" fillId="0" borderId="7" xfId="4" applyFont="1" applyBorder="1" applyAlignment="1" applyProtection="1">
      <alignment horizontal="center" vertical="top"/>
      <protection hidden="1"/>
    </xf>
    <xf numFmtId="0" fontId="23" fillId="0" borderId="0" xfId="4" applyFont="1" applyAlignment="1" applyProtection="1">
      <alignment vertical="top" wrapText="1"/>
      <protection hidden="1"/>
    </xf>
    <xf numFmtId="0" fontId="55" fillId="0" borderId="2" xfId="4" applyFont="1" applyBorder="1" applyAlignment="1" applyProtection="1">
      <alignment horizontal="center" vertical="center"/>
      <protection hidden="1"/>
    </xf>
    <xf numFmtId="0" fontId="55" fillId="0" borderId="0" xfId="4" applyFont="1" applyBorder="1" applyAlignment="1" applyProtection="1">
      <alignment horizontal="center" vertical="center"/>
      <protection hidden="1"/>
    </xf>
    <xf numFmtId="0" fontId="55" fillId="0" borderId="9" xfId="4" applyFont="1" applyBorder="1" applyAlignment="1" applyProtection="1">
      <alignment horizontal="center" vertical="center"/>
      <protection hidden="1"/>
    </xf>
    <xf numFmtId="0" fontId="55" fillId="0" borderId="2" xfId="4" applyFont="1" applyBorder="1" applyAlignment="1" applyProtection="1">
      <alignment horizontal="center" vertical="center" readingOrder="1"/>
      <protection hidden="1"/>
    </xf>
    <xf numFmtId="0" fontId="55" fillId="0" borderId="0" xfId="4" applyFont="1" applyBorder="1" applyAlignment="1" applyProtection="1">
      <alignment horizontal="center" vertical="center" readingOrder="1"/>
      <protection hidden="1"/>
    </xf>
    <xf numFmtId="0" fontId="55" fillId="0" borderId="9" xfId="4" applyFont="1" applyBorder="1" applyAlignment="1" applyProtection="1">
      <alignment horizontal="center" vertical="center" readingOrder="1"/>
      <protection hidden="1"/>
    </xf>
    <xf numFmtId="0" fontId="56" fillId="0" borderId="3" xfId="4" applyFont="1" applyBorder="1" applyAlignment="1" applyProtection="1">
      <alignment horizontal="center" vertical="center"/>
      <protection hidden="1"/>
    </xf>
    <xf numFmtId="0" fontId="56" fillId="0" borderId="4" xfId="4" applyFont="1" applyBorder="1" applyAlignment="1" applyProtection="1">
      <alignment horizontal="center" vertical="center"/>
      <protection hidden="1"/>
    </xf>
    <xf numFmtId="0" fontId="56" fillId="0" borderId="5" xfId="4" applyFont="1" applyBorder="1" applyAlignment="1" applyProtection="1">
      <alignment horizontal="center" vertical="center"/>
      <protection hidden="1"/>
    </xf>
    <xf numFmtId="0" fontId="56" fillId="0" borderId="11" xfId="4" applyFont="1" applyBorder="1" applyAlignment="1" applyProtection="1">
      <alignment horizontal="center" vertical="center"/>
      <protection hidden="1"/>
    </xf>
    <xf numFmtId="0" fontId="56" fillId="0" borderId="12" xfId="4" applyFont="1" applyBorder="1" applyAlignment="1" applyProtection="1">
      <alignment horizontal="center" vertical="center"/>
      <protection hidden="1"/>
    </xf>
    <xf numFmtId="0" fontId="56" fillId="0" borderId="8" xfId="4" applyFont="1" applyBorder="1" applyAlignment="1" applyProtection="1">
      <alignment horizontal="center" vertical="center"/>
      <protection hidden="1"/>
    </xf>
    <xf numFmtId="0" fontId="20" fillId="0" borderId="11" xfId="4" applyFont="1" applyBorder="1" applyAlignment="1" applyProtection="1">
      <alignment horizontal="center" vertical="center" textRotation="90"/>
      <protection hidden="1"/>
    </xf>
    <xf numFmtId="0" fontId="20" fillId="0" borderId="12" xfId="4" applyFont="1" applyBorder="1" applyAlignment="1" applyProtection="1">
      <alignment horizontal="center" vertical="center" textRotation="90"/>
      <protection hidden="1"/>
    </xf>
    <xf numFmtId="0" fontId="20" fillId="0" borderId="8" xfId="4" applyFont="1" applyBorder="1" applyAlignment="1" applyProtection="1">
      <alignment horizontal="center" vertical="center" textRotation="90"/>
      <protection hidden="1"/>
    </xf>
    <xf numFmtId="0" fontId="37" fillId="3" borderId="0" xfId="4" applyFont="1" applyFill="1" applyAlignment="1" applyProtection="1">
      <alignment vertical="top"/>
      <protection hidden="1"/>
    </xf>
  </cellXfs>
  <cellStyles count="7">
    <cellStyle name="Bad" xfId="6" builtinId="27"/>
    <cellStyle name="Hyperlink" xfId="1" builtinId="8"/>
    <cellStyle name="Normal" xfId="0" builtinId="0"/>
    <cellStyle name="Normal 2" xfId="4" xr:uid="{00000000-0005-0000-0000-000002000000}"/>
    <cellStyle name="Normal 2 2" xfId="5" xr:uid="{00000000-0005-0000-0000-000003000000}"/>
    <cellStyle name="Normal_codes" xfId="2" xr:uid="{00000000-0005-0000-0000-000004000000}"/>
    <cellStyle name="Normal_codes_1" xfId="3" xr:uid="{00000000-0005-0000-0000-000005000000}"/>
  </cellStyles>
  <dxfs count="1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general" vertical="top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5" formatCode="hh:mm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9" formatCode="yyyy/mm/dd"/>
      <alignment horizontal="general" vertical="top" textRotation="0" wrapText="0" indent="0" justifyLastLine="0" shrinkToFit="1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border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5" formatCode="hh:mm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9" formatCode="yyyy/mm/dd"/>
      <alignment horizontal="general" vertical="top" textRotation="0" wrapText="0" indent="0" justifyLastLine="0" shrinkToFit="1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1" readingOrder="0"/>
      <border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0" formatCode="General"/>
      <alignment horizontal="general" vertical="top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1" readingOrder="0"/>
      <border diagonalUp="0" diagonalDown="0">
        <left/>
        <right/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RelRec" displayName="tblRelRec" ref="A26:BP50" totalsRowShown="0" headerRowDxfId="121" dataDxfId="120" tableBorderDxfId="119">
  <autoFilter ref="A26:BP50" xr:uid="{00000000-0009-0000-0100-000002000000}"/>
  <tableColumns count="68">
    <tableColumn id="1" xr3:uid="{00000000-0010-0000-0000-000001000000}" name="SpecimID" dataDxfId="118"/>
    <tableColumn id="2" xr3:uid="{00000000-0010-0000-0000-000002000000}" name="SpcCd" dataDxfId="117"/>
    <tableColumn id="3" xr3:uid="{00000000-0010-0000-0000-000003000000}" name="SexCd" dataDxfId="116"/>
    <tableColumn id="5" xr3:uid="{00000000-0010-0000-0000-000005000000}" name="Tag1Cd" dataDxfId="115"/>
    <tableColumn id="6" xr3:uid="{00000000-0010-0000-0000-000006000000}" name="Tag2Cd" dataDxfId="114"/>
    <tableColumn id="7" xr3:uid="{00000000-0010-0000-0000-000007000000}" name="Tag3Cd" dataDxfId="113"/>
    <tableColumn id="8" xr3:uid="{00000000-0010-0000-0000-000008000000}" name="Tag4Cd" dataDxfId="112"/>
    <tableColumn id="4" xr3:uid="{00000000-0010-0000-0000-000004000000}" name="RCStageCd" dataDxfId="111"/>
    <tableColumn id="9" xr3:uid="{00000000-0010-0000-0000-000009000000}" name="reDate" dataDxfId="110"/>
    <tableColumn id="10" xr3:uid="{00000000-0010-0000-0000-00000A000000}" name="reTime" dataDxfId="109"/>
    <tableColumn id="11" xr3:uid="{00000000-0010-0000-0000-00000B000000}" name="reLat" dataDxfId="108"/>
    <tableColumn id="12" xr3:uid="{00000000-0010-0000-0000-00000C000000}" name="reLon" dataDxfId="107"/>
    <tableColumn id="13" xr3:uid="{00000000-0010-0000-0000-00000D000000}" name="reArea" dataDxfId="106"/>
    <tableColumn id="14" xr3:uid="{00000000-0010-0000-0000-00000E000000}" name="reVessID" dataDxfId="105"/>
    <tableColumn id="15" xr3:uid="{00000000-0010-0000-0000-00000F000000}" name="reGearCd" dataDxfId="104"/>
    <tableColumn id="16" xr3:uid="{00000000-0010-0000-0000-000010000000}" name="reSchoolCd" dataDxfId="103"/>
    <tableColumn id="17" xr3:uid="{00000000-0010-0000-0000-000011000000}" name="reSurvAcro" dataDxfId="102"/>
    <tableColumn id="18" xr3:uid="{00000000-0010-0000-0000-000012000000}" name="reBaitCd" dataDxfId="101"/>
    <tableColumn id="19" xr3:uid="{00000000-0010-0000-0000-000013000000}" name="reDeptM" dataDxfId="100"/>
    <tableColumn id="20" xr3:uid="{00000000-0010-0000-0000-000014000000}" name="reLenCm" dataDxfId="99"/>
    <tableColumn id="21" xr3:uid="{00000000-0010-0000-0000-000015000000}" name="reLenTyCd" dataDxfId="98"/>
    <tableColumn id="22" xr3:uid="{00000000-0010-0000-0000-000016000000}" name="reLenMetCd" dataDxfId="97"/>
    <tableColumn id="23" xr3:uid="{00000000-0010-0000-0000-000017000000}" name="reWgKg" dataDxfId="96"/>
    <tableColumn id="24" xr3:uid="{00000000-0010-0000-0000-000018000000}" name="reWgTyCd" dataDxfId="95"/>
    <tableColumn id="25" xr3:uid="{00000000-0010-0000-0000-000019000000}" name="reWgMetCd" dataDxfId="94"/>
    <tableColumn id="26" xr3:uid="{00000000-0010-0000-0000-00001A000000}" name="reFcGl" dataDxfId="93"/>
    <tableColumn id="27" xr3:uid="{00000000-0010-0000-0000-00001B000000}" name="reFcHe" dataDxfId="92"/>
    <tableColumn id="28" xr3:uid="{00000000-0010-0000-0000-00001C000000}" name="reFcMo" dataDxfId="91"/>
    <tableColumn id="29" xr3:uid="{00000000-0010-0000-0000-00001D000000}" name="reFcEy" dataDxfId="90"/>
    <tableColumn id="30" xr3:uid="{00000000-0010-0000-0000-00001E000000}" name="reFcSk" dataDxfId="89"/>
    <tableColumn id="31" xr3:uid="{00000000-0010-0000-0000-00001F000000}" name="reFcFi" dataDxfId="88"/>
    <tableColumn id="32" xr3:uid="{00000000-0010-0000-0000-000020000000}" name="reFcBo" dataDxfId="87"/>
    <tableColumn id="33" xr3:uid="{00000000-0010-0000-0000-000021000000}" name="reSST" dataDxfId="86"/>
    <tableColumn id="34" xr3:uid="{00000000-0010-0000-0000-000022000000}" name="reEnvStateCd" dataDxfId="85"/>
    <tableColumn id="35" xr3:uid="{00000000-0010-0000-0000-000023000000}" name="reWSpeed" dataDxfId="84"/>
    <tableColumn id="36" xr3:uid="{00000000-0010-0000-0000-000024000000}" name="reSkyCov" dataDxfId="83"/>
    <tableColumn id="37" xr3:uid="{00000000-0010-0000-0000-000025000000}" name="rePersonID" dataDxfId="82"/>
    <tableColumn id="39" xr3:uid="{00000000-0010-0000-0000-000027000000}" name="reScCheck" dataDxfId="81"/>
    <tableColumn id="40" xr3:uid="{00000000-0010-0000-0000-000028000000}" name="reNotes" dataDxfId="80"/>
    <tableColumn id="41" xr3:uid="{00000000-0010-0000-0000-000029000000}" name="rcDate" dataDxfId="79"/>
    <tableColumn id="42" xr3:uid="{00000000-0010-0000-0000-00002A000000}" name="rcTime" dataDxfId="78"/>
    <tableColumn id="43" xr3:uid="{00000000-0010-0000-0000-00002B000000}" name="rcLat" dataDxfId="77"/>
    <tableColumn id="44" xr3:uid="{00000000-0010-0000-0000-00002C000000}" name="rcLon" dataDxfId="76"/>
    <tableColumn id="45" xr3:uid="{00000000-0010-0000-0000-00002D000000}" name="rcArea" dataDxfId="75"/>
    <tableColumn id="46" xr3:uid="{00000000-0010-0000-0000-00002E000000}" name="rcVessID" dataDxfId="74"/>
    <tableColumn id="47" xr3:uid="{00000000-0010-0000-0000-00002F000000}" name="rcGearCd" dataDxfId="73"/>
    <tableColumn id="48" xr3:uid="{00000000-0010-0000-0000-000030000000}" name="rcSchoolCd" dataDxfId="72"/>
    <tableColumn id="49" xr3:uid="{00000000-0010-0000-0000-000031000000}" name="rcSurveyAcro" dataDxfId="71"/>
    <tableColumn id="50" xr3:uid="{00000000-0010-0000-0000-000032000000}" name="rcRecoveryPlace" dataDxfId="70"/>
    <tableColumn id="51" xr3:uid="{00000000-0010-0000-0000-000033000000}" name="rcLenCm" dataDxfId="69"/>
    <tableColumn id="52" xr3:uid="{00000000-0010-0000-0000-000034000000}" name="rcLenTyCd" dataDxfId="68"/>
    <tableColumn id="53" xr3:uid="{00000000-0010-0000-0000-000035000000}" name="rcLenMetCd" dataDxfId="67"/>
    <tableColumn id="54" xr3:uid="{00000000-0010-0000-0000-000036000000}" name="rcWgKg" dataDxfId="66"/>
    <tableColumn id="55" xr3:uid="{00000000-0010-0000-0000-000037000000}" name="rcWgTyCd" dataDxfId="65"/>
    <tableColumn id="56" xr3:uid="{00000000-0010-0000-0000-000038000000}" name="rcWgMetCd" dataDxfId="64"/>
    <tableColumn id="57" xr3:uid="{00000000-0010-0000-0000-000039000000}" name="rcFcGl" dataDxfId="63"/>
    <tableColumn id="58" xr3:uid="{00000000-0010-0000-0000-00003A000000}" name="rcFcHe" dataDxfId="62"/>
    <tableColumn id="59" xr3:uid="{00000000-0010-0000-0000-00003B000000}" name="rcFcMo" dataDxfId="61"/>
    <tableColumn id="60" xr3:uid="{00000000-0010-0000-0000-00003C000000}" name="rcFcEy" dataDxfId="60"/>
    <tableColumn id="61" xr3:uid="{00000000-0010-0000-0000-00003D000000}" name="rcFcSk" dataDxfId="59"/>
    <tableColumn id="62" xr3:uid="{00000000-0010-0000-0000-00003E000000}" name="rcFcFi" dataDxfId="58"/>
    <tableColumn id="63" xr3:uid="{00000000-0010-0000-0000-00003F000000}" name="rcFcBo" dataDxfId="57"/>
    <tableColumn id="64" xr3:uid="{00000000-0010-0000-0000-000040000000}" name="rcSstC" dataDxfId="56"/>
    <tableColumn id="65" xr3:uid="{00000000-0010-0000-0000-000041000000}" name="rcPersonID" dataDxfId="55"/>
    <tableColumn id="67" xr3:uid="{00000000-0010-0000-0000-000043000000}" name="rcReTaggedYN" dataDxfId="54"/>
    <tableColumn id="68" xr3:uid="{00000000-0010-0000-0000-000044000000}" name="rcScieCheckYN" dataDxfId="53"/>
    <tableColumn id="69" xr3:uid="{00000000-0010-0000-0000-000045000000}" name="rcNotes" dataDxfId="52"/>
    <tableColumn id="70" xr3:uid="{00000000-0010-0000-0000-000046000000}" name="rcQCScore" dataDxfId="51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blVessels" displayName="tblVessels" ref="A19:J30" totalsRowShown="0" headerRowDxfId="50" dataDxfId="49">
  <autoFilter ref="A19:J30" xr:uid="{00000000-0009-0000-0100-000004000000}"/>
  <tableColumns count="10">
    <tableColumn id="1" xr3:uid="{00000000-0010-0000-0100-000001000000}" name="VesselID" dataDxfId="48"/>
    <tableColumn id="2" xr3:uid="{00000000-0010-0000-0100-000002000000}" name="VesselName" dataDxfId="47"/>
    <tableColumn id="3" xr3:uid="{00000000-0010-0000-0100-000003000000}" name="FlagCd" dataDxfId="46"/>
    <tableColumn id="4" xr3:uid="{00000000-0010-0000-0100-000004000000}" name="BasePortZone" dataDxfId="45"/>
    <tableColumn id="5" xr3:uid="{00000000-0010-0000-0100-000005000000}" name="GearCd" dataDxfId="44"/>
    <tableColumn id="6" xr3:uid="{00000000-0010-0000-0100-000006000000}" name="LOAm" dataDxfId="43"/>
    <tableColumn id="7" xr3:uid="{00000000-0010-0000-0100-000007000000}" name="GRTt" dataDxfId="42"/>
    <tableColumn id="8" xr3:uid="{00000000-0010-0000-0100-000008000000}" name="InReYN" dataDxfId="41"/>
    <tableColumn id="9" xr3:uid="{00000000-0010-0000-0100-000009000000}" name="InRcYN" dataDxfId="40"/>
    <tableColumn id="10" xr3:uid="{00000000-0010-0000-0100-00000A000000}" name="RemarksB" dataDxfId="39"/>
  </tableColumns>
  <tableStyleInfo name="TableStyleLight2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blPersons" displayName="tblPersons" ref="A19:J30" headerRowDxfId="38" dataDxfId="37" totalsRowDxfId="36">
  <autoFilter ref="A19:J30" xr:uid="{00000000-0009-0000-0100-000006000000}"/>
  <tableColumns count="10">
    <tableColumn id="1" xr3:uid="{00000000-0010-0000-0200-000001000000}" name="PersonID" totalsRowLabel="Total" dataDxfId="35" totalsRowDxfId="34"/>
    <tableColumn id="6" xr3:uid="{00000000-0010-0000-0200-000006000000}" name="CtryCd" dataDxfId="33" totalsRowDxfId="32"/>
    <tableColumn id="3" xr3:uid="{00000000-0010-0000-0200-000003000000}" name="TypeCd" dataDxfId="31" totalsRowDxfId="30"/>
    <tableColumn id="2" xr3:uid="{00000000-0010-0000-0200-000002000000}" name="Name" dataDxfId="29" totalsRowDxfId="28"/>
    <tableColumn id="7" xr3:uid="{00000000-0010-0000-0200-000007000000}" name="Address" dataDxfId="27" totalsRowDxfId="26"/>
    <tableColumn id="8" xr3:uid="{00000000-0010-0000-0200-000008000000}" name="Email" dataDxfId="25" totalsRowDxfId="24"/>
    <tableColumn id="9" xr3:uid="{00000000-0010-0000-0200-000009000000}" name="Phone" dataDxfId="23" totalsRowDxfId="22"/>
    <tableColumn id="4" xr3:uid="{00000000-0010-0000-0200-000004000000}" name="TaggerYN" dataDxfId="21" totalsRowDxfId="20"/>
    <tableColumn id="5" xr3:uid="{00000000-0010-0000-0200-000005000000}" name="RecaptYN" dataDxfId="19" totalsRowDxfId="18"/>
    <tableColumn id="10" xr3:uid="{00000000-0010-0000-0200-00000A000000}" name="RemarksC" totalsRowFunction="count" dataDxfId="17" totalsRowDxfId="16"/>
  </tableColumns>
  <tableStyleInfo name="TableStyleLight7" showFirstColumn="1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blTrans3Langs" displayName="tblTrans3Langs" ref="A4:L181" totalsRowShown="0" headerRowDxfId="15" dataDxfId="14">
  <autoFilter ref="A4:L181" xr:uid="{1364EAF2-6C7F-45D8-BFE9-3B97E5F92933}"/>
  <tableColumns count="12">
    <tableColumn id="1" xr3:uid="{00000000-0010-0000-0300-000001000000}" name="FieldID" dataDxfId="13"/>
    <tableColumn id="2" xr3:uid="{00000000-0010-0000-0300-000002000000}" name="Order" dataDxfId="12"/>
    <tableColumn id="3" xr3:uid="{00000000-0010-0000-0300-000003000000}" name="Subform" dataDxfId="11"/>
    <tableColumn id="4" xr3:uid="{00000000-0010-0000-0300-000004000000}" name="Section" dataDxfId="10"/>
    <tableColumn id="11" xr3:uid="{00000000-0010-0000-0300-00000B000000}" name="Item" dataDxfId="9"/>
    <tableColumn id="15" xr3:uid="{00000000-0010-0000-0300-00000F000000}" name="FieldType" dataDxfId="8"/>
    <tableColumn id="7" xr3:uid="{00000000-0010-0000-0300-000007000000}" name="FldNameEN" dataDxfId="7"/>
    <tableColumn id="8" xr3:uid="{00000000-0010-0000-0300-000008000000}" name="FldNameFR" dataDxfId="6"/>
    <tableColumn id="10" xr3:uid="{00000000-0010-0000-0300-00000A000000}" name="FldNameES" dataDxfId="5"/>
    <tableColumn id="5" xr3:uid="{00000000-0010-0000-0300-000005000000}" name="FldInstructEN" dataDxfId="4"/>
    <tableColumn id="9" xr3:uid="{00000000-0010-0000-0300-000009000000}" name="FldInstructFR" dataDxfId="3"/>
    <tableColumn id="12" xr3:uid="{00000000-0010-0000-0300-00000C000000}" name="FldInstructES" dataDxfId="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Q50"/>
  <sheetViews>
    <sheetView tabSelected="1" zoomScaleNormal="100" workbookViewId="0">
      <selection sqref="A1:B2"/>
    </sheetView>
  </sheetViews>
  <sheetFormatPr defaultColWidth="9.6640625" defaultRowHeight="12" x14ac:dyDescent="0.3"/>
  <cols>
    <col min="1" max="1" width="10.109375" style="204" bestFit="1" customWidth="1"/>
    <col min="2" max="2" width="9.33203125" style="1" bestFit="1" customWidth="1"/>
    <col min="3" max="3" width="13.44140625" style="1" bestFit="1" customWidth="1"/>
    <col min="4" max="8" width="8.6640625" style="1" customWidth="1"/>
    <col min="9" max="9" width="8.109375" style="1" bestFit="1" customWidth="1"/>
    <col min="10" max="10" width="10.109375" style="1" bestFit="1" customWidth="1"/>
    <col min="11" max="11" width="6.6640625" style="1" bestFit="1" customWidth="1"/>
    <col min="12" max="12" width="7.6640625" style="1" bestFit="1" customWidth="1"/>
    <col min="13" max="13" width="19.33203125" style="1" bestFit="1" customWidth="1"/>
    <col min="14" max="14" width="10.33203125" style="1" bestFit="1" customWidth="1"/>
    <col min="15" max="15" width="7.44140625" style="1" bestFit="1" customWidth="1"/>
    <col min="16" max="16" width="8.6640625" style="1" bestFit="1" customWidth="1"/>
    <col min="17" max="17" width="9.5546875" style="1" bestFit="1" customWidth="1"/>
    <col min="18" max="18" width="9" style="1" bestFit="1" customWidth="1"/>
    <col min="19" max="19" width="8.88671875" style="1" customWidth="1"/>
    <col min="20" max="20" width="7" style="1" bestFit="1" customWidth="1"/>
    <col min="21" max="21" width="8" style="1" bestFit="1" customWidth="1"/>
    <col min="22" max="22" width="8.44140625" style="1" customWidth="1"/>
    <col min="23" max="23" width="6.109375" style="1" bestFit="1" customWidth="1"/>
    <col min="24" max="24" width="7.6640625" style="1" bestFit="1" customWidth="1"/>
    <col min="25" max="25" width="8.33203125" style="1" customWidth="1"/>
    <col min="26" max="32" width="5.33203125" style="1" customWidth="1"/>
    <col min="33" max="33" width="4.5546875" style="1" bestFit="1" customWidth="1"/>
    <col min="34" max="34" width="9.88671875" style="1" bestFit="1" customWidth="1"/>
    <col min="35" max="35" width="8" style="1" bestFit="1" customWidth="1"/>
    <col min="36" max="36" width="7.33203125" style="1" bestFit="1" customWidth="1"/>
    <col min="37" max="37" width="8.44140625" style="1" bestFit="1" customWidth="1"/>
    <col min="38" max="38" width="9.33203125" style="1" bestFit="1" customWidth="1"/>
    <col min="39" max="39" width="30.33203125" style="1" bestFit="1" customWidth="1"/>
    <col min="40" max="40" width="8.109375" style="1" bestFit="1" customWidth="1"/>
    <col min="41" max="41" width="7.5546875" style="1" customWidth="1"/>
    <col min="42" max="42" width="6.6640625" style="1" bestFit="1" customWidth="1"/>
    <col min="43" max="43" width="7.6640625" style="1" bestFit="1" customWidth="1"/>
    <col min="44" max="44" width="22.88671875" style="1" bestFit="1" customWidth="1"/>
    <col min="45" max="45" width="7" style="1" customWidth="1"/>
    <col min="46" max="46" width="6.88671875" style="1" customWidth="1"/>
    <col min="47" max="47" width="8.6640625" style="1" bestFit="1" customWidth="1"/>
    <col min="48" max="48" width="12.109375" style="1" bestFit="1" customWidth="1"/>
    <col min="49" max="49" width="10.5546875" style="1" customWidth="1"/>
    <col min="50" max="50" width="6.88671875" style="1" bestFit="1" customWidth="1"/>
    <col min="51" max="51" width="7.88671875" style="1" bestFit="1" customWidth="1"/>
    <col min="52" max="52" width="8.33203125" style="1" customWidth="1"/>
    <col min="53" max="53" width="6" style="1" bestFit="1" customWidth="1"/>
    <col min="54" max="54" width="7.5546875" style="1" bestFit="1" customWidth="1"/>
    <col min="55" max="55" width="8.44140625" style="1" customWidth="1"/>
    <col min="56" max="62" width="5.5546875" style="1" customWidth="1"/>
    <col min="63" max="63" width="13.33203125" style="1" bestFit="1" customWidth="1"/>
    <col min="64" max="64" width="8.33203125" style="1" bestFit="1" customWidth="1"/>
    <col min="65" max="65" width="10.33203125" style="1" customWidth="1"/>
    <col min="66" max="66" width="10.44140625" style="1" customWidth="1"/>
    <col min="67" max="67" width="30.33203125" style="1" bestFit="1" customWidth="1"/>
    <col min="68" max="68" width="11.109375" style="1" bestFit="1" customWidth="1"/>
    <col min="69" max="69" width="9.6640625" style="1"/>
    <col min="70" max="16384" width="9.6640625" style="204"/>
  </cols>
  <sheetData>
    <row r="1" spans="1:69" s="203" customFormat="1" ht="20.399999999999999" x14ac:dyDescent="0.3">
      <c r="A1" s="358" t="str">
        <f>VLOOKUP("T00",tblTrans3Langs[#Data],LangFieldID,FALSE)</f>
        <v>TG02-CnvTReRc</v>
      </c>
      <c r="B1" s="359"/>
      <c r="C1" s="362" t="str">
        <f>VLOOKUP("T00",tblTrans3Langs[#Data],IF(Idiom="ENG",10,IF(Idiom="FRA",11,12)),FALSE)</f>
        <v>Conventional Tag release-recovery data</v>
      </c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40" t="str">
        <f>VLOOKUP("T03",tblTrans3Langs[#Data],LangFieldID,FALSE)</f>
        <v>Version</v>
      </c>
      <c r="R1" s="41" t="str">
        <f>VLOOKUP("T04",tblTrans3Langs[#Data],LangFieldID,FALSE)</f>
        <v>Language</v>
      </c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</row>
    <row r="2" spans="1:69" s="203" customFormat="1" ht="13.2" x14ac:dyDescent="0.3">
      <c r="A2" s="360"/>
      <c r="B2" s="361"/>
      <c r="C2" s="363" t="str">
        <f>VLOOKUP("T01",tblTrans3Langs[#Data],LangFieldID,FALSE)&amp;": "&amp;VLOOKUP("T01",tblTrans3Langs[#Data],IF(Idiom="ENG",10,IF(Idiom="FRA",11,12)),FALSE)</f>
        <v>ICCAT: INTERNATIONAL COMMISSION FOR THE CONSERVATION OF ATLANTIC TUNAS</v>
      </c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42" t="s">
        <v>2677</v>
      </c>
      <c r="R2" s="3" t="s">
        <v>2668</v>
      </c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</row>
    <row r="3" spans="1:69" s="87" customFormat="1" ht="10.199999999999999" x14ac:dyDescent="0.3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</row>
    <row r="4" spans="1:69" s="87" customFormat="1" ht="10.199999999999999" x14ac:dyDescent="0.2">
      <c r="A4" s="364" t="str">
        <f>VLOOKUP("H10",tblTrans3Langs[#Data],LangFieldID,FALSE)</f>
        <v>Tagging correspondent</v>
      </c>
      <c r="B4" s="365"/>
      <c r="C4" s="365"/>
      <c r="D4" s="365"/>
      <c r="E4" s="365"/>
      <c r="F4" s="365"/>
      <c r="G4" s="365"/>
      <c r="H4" s="365"/>
      <c r="I4" s="365"/>
      <c r="J4" s="247" t="str">
        <f>IF(AND(C5&gt;0,C6&gt;0,G6&gt;0,C7&gt;0,C8&gt;0,C9&gt;0,G9&gt;0),"ok","inc")</f>
        <v>inc</v>
      </c>
      <c r="K4" s="366" t="str">
        <f>VLOOKUP("H20",tblTrans3Langs[#Data],LangFieldID,FALSE)</f>
        <v>Secretariat use only</v>
      </c>
      <c r="L4" s="367"/>
      <c r="M4" s="367"/>
      <c r="N4" s="367"/>
      <c r="O4" s="367"/>
      <c r="P4" s="368" t="str">
        <f>VLOOKUP("H21",tblTrans3Langs[#Data],LangFieldID,FALSE)</f>
        <v>Filtering criteria</v>
      </c>
      <c r="Q4" s="368"/>
      <c r="R4" s="369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</row>
    <row r="5" spans="1:69" s="87" customFormat="1" ht="10.199999999999999" x14ac:dyDescent="0.2">
      <c r="A5" s="61" t="str">
        <f>VLOOKUP("H11",tblTrans3Langs[#Data],LangFieldID,FALSE)</f>
        <v>Identification</v>
      </c>
      <c r="B5" s="62" t="str">
        <f>VLOOKUP("hName",tblTrans3Langs[#Data],LangFieldID,FALSE)</f>
        <v>Name</v>
      </c>
      <c r="C5" s="373"/>
      <c r="D5" s="373"/>
      <c r="E5" s="373"/>
      <c r="F5" s="373"/>
      <c r="G5" s="373"/>
      <c r="H5" s="373"/>
      <c r="I5" s="373"/>
      <c r="J5" s="63"/>
      <c r="K5" s="374" t="str">
        <f>VLOOKUP("hDaterep",tblTrans3Langs[#Data],LangFieldID,FALSE)</f>
        <v>Date reported</v>
      </c>
      <c r="L5" s="375"/>
      <c r="M5" s="376"/>
      <c r="N5" s="332"/>
      <c r="O5" s="64"/>
      <c r="P5" s="65"/>
      <c r="Q5" s="66" t="str">
        <f>VLOOKUP("hFilter1",tblTrans3Langs[#Data],LangFieldID,FALSE)</f>
        <v>Filter 1</v>
      </c>
      <c r="R5" s="66" t="str">
        <f>VLOOKUP("hFilter2",tblTrans3Langs[#Data],LangFieldID,FALSE)</f>
        <v>Filter 2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</row>
    <row r="6" spans="1:69" s="87" customFormat="1" ht="10.199999999999999" x14ac:dyDescent="0.2">
      <c r="A6" s="67"/>
      <c r="B6" s="62" t="str">
        <f>VLOOKUP("hEmail",tblTrans3Langs[#Data],LangFieldID,FALSE)</f>
        <v>E-mail</v>
      </c>
      <c r="C6" s="377"/>
      <c r="D6" s="378"/>
      <c r="E6" s="378"/>
      <c r="F6" s="258" t="str">
        <f>VLOOKUP("hPhone",tblTrans3Langs[#Data],LangFieldID,FALSE)</f>
        <v>Phone</v>
      </c>
      <c r="G6" s="379"/>
      <c r="H6" s="379"/>
      <c r="I6" s="379"/>
      <c r="J6" s="259"/>
      <c r="K6" s="374" t="str">
        <f>VLOOKUP("hRef",tblTrans3Langs[#Data],LangFieldID,FALSE)</f>
        <v>Reference Nº</v>
      </c>
      <c r="L6" s="375"/>
      <c r="M6" s="332"/>
      <c r="N6" s="332"/>
      <c r="O6" s="64"/>
      <c r="P6" s="68" t="s">
        <v>1861</v>
      </c>
      <c r="Q6" s="255">
        <v>0</v>
      </c>
      <c r="R6" s="370" t="s">
        <v>952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</row>
    <row r="7" spans="1:69" s="87" customFormat="1" ht="10.199999999999999" x14ac:dyDescent="0.2">
      <c r="A7" s="69" t="str">
        <f>VLOOKUP("H12",tblTrans3Langs[#Data],LangFieldID,FALSE)</f>
        <v>Affiliation</v>
      </c>
      <c r="B7" s="62" t="str">
        <f>VLOOKUP("hInstit",tblTrans3Langs[#Data],LangFieldID,FALSE)</f>
        <v>Institution</v>
      </c>
      <c r="C7" s="373"/>
      <c r="D7" s="373"/>
      <c r="E7" s="373"/>
      <c r="F7" s="373"/>
      <c r="G7" s="373"/>
      <c r="H7" s="373"/>
      <c r="I7" s="70"/>
      <c r="J7" s="259"/>
      <c r="K7" s="71"/>
      <c r="L7" s="64"/>
      <c r="M7" s="64"/>
      <c r="N7" s="64"/>
      <c r="O7" s="64"/>
      <c r="P7" s="68" t="s">
        <v>1862</v>
      </c>
      <c r="Q7" s="256">
        <v>0</v>
      </c>
      <c r="R7" s="371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</row>
    <row r="8" spans="1:69" s="87" customFormat="1" ht="10.199999999999999" x14ac:dyDescent="0.2">
      <c r="A8" s="72"/>
      <c r="B8" s="62" t="str">
        <f>VLOOKUP("hDepart",tblTrans3Langs[#Data],LangFieldID,FALSE)</f>
        <v>Department</v>
      </c>
      <c r="C8" s="373"/>
      <c r="D8" s="373"/>
      <c r="E8" s="373"/>
      <c r="F8" s="373"/>
      <c r="G8" s="373"/>
      <c r="H8" s="373"/>
      <c r="I8" s="64"/>
      <c r="J8" s="259"/>
      <c r="K8" s="380" t="str">
        <f>VLOOKUP("hFname",tblTrans3Langs[#Data],LangFieldID,FALSE)</f>
        <v>File name (proposed)</v>
      </c>
      <c r="L8" s="381"/>
      <c r="M8" s="381"/>
      <c r="N8" s="381"/>
      <c r="O8" s="381"/>
      <c r="P8" s="68" t="s">
        <v>1863</v>
      </c>
      <c r="Q8" s="256">
        <v>0</v>
      </c>
      <c r="R8" s="371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</row>
    <row r="9" spans="1:69" s="87" customFormat="1" ht="10.199999999999999" x14ac:dyDescent="0.2">
      <c r="A9" s="72"/>
      <c r="B9" s="62" t="str">
        <f>VLOOKUP("hAddress",tblTrans3Langs[#Data],LangFieldID,FALSE)</f>
        <v>Address</v>
      </c>
      <c r="C9" s="373"/>
      <c r="D9" s="373"/>
      <c r="E9" s="373"/>
      <c r="F9" s="73" t="str">
        <f>VLOOKUP("hCountry",tblTrans3Langs[#Data],LangFieldID,FALSE)</f>
        <v>Country</v>
      </c>
      <c r="G9" s="382"/>
      <c r="H9" s="382"/>
      <c r="I9" s="382"/>
      <c r="J9" s="259"/>
      <c r="K9" s="383" t="str">
        <f>IF(AND(J4="ok",J11="ok"),"TG02-"&amp;D12&amp;LEFT(C17,1)&amp;"-"&amp;LEFT(C19,2)&amp;"#"&amp;M6&amp;".xlsx","")</f>
        <v/>
      </c>
      <c r="L9" s="384"/>
      <c r="M9" s="384"/>
      <c r="N9" s="384"/>
      <c r="O9" s="384"/>
      <c r="P9" s="68" t="s">
        <v>1864</v>
      </c>
      <c r="Q9" s="253"/>
      <c r="R9" s="371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</row>
    <row r="10" spans="1:69" s="87" customFormat="1" ht="10.199999999999999" x14ac:dyDescent="0.2">
      <c r="A10" s="74"/>
      <c r="B10" s="75"/>
      <c r="C10" s="75"/>
      <c r="D10" s="75"/>
      <c r="E10" s="75"/>
      <c r="F10" s="75"/>
      <c r="G10" s="75"/>
      <c r="H10" s="75"/>
      <c r="I10" s="76"/>
      <c r="J10" s="77"/>
      <c r="K10" s="78"/>
      <c r="L10" s="79"/>
      <c r="M10" s="79"/>
      <c r="N10" s="79"/>
      <c r="O10" s="79"/>
      <c r="P10" s="80"/>
      <c r="Q10" s="254"/>
      <c r="R10" s="372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</row>
    <row r="11" spans="1:69" s="87" customFormat="1" ht="10.199999999999999" x14ac:dyDescent="0.3">
      <c r="A11" s="328" t="str">
        <f>VLOOKUP("H30",tblTrans3Langs[#Data],LangFieldID,FALSE)</f>
        <v>Data set characteristics</v>
      </c>
      <c r="B11" s="329"/>
      <c r="C11" s="329"/>
      <c r="D11" s="329"/>
      <c r="E11" s="329"/>
      <c r="F11" s="329"/>
      <c r="G11" s="329"/>
      <c r="H11" s="329"/>
      <c r="I11" s="329"/>
      <c r="J11" s="248" t="str">
        <f>IF(AND(C12&gt;0,C17&gt;0,C18&gt;0),"ok","inc")</f>
        <v>inc</v>
      </c>
      <c r="K11" s="81" t="str">
        <f>VLOOKUP("hNotes",tblTrans3Langs[#Data],LangFieldID,FALSE)</f>
        <v>Notes</v>
      </c>
      <c r="L11" s="64"/>
      <c r="M11" s="64"/>
      <c r="N11" s="64"/>
      <c r="O11" s="64"/>
      <c r="P11" s="64"/>
      <c r="Q11" s="64"/>
      <c r="R11" s="82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</row>
    <row r="12" spans="1:69" s="87" customFormat="1" ht="10.199999999999999" x14ac:dyDescent="0.2">
      <c r="A12" s="330" t="str">
        <f>VLOOKUP("hFlagrep",tblTrans3Langs[#Data],LangFieldID,FALSE)</f>
        <v>Reporting Flag</v>
      </c>
      <c r="B12" s="331"/>
      <c r="C12" s="257"/>
      <c r="D12" s="259" t="str">
        <f>IF(C12&gt;0,VLOOKUP(C12,Codes!$A$2:$D$175,2,FALSE),"")</f>
        <v/>
      </c>
      <c r="E12" s="336" t="str">
        <f>VLOOKUP("H31",tblTrans3Langs[#Data],LangFieldID,FALSE)</f>
        <v>Sub-form / Description</v>
      </c>
      <c r="F12" s="337"/>
      <c r="G12" s="337"/>
      <c r="H12" s="337"/>
      <c r="I12" s="338"/>
      <c r="J12" s="64"/>
      <c r="K12" s="332"/>
      <c r="L12" s="332"/>
      <c r="M12" s="332"/>
      <c r="N12" s="332"/>
      <c r="O12" s="332"/>
      <c r="P12" s="332"/>
      <c r="Q12" s="332"/>
      <c r="R12" s="333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</row>
    <row r="13" spans="1:69" s="87" customFormat="1" ht="10.199999999999999" x14ac:dyDescent="0.3">
      <c r="A13" s="71"/>
      <c r="B13" s="64"/>
      <c r="C13" s="64"/>
      <c r="D13" s="83"/>
      <c r="E13" s="347" t="str">
        <f>VLOOKUP("T05",tblTrans3Langs[#Data],LangFieldID,FALSE)</f>
        <v>TG02A</v>
      </c>
      <c r="F13" s="341" t="str">
        <f>VLOOKUP("T05",tblTrans3Langs[#Data],LangNameID,FALSE)</f>
        <v>Conventional tagging events (releases/recaptures)</v>
      </c>
      <c r="G13" s="342"/>
      <c r="H13" s="342"/>
      <c r="I13" s="343"/>
      <c r="J13" s="84"/>
      <c r="K13" s="332"/>
      <c r="L13" s="332"/>
      <c r="M13" s="332"/>
      <c r="N13" s="332"/>
      <c r="O13" s="332"/>
      <c r="P13" s="332"/>
      <c r="Q13" s="332"/>
      <c r="R13" s="333"/>
      <c r="S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</row>
    <row r="14" spans="1:69" s="87" customFormat="1" ht="10.199999999999999" x14ac:dyDescent="0.3">
      <c r="A14" s="206"/>
      <c r="B14" s="207"/>
      <c r="C14" s="207"/>
      <c r="D14" s="207"/>
      <c r="E14" s="347"/>
      <c r="F14" s="344"/>
      <c r="G14" s="345"/>
      <c r="H14" s="345"/>
      <c r="I14" s="346"/>
      <c r="J14" s="64"/>
      <c r="K14" s="332"/>
      <c r="L14" s="332"/>
      <c r="M14" s="332"/>
      <c r="N14" s="332"/>
      <c r="O14" s="332"/>
      <c r="P14" s="332"/>
      <c r="Q14" s="332"/>
      <c r="R14" s="333"/>
      <c r="S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</row>
    <row r="15" spans="1:69" s="87" customFormat="1" ht="10.199999999999999" x14ac:dyDescent="0.3">
      <c r="A15" s="206"/>
      <c r="B15" s="206"/>
      <c r="C15" s="206"/>
      <c r="D15" s="206"/>
      <c r="E15" s="339" t="str">
        <f>VLOOKUP("T06",tblTrans3Langs[#Data],LangFieldID,FALSE)</f>
        <v>TG02B</v>
      </c>
      <c r="F15" s="348" t="str">
        <f>VLOOKUP("T06",tblTrans3Langs[#Data],IF(Idiom="ENG",10,IF(Idiom="FRA",11,12)),FALSE)</f>
        <v>Vessels involved in tagging experiments</v>
      </c>
      <c r="G15" s="349"/>
      <c r="H15" s="349"/>
      <c r="I15" s="350"/>
      <c r="J15" s="64"/>
      <c r="K15" s="332"/>
      <c r="L15" s="332"/>
      <c r="M15" s="332"/>
      <c r="N15" s="332"/>
      <c r="O15" s="332"/>
      <c r="P15" s="332"/>
      <c r="Q15" s="332"/>
      <c r="R15" s="333"/>
      <c r="S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</row>
    <row r="16" spans="1:69" s="87" customFormat="1" ht="10.199999999999999" x14ac:dyDescent="0.3">
      <c r="A16" s="206"/>
      <c r="B16" s="206"/>
      <c r="C16" s="206"/>
      <c r="D16" s="206"/>
      <c r="E16" s="340"/>
      <c r="F16" s="351"/>
      <c r="G16" s="352"/>
      <c r="H16" s="352"/>
      <c r="I16" s="353"/>
      <c r="J16" s="64"/>
      <c r="K16" s="332"/>
      <c r="L16" s="332"/>
      <c r="M16" s="332"/>
      <c r="N16" s="332"/>
      <c r="O16" s="332"/>
      <c r="P16" s="332"/>
      <c r="Q16" s="332"/>
      <c r="R16" s="333"/>
      <c r="S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</row>
    <row r="17" spans="1:69" s="87" customFormat="1" ht="10.199999999999999" x14ac:dyDescent="0.3">
      <c r="A17" s="334" t="str">
        <f>VLOOKUP("hVersion",tblTrans3Langs[#Data],LangFieldID,FALSE)</f>
        <v>Version reported</v>
      </c>
      <c r="B17" s="334"/>
      <c r="C17" s="257" t="s">
        <v>2087</v>
      </c>
      <c r="D17" s="250"/>
      <c r="E17" s="354" t="str">
        <f>VLOOKUP("T07",tblTrans3Langs[#Data],LangFieldID,FALSE)</f>
        <v>TG02C</v>
      </c>
      <c r="F17" s="355" t="str">
        <f>VLOOKUP("T07",tblTrans3Langs[#Data],IF(Idiom="ENG",10,IF(Idiom="FRA",11,12)),FALSE)</f>
        <v>Persons (taggers/recapturers) involved in tagging experiments</v>
      </c>
      <c r="G17" s="356"/>
      <c r="H17" s="356"/>
      <c r="I17" s="357"/>
      <c r="J17" s="64"/>
      <c r="K17" s="332"/>
      <c r="L17" s="332"/>
      <c r="M17" s="332"/>
      <c r="N17" s="332"/>
      <c r="O17" s="332"/>
      <c r="P17" s="332"/>
      <c r="Q17" s="332"/>
      <c r="R17" s="333"/>
      <c r="S17" s="205"/>
      <c r="X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</row>
    <row r="18" spans="1:69" s="87" customFormat="1" ht="10.199999999999999" x14ac:dyDescent="0.3">
      <c r="A18" s="335" t="str">
        <f>VLOOKUP("hContent",tblTrans3Langs[#Data],LangFieldID,FALSE)</f>
        <v>Content (data)</v>
      </c>
      <c r="B18" s="335"/>
      <c r="C18" s="249" t="s">
        <v>2090</v>
      </c>
      <c r="D18" s="251"/>
      <c r="E18" s="340"/>
      <c r="F18" s="351"/>
      <c r="G18" s="352"/>
      <c r="H18" s="352"/>
      <c r="I18" s="353"/>
      <c r="J18" s="64"/>
      <c r="K18" s="332"/>
      <c r="L18" s="332"/>
      <c r="M18" s="332"/>
      <c r="N18" s="332"/>
      <c r="O18" s="332"/>
      <c r="P18" s="332"/>
      <c r="Q18" s="332"/>
      <c r="R18" s="333"/>
      <c r="S18" s="205"/>
      <c r="X18" s="205"/>
      <c r="Y18" s="205"/>
      <c r="Z18" s="205"/>
      <c r="AA18" s="205"/>
      <c r="AB18" s="205"/>
      <c r="AC18" s="205"/>
      <c r="AD18" s="205"/>
      <c r="AE18" s="205"/>
      <c r="AF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</row>
    <row r="19" spans="1:69" s="87" customFormat="1" ht="10.199999999999999" x14ac:dyDescent="0.3">
      <c r="A19" s="85"/>
      <c r="B19" s="298"/>
      <c r="C19" s="327" t="str">
        <f>IF(C18&gt;0,VLOOKUP(C18,Codes!$O$149:$Q$152,3,FALSE) &amp; ": "&amp; VLOOKUP(C18,Codes!$O$149:$Q$152,2,FALSE),"")</f>
        <v>RF: Revised data (FULL): to fully replace the previously reported data</v>
      </c>
      <c r="D19" s="327"/>
      <c r="E19" s="327"/>
      <c r="F19" s="327"/>
      <c r="G19" s="327"/>
      <c r="H19" s="327"/>
      <c r="I19" s="327"/>
      <c r="J19" s="298"/>
      <c r="K19" s="298"/>
      <c r="L19" s="298"/>
      <c r="M19" s="298"/>
      <c r="N19" s="79"/>
      <c r="O19" s="79"/>
      <c r="P19" s="79"/>
      <c r="Q19" s="79"/>
      <c r="R19" s="86"/>
      <c r="S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</row>
    <row r="20" spans="1:69" s="87" customFormat="1" ht="10.199999999999999" x14ac:dyDescent="0.3"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</row>
    <row r="21" spans="1:69" s="87" customFormat="1" ht="10.199999999999999" x14ac:dyDescent="0.3">
      <c r="A21" s="394" t="str">
        <f>VLOOKUP("D01",tblTrans3Langs[#Data],LangFieldID,FALSE)</f>
        <v>Release(R)/Recovery(C): Event identifier (unique)</v>
      </c>
      <c r="B21" s="394"/>
      <c r="C21" s="394"/>
      <c r="D21" s="394"/>
      <c r="E21" s="394"/>
      <c r="F21" s="394"/>
      <c r="G21" s="394"/>
      <c r="H21" s="394"/>
      <c r="I21" s="402" t="str">
        <f>VLOOKUP("D10",tblTrans3Langs[#Data],LangFieldID,FALSE)</f>
        <v>RELEASE Information</v>
      </c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  <c r="AJ21" s="402"/>
      <c r="AK21" s="402"/>
      <c r="AL21" s="402"/>
      <c r="AM21" s="402"/>
      <c r="AN21" s="385" t="str">
        <f>VLOOKUP("D20",tblTrans3Langs[#Data],LangFieldID,FALSE)</f>
        <v>RECOVERY Information</v>
      </c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295" t="str">
        <f>VLOOKUP("D30",tblTrans3Langs[#Data],LangFieldID,FALSE)</f>
        <v>Validation</v>
      </c>
    </row>
    <row r="22" spans="1:69" s="87" customFormat="1" ht="10.199999999999999" x14ac:dyDescent="0.3">
      <c r="A22" s="395" t="str">
        <f>VLOOKUP("D02",tblTrans3Langs[#Data],LangFieldID,FALSE)</f>
        <v>Specimen identifier (unique)</v>
      </c>
      <c r="B22" s="396"/>
      <c r="C22" s="397"/>
      <c r="D22" s="403" t="str">
        <f>VLOOKUP("D03",tblTrans3Langs[#Data],LangFieldID,FALSE)</f>
        <v>Tagging operation  (unique identifier)</v>
      </c>
      <c r="E22" s="403"/>
      <c r="F22" s="403"/>
      <c r="G22" s="403"/>
      <c r="H22" s="403"/>
      <c r="I22" s="392" t="str">
        <f>VLOOKUP("D11",tblTrans3Langs[#Data],LangFieldID,FALSE)</f>
        <v>Time strata</v>
      </c>
      <c r="J22" s="392"/>
      <c r="K22" s="392" t="str">
        <f>VLOOKUP("D12",tblTrans3Langs[#Data],LangFieldID,FALSE)</f>
        <v>Geographical strata</v>
      </c>
      <c r="L22" s="392"/>
      <c r="M22" s="392"/>
      <c r="N22" s="392" t="str">
        <f>VLOOKUP("D13",tblTrans3Langs[#Data],LangFieldID,FALSE)</f>
        <v>Fishing operation</v>
      </c>
      <c r="O22" s="392"/>
      <c r="P22" s="392"/>
      <c r="Q22" s="392"/>
      <c r="R22" s="392"/>
      <c r="S22" s="392"/>
      <c r="T22" s="392" t="str">
        <f>VLOOKUP("D14",tblTrans3Langs[#Data],LangFieldID,FALSE)</f>
        <v>Specimen characteristics</v>
      </c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 t="str">
        <f>VLOOKUP("D15",tblTrans3Langs[#Data],LangFieldID,FALSE)</f>
        <v>Environment</v>
      </c>
      <c r="AH22" s="392"/>
      <c r="AI22" s="392"/>
      <c r="AJ22" s="392"/>
      <c r="AK22" s="392" t="str">
        <f>VLOOKUP("D16",tblTrans3Langs[#Data],LangFieldID,FALSE)</f>
        <v>Others</v>
      </c>
      <c r="AL22" s="392"/>
      <c r="AM22" s="392"/>
      <c r="AN22" s="387" t="str">
        <f>VLOOKUP("D21",tblTrans3Langs[#Data],LangFieldID,FALSE)</f>
        <v>Time strata</v>
      </c>
      <c r="AO22" s="387"/>
      <c r="AP22" s="387" t="str">
        <f>VLOOKUP("D22",tblTrans3Langs[#Data],LangFieldID,FALSE)</f>
        <v>Geographical strata</v>
      </c>
      <c r="AQ22" s="387"/>
      <c r="AR22" s="387"/>
      <c r="AS22" s="387" t="str">
        <f>VLOOKUP("D23",tblTrans3Langs[#Data],LangFieldID,FALSE)</f>
        <v>Fishing operation</v>
      </c>
      <c r="AT22" s="387"/>
      <c r="AU22" s="387"/>
      <c r="AV22" s="387"/>
      <c r="AW22" s="387"/>
      <c r="AX22" s="386" t="str">
        <f>VLOOKUP("D24",tblTrans3Langs[#Data],LangFieldID,FALSE)</f>
        <v>Specimen characteristics</v>
      </c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  <c r="BI22" s="386"/>
      <c r="BJ22" s="386"/>
      <c r="BK22" s="389" t="str">
        <f>VLOOKUP("D25",tblTrans3Langs[#Data],LangFieldID,FALSE)</f>
        <v>Environment (sea)</v>
      </c>
      <c r="BL22" s="386" t="str">
        <f>VLOOKUP("D26",tblTrans3Langs[#Data],LangFieldID,FALSE)</f>
        <v>Others</v>
      </c>
      <c r="BM22" s="386"/>
      <c r="BN22" s="386"/>
      <c r="BO22" s="386"/>
      <c r="BP22" s="391" t="str">
        <f>VLOOKUP("D31",tblTrans3Langs[#Data],LangFieldID,FALSE)</f>
        <v>Quality Control</v>
      </c>
    </row>
    <row r="23" spans="1:69" s="88" customFormat="1" ht="10.199999999999999" x14ac:dyDescent="0.3">
      <c r="A23" s="398"/>
      <c r="B23" s="399"/>
      <c r="C23" s="400"/>
      <c r="D23" s="401" t="str">
        <f>VLOOKUP("D04",tblTrans3Langs[#Data],LangFieldID,FALSE)</f>
        <v>Tags used (full codes)</v>
      </c>
      <c r="E23" s="401"/>
      <c r="F23" s="401"/>
      <c r="G23" s="401"/>
      <c r="H23" s="294" t="str">
        <f>VLOOKUP("D05",tblTrans3Langs[#Data],LangFieldID,FALSE)</f>
        <v>RC code</v>
      </c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 t="str">
        <f>VLOOKUP("D14a",tblTrans3Langs[#Data],LangFieldID,FALSE)</f>
        <v>Length (cm)</v>
      </c>
      <c r="U23" s="392"/>
      <c r="V23" s="392"/>
      <c r="W23" s="392" t="str">
        <f>VLOOKUP("D14b",tblTrans3Langs[#Data],LangFieldID,FALSE)</f>
        <v>Weight (kg)</v>
      </c>
      <c r="X23" s="392"/>
      <c r="Y23" s="392"/>
      <c r="Z23" s="393" t="str">
        <f>VLOOKUP("D14c",tblTrans3Langs[#Data],LangFieldID,FALSE)</f>
        <v>Fish condition (injuries)</v>
      </c>
      <c r="AA23" s="393"/>
      <c r="AB23" s="393"/>
      <c r="AC23" s="393"/>
      <c r="AD23" s="393"/>
      <c r="AE23" s="393"/>
      <c r="AF23" s="393"/>
      <c r="AG23" s="393" t="str">
        <f>VLOOKUP("D15a",tblTrans3Langs[#Data],LangFieldID,FALSE)</f>
        <v>Sea</v>
      </c>
      <c r="AH23" s="393"/>
      <c r="AI23" s="293" t="str">
        <f>VLOOKUP("D15b",tblTrans3Langs[#Data],LangFieldID,FALSE)</f>
        <v xml:space="preserve">Wind </v>
      </c>
      <c r="AJ23" s="293" t="str">
        <f>VLOOKUP("D15c",tblTrans3Langs[#Data],LangFieldID,FALSE)</f>
        <v>Sky</v>
      </c>
      <c r="AK23" s="392"/>
      <c r="AL23" s="392"/>
      <c r="AM23" s="392"/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 t="str">
        <f>VLOOKUP("D24a",tblTrans3Langs[#Data],LangFieldID,FALSE)</f>
        <v>Length (cm)</v>
      </c>
      <c r="AY23" s="387"/>
      <c r="AZ23" s="387"/>
      <c r="BA23" s="387" t="str">
        <f>VLOOKUP("D24b",tblTrans3Langs[#Data],LangFieldID,FALSE)</f>
        <v>Weight (kg)</v>
      </c>
      <c r="BB23" s="387"/>
      <c r="BC23" s="387"/>
      <c r="BD23" s="388" t="str">
        <f>VLOOKUP("D24c",tblTrans3Langs[#Data],LangFieldID,FALSE)</f>
        <v>Fish condition (injuries)</v>
      </c>
      <c r="BE23" s="388"/>
      <c r="BF23" s="388"/>
      <c r="BG23" s="388"/>
      <c r="BH23" s="388"/>
      <c r="BI23" s="388"/>
      <c r="BJ23" s="388"/>
      <c r="BK23" s="390"/>
      <c r="BL23" s="386"/>
      <c r="BM23" s="386"/>
      <c r="BN23" s="386"/>
      <c r="BO23" s="386"/>
      <c r="BP23" s="391"/>
    </row>
    <row r="24" spans="1:69" s="87" customFormat="1" ht="20.399999999999999" x14ac:dyDescent="0.3">
      <c r="A24" s="294" t="str">
        <f>VLOOKUP(A$26,tblTrans3Langs[#Data],LangFieldID,FALSE)</f>
        <v>ID</v>
      </c>
      <c r="B24" s="292" t="str">
        <f>VLOOKUP(B$26,tblTrans3Langs[#Data],LangFieldID,FALSE)</f>
        <v>Species cod.</v>
      </c>
      <c r="C24" s="292" t="str">
        <f>VLOOKUP(C$26,tblTrans3Langs[#Data],LangFieldID,FALSE)</f>
        <v>Sex cod.</v>
      </c>
      <c r="D24" s="294" t="str">
        <f>VLOOKUP(D$26,tblTrans3Langs[#Data],LangFieldID,FALSE)</f>
        <v>Tag 1</v>
      </c>
      <c r="E24" s="294" t="str">
        <f>VLOOKUP(E$26,tblTrans3Langs[#Data],LangFieldID,FALSE)</f>
        <v>Tag 2</v>
      </c>
      <c r="F24" s="294" t="str">
        <f>VLOOKUP(F$26,tblTrans3Langs[#Data],LangFieldID,FALSE)</f>
        <v>Tag 3</v>
      </c>
      <c r="G24" s="294" t="str">
        <f>VLOOKUP(G$26,tblTrans3Langs[#Data],LangFieldID,FALSE)</f>
        <v>Tag 4</v>
      </c>
      <c r="H24" s="292" t="str">
        <f>VLOOKUP(H$26,tblTrans3Langs[#Data],LangFieldID,FALSE)</f>
        <v>RCStage cod.</v>
      </c>
      <c r="I24" s="291" t="str">
        <f>VLOOKUP(I$26,tblTrans3Langs[#Data],LangFieldID,FALSE)</f>
        <v>Date</v>
      </c>
      <c r="J24" s="291" t="str">
        <f>VLOOKUP(J$26,tblTrans3Langs[#Data],LangFieldID,FALSE)</f>
        <v>Time (hh:mm)</v>
      </c>
      <c r="K24" s="293" t="str">
        <f>VLOOKUP(K$26,tblTrans3Langs[#Data],LangFieldID,FALSE)</f>
        <v>Latitude</v>
      </c>
      <c r="L24" s="293" t="str">
        <f>VLOOKUP(L$26,tblTrans3Langs[#Data],LangFieldID,FALSE)</f>
        <v>Longitude</v>
      </c>
      <c r="M24" s="291" t="str">
        <f>VLOOKUP(M$26,tblTrans3Langs[#Data],LangFieldID,FALSE)</f>
        <v>Area description (optional)</v>
      </c>
      <c r="N24" s="293" t="str">
        <f>VLOOKUP(N$26,tblTrans3Langs[#Data],LangFieldID,FALSE)</f>
        <v>Vessel ID</v>
      </c>
      <c r="O24" s="293" t="str">
        <f>VLOOKUP(O$26,tblTrans3Langs[#Data],LangFieldID,FALSE)</f>
        <v>Gear cod.</v>
      </c>
      <c r="P24" s="293" t="str">
        <f>VLOOKUP(P$26,tblTrans3Langs[#Data],LangFieldID,FALSE)</f>
        <v>School type</v>
      </c>
      <c r="Q24" s="291" t="str">
        <f>VLOOKUP(Q$26,tblTrans3Langs[#Data],LangFieldID,FALSE)</f>
        <v>Survey acron</v>
      </c>
      <c r="R24" s="293" t="str">
        <f>VLOOKUP(R$26,tblTrans3Langs[#Data],LangFieldID,FALSE)</f>
        <v>Bait cod.</v>
      </c>
      <c r="S24" s="291" t="str">
        <f>VLOOKUP(S$26,tblTrans3Langs[#Data],LangFieldID,FALSE)</f>
        <v>Dept
(m)</v>
      </c>
      <c r="T24" s="291" t="str">
        <f>VLOOKUP(T$26,tblTrans3Langs[#Data],LangFieldID,FALSE)</f>
        <v>Value</v>
      </c>
      <c r="U24" s="293" t="str">
        <f>VLOOKUP(U$26,tblTrans3Langs[#Data],LangFieldID,FALSE)</f>
        <v>Type cod.</v>
      </c>
      <c r="V24" s="293" t="str">
        <f>VLOOKUP(V$26,tblTrans3Langs[#Data],LangFieldID,FALSE)</f>
        <v>Method cod.</v>
      </c>
      <c r="W24" s="291" t="str">
        <f>VLOOKUP(W$26,tblTrans3Langs[#Data],LangFieldID,FALSE)</f>
        <v>Value</v>
      </c>
      <c r="X24" s="293" t="str">
        <f>VLOOKUP(X$26,tblTrans3Langs[#Data],LangFieldID,FALSE)</f>
        <v>Type cod.</v>
      </c>
      <c r="Y24" s="293" t="str">
        <f>VLOOKUP(Y$26,tblTrans3Langs[#Data],LangFieldID,FALSE)</f>
        <v>Method cod.</v>
      </c>
      <c r="Z24" s="291" t="str">
        <f>VLOOKUP(Z$26,tblTrans3Langs[#Data],LangFieldID,FALSE)</f>
        <v>global</v>
      </c>
      <c r="AA24" s="291" t="str">
        <f>VLOOKUP(AA$26,tblTrans3Langs[#Data],LangFieldID,FALSE)</f>
        <v>head</v>
      </c>
      <c r="AB24" s="291" t="str">
        <f>VLOOKUP(AB$26,tblTrans3Langs[#Data],LangFieldID,FALSE)</f>
        <v>mouth</v>
      </c>
      <c r="AC24" s="291" t="str">
        <f>VLOOKUP(AC$26,tblTrans3Langs[#Data],LangFieldID,FALSE)</f>
        <v>eyes</v>
      </c>
      <c r="AD24" s="291" t="str">
        <f>VLOOKUP(AD$26,tblTrans3Langs[#Data],LangFieldID,FALSE)</f>
        <v>skin</v>
      </c>
      <c r="AE24" s="291" t="str">
        <f>VLOOKUP(AE$26,tblTrans3Langs[#Data],LangFieldID,FALSE)</f>
        <v>fins</v>
      </c>
      <c r="AF24" s="291" t="str">
        <f>VLOOKUP(AF$26,tblTrans3Langs[#Data],LangFieldID,FALSE)</f>
        <v>body</v>
      </c>
      <c r="AG24" s="291" t="str">
        <f>VLOOKUP(AG$26,tblTrans3Langs[#Data],LangFieldID,FALSE)</f>
        <v>SST
(°C)</v>
      </c>
      <c r="AH24" s="291" t="str">
        <f>VLOOKUP(AH$26,tblTrans3Langs[#Data],LangFieldID,FALSE)</f>
        <v>State
(douglas)</v>
      </c>
      <c r="AI24" s="291" t="str">
        <f>VLOOKUP(AI$26,tblTrans3Langs[#Data],LangFieldID,FALSE)</f>
        <v>Speed
(beauford)</v>
      </c>
      <c r="AJ24" s="291" t="str">
        <f>VLOOKUP(AJ$26,tblTrans3Langs[#Data],LangFieldID,FALSE)</f>
        <v>Coverage
(scale/%)</v>
      </c>
      <c r="AK24" s="293" t="str">
        <f>VLOOKUP(AK$26,tblTrans3Langs[#Data],LangFieldID,FALSE)</f>
        <v>Tagger ID</v>
      </c>
      <c r="AL24" s="291" t="str">
        <f>VLOOKUP(AL$26,tblTrans3Langs[#Data],LangFieldID,FALSE)</f>
        <v>Scientific
check  (Y/N)?</v>
      </c>
      <c r="AM24" s="291" t="str">
        <f>VLOOKUP(AM$26,tblTrans3Langs[#Data],LangFieldID,FALSE)</f>
        <v>Release Notes</v>
      </c>
      <c r="AN24" s="296" t="str">
        <f>VLOOKUP(AN$26,tblTrans3Langs[#Data],LangFieldID,FALSE)</f>
        <v>Date</v>
      </c>
      <c r="AO24" s="296" t="str">
        <f>VLOOKUP(AO$26,tblTrans3Langs[#Data],LangFieldID,FALSE)</f>
        <v>Time  (hh:mm)</v>
      </c>
      <c r="AP24" s="297" t="str">
        <f>VLOOKUP(AP$26,tblTrans3Langs[#Data],LangFieldID,FALSE)</f>
        <v>Latitude</v>
      </c>
      <c r="AQ24" s="297" t="str">
        <f>VLOOKUP(AQ$26,tblTrans3Langs[#Data],LangFieldID,FALSE)</f>
        <v>Longitude</v>
      </c>
      <c r="AR24" s="296" t="str">
        <f>VLOOKUP(AR$26,tblTrans3Langs[#Data],LangFieldID,FALSE)</f>
        <v>Area description</v>
      </c>
      <c r="AS24" s="297" t="str">
        <f>VLOOKUP(AS$26,tblTrans3Langs[#Data],LangFieldID,FALSE)</f>
        <v>Vessel ID</v>
      </c>
      <c r="AT24" s="297" t="str">
        <f>VLOOKUP(AT$26,tblTrans3Langs[#Data],LangFieldID,FALSE)</f>
        <v>Gear cod.</v>
      </c>
      <c r="AU24" s="297" t="str">
        <f>VLOOKUP(AU$26,tblTrans3Langs[#Data],LangFieldID,FALSE)</f>
        <v>School type</v>
      </c>
      <c r="AV24" s="296" t="str">
        <f>VLOOKUP(AV$26,tblTrans3Langs[#Data],LangFieldID,FALSE)</f>
        <v>Survey acron</v>
      </c>
      <c r="AW24" s="297" t="str">
        <f>VLOOKUP(AW$26,tblTrans3Langs[#Data],LangFieldID,FALSE)</f>
        <v>Recovery place</v>
      </c>
      <c r="AX24" s="296" t="str">
        <f>VLOOKUP(AX$26,tblTrans3Langs[#Data],LangFieldID,FALSE)</f>
        <v>Value</v>
      </c>
      <c r="AY24" s="297" t="str">
        <f>VLOOKUP(AY$26,tblTrans3Langs[#Data],LangFieldID,FALSE)</f>
        <v>Type cod.</v>
      </c>
      <c r="AZ24" s="297" t="str">
        <f>VLOOKUP(AZ$26,tblTrans3Langs[#Data],LangFieldID,FALSE)</f>
        <v>Method cod.</v>
      </c>
      <c r="BA24" s="296" t="str">
        <f>VLOOKUP(BA$26,tblTrans3Langs[#Data],LangFieldID,FALSE)</f>
        <v>Value</v>
      </c>
      <c r="BB24" s="297" t="str">
        <f>VLOOKUP(BB$26,tblTrans3Langs[#Data],LangFieldID,FALSE)</f>
        <v>Type cod.</v>
      </c>
      <c r="BC24" s="297" t="str">
        <f>VLOOKUP(BC$26,tblTrans3Langs[#Data],LangFieldID,FALSE)</f>
        <v>Method cod.</v>
      </c>
      <c r="BD24" s="296" t="str">
        <f>VLOOKUP(BD$26,tblTrans3Langs[#Data],LangFieldID,FALSE)</f>
        <v>global</v>
      </c>
      <c r="BE24" s="296" t="str">
        <f>VLOOKUP(BE$26,tblTrans3Langs[#Data],LangFieldID,FALSE)</f>
        <v>head</v>
      </c>
      <c r="BF24" s="296" t="str">
        <f>VLOOKUP(BF$26,tblTrans3Langs[#Data],LangFieldID,FALSE)</f>
        <v>mouth</v>
      </c>
      <c r="BG24" s="296" t="str">
        <f>VLOOKUP(BG$26,tblTrans3Langs[#Data],LangFieldID,FALSE)</f>
        <v>eyes</v>
      </c>
      <c r="BH24" s="296" t="str">
        <f>VLOOKUP(BH$26,tblTrans3Langs[#Data],LangFieldID,FALSE)</f>
        <v>skin</v>
      </c>
      <c r="BI24" s="296" t="str">
        <f>VLOOKUP(BI$26,tblTrans3Langs[#Data],LangFieldID,FALSE)</f>
        <v>fins</v>
      </c>
      <c r="BJ24" s="296" t="str">
        <f>VLOOKUP(BJ$26,tblTrans3Langs[#Data],LangFieldID,FALSE)</f>
        <v>body</v>
      </c>
      <c r="BK24" s="296" t="str">
        <f>VLOOKUP(BK$26,tblTrans3Langs[#Data],LangFieldID,FALSE)</f>
        <v>SST
(°C)</v>
      </c>
      <c r="BL24" s="297" t="str">
        <f>VLOOKUP(BL$26,tblTrans3Langs[#Data],LangFieldID,FALSE)</f>
        <v>Recoverer ID</v>
      </c>
      <c r="BM24" s="296" t="str">
        <f>VLOOKUP(BM$26,tblTrans3Langs[#Data],LangFieldID,FALSE)</f>
        <v>Released again ?</v>
      </c>
      <c r="BN24" s="296" t="str">
        <f>VLOOKUP(BN$26,tblTrans3Langs[#Data],LangFieldID,FALSE)</f>
        <v>Scientific check ?</v>
      </c>
      <c r="BO24" s="296" t="str">
        <f>VLOOKUP(BO$26,tblTrans3Langs[#Data],LangFieldID,FALSE)</f>
        <v>Recovery Notes</v>
      </c>
      <c r="BP24" s="89" t="str">
        <f>VLOOKUP(BP$26,tblTrans3Langs[#Data],LangFieldID,FALSE)</f>
        <v>Quality info 
score</v>
      </c>
    </row>
    <row r="25" spans="1:69" s="91" customFormat="1" ht="10.199999999999999" x14ac:dyDescent="0.3">
      <c r="A25" s="90" t="str">
        <f>REPT("+",5)</f>
        <v>+++++</v>
      </c>
      <c r="B25" s="90" t="str">
        <f>REPT("+",4)</f>
        <v>++++</v>
      </c>
      <c r="C25" s="90" t="str">
        <f>REPT("+",15)</f>
        <v>+++++++++++++++</v>
      </c>
      <c r="D25" s="90" t="str">
        <f>REPT("+",10)</f>
        <v>++++++++++</v>
      </c>
      <c r="E25" s="90" t="str">
        <f>REPT("+",10)</f>
        <v>++++++++++</v>
      </c>
      <c r="F25" s="90" t="str">
        <f>REPT("+",10)</f>
        <v>++++++++++</v>
      </c>
      <c r="G25" s="90" t="str">
        <f>REPT("+",10)</f>
        <v>++++++++++</v>
      </c>
      <c r="H25" s="90" t="str">
        <f>REPT("+",4)</f>
        <v>++++</v>
      </c>
      <c r="I25" s="90" t="str">
        <f>REPT("+",10)</f>
        <v>++++++++++</v>
      </c>
      <c r="J25" s="90" t="str">
        <f>REPT("+",5)</f>
        <v>+++++</v>
      </c>
      <c r="K25" s="90" t="str">
        <f>REPT("+",8)</f>
        <v>++++++++</v>
      </c>
      <c r="L25" s="90" t="str">
        <f>REPT("+",8)</f>
        <v>++++++++</v>
      </c>
      <c r="M25" s="90" t="str">
        <f>REPT("+",20)</f>
        <v>++++++++++++++++++++</v>
      </c>
      <c r="N25" s="90" t="str">
        <f>REPT("+",13)</f>
        <v>+++++++++++++</v>
      </c>
      <c r="O25" s="90" t="str">
        <f t="shared" ref="O25:AJ25" si="0">REPT("+",3)</f>
        <v>+++</v>
      </c>
      <c r="P25" s="90" t="str">
        <f t="shared" si="0"/>
        <v>+++</v>
      </c>
      <c r="Q25" s="90" t="str">
        <f t="shared" si="0"/>
        <v>+++</v>
      </c>
      <c r="R25" s="90" t="str">
        <f t="shared" si="0"/>
        <v>+++</v>
      </c>
      <c r="S25" s="90" t="str">
        <f t="shared" si="0"/>
        <v>+++</v>
      </c>
      <c r="T25" s="90" t="str">
        <f t="shared" si="0"/>
        <v>+++</v>
      </c>
      <c r="U25" s="90" t="str">
        <f t="shared" si="0"/>
        <v>+++</v>
      </c>
      <c r="V25" s="90" t="str">
        <f t="shared" si="0"/>
        <v>+++</v>
      </c>
      <c r="W25" s="90" t="str">
        <f t="shared" si="0"/>
        <v>+++</v>
      </c>
      <c r="X25" s="90" t="str">
        <f t="shared" si="0"/>
        <v>+++</v>
      </c>
      <c r="Y25" s="90" t="str">
        <f t="shared" si="0"/>
        <v>+++</v>
      </c>
      <c r="Z25" s="90" t="str">
        <f t="shared" si="0"/>
        <v>+++</v>
      </c>
      <c r="AA25" s="90" t="str">
        <f t="shared" si="0"/>
        <v>+++</v>
      </c>
      <c r="AB25" s="90" t="str">
        <f t="shared" si="0"/>
        <v>+++</v>
      </c>
      <c r="AC25" s="90" t="str">
        <f t="shared" si="0"/>
        <v>+++</v>
      </c>
      <c r="AD25" s="90" t="str">
        <f t="shared" si="0"/>
        <v>+++</v>
      </c>
      <c r="AE25" s="90" t="str">
        <f t="shared" si="0"/>
        <v>+++</v>
      </c>
      <c r="AF25" s="90" t="str">
        <f t="shared" si="0"/>
        <v>+++</v>
      </c>
      <c r="AG25" s="90" t="str">
        <f t="shared" si="0"/>
        <v>+++</v>
      </c>
      <c r="AH25" s="90" t="str">
        <f t="shared" si="0"/>
        <v>+++</v>
      </c>
      <c r="AI25" s="90" t="str">
        <f t="shared" si="0"/>
        <v>+++</v>
      </c>
      <c r="AJ25" s="90" t="str">
        <f t="shared" si="0"/>
        <v>+++</v>
      </c>
      <c r="AK25" s="90" t="str">
        <f>REPT("+",6)</f>
        <v>++++++</v>
      </c>
      <c r="AL25" s="90" t="str">
        <f>REPT("+",3)</f>
        <v>+++</v>
      </c>
      <c r="AM25" s="90" t="str">
        <f>REPT("+",40)</f>
        <v>++++++++++++++++++++++++++++++++++++++++</v>
      </c>
      <c r="AN25" s="90" t="str">
        <f>REPT("+",10)</f>
        <v>++++++++++</v>
      </c>
      <c r="AO25" s="90" t="str">
        <f>REPT("+",5)</f>
        <v>+++++</v>
      </c>
      <c r="AP25" s="90" t="str">
        <f>REPT("+",6)</f>
        <v>++++++</v>
      </c>
      <c r="AQ25" s="90" t="str">
        <f>REPT("+",6)</f>
        <v>++++++</v>
      </c>
      <c r="AR25" s="90" t="str">
        <f>REPT("+",30)</f>
        <v>++++++++++++++++++++++++++++++</v>
      </c>
      <c r="AS25" s="90" t="str">
        <f t="shared" ref="AS25:BN25" si="1">REPT("+",3)</f>
        <v>+++</v>
      </c>
      <c r="AT25" s="90" t="str">
        <f t="shared" si="1"/>
        <v>+++</v>
      </c>
      <c r="AU25" s="90" t="str">
        <f t="shared" si="1"/>
        <v>+++</v>
      </c>
      <c r="AV25" s="90" t="str">
        <f>REPT("+",6)</f>
        <v>++++++</v>
      </c>
      <c r="AW25" s="90" t="str">
        <f t="shared" si="1"/>
        <v>+++</v>
      </c>
      <c r="AX25" s="90" t="str">
        <f t="shared" si="1"/>
        <v>+++</v>
      </c>
      <c r="AY25" s="90" t="str">
        <f t="shared" si="1"/>
        <v>+++</v>
      </c>
      <c r="AZ25" s="90" t="str">
        <f t="shared" si="1"/>
        <v>+++</v>
      </c>
      <c r="BA25" s="90" t="str">
        <f t="shared" si="1"/>
        <v>+++</v>
      </c>
      <c r="BB25" s="90" t="str">
        <f t="shared" si="1"/>
        <v>+++</v>
      </c>
      <c r="BC25" s="90" t="str">
        <f t="shared" si="1"/>
        <v>+++</v>
      </c>
      <c r="BD25" s="90" t="str">
        <f t="shared" si="1"/>
        <v>+++</v>
      </c>
      <c r="BE25" s="90" t="str">
        <f t="shared" si="1"/>
        <v>+++</v>
      </c>
      <c r="BF25" s="90" t="str">
        <f t="shared" si="1"/>
        <v>+++</v>
      </c>
      <c r="BG25" s="90" t="str">
        <f t="shared" si="1"/>
        <v>+++</v>
      </c>
      <c r="BH25" s="90" t="str">
        <f t="shared" si="1"/>
        <v>+++</v>
      </c>
      <c r="BI25" s="90" t="str">
        <f t="shared" si="1"/>
        <v>+++</v>
      </c>
      <c r="BJ25" s="90" t="str">
        <f t="shared" si="1"/>
        <v>+++</v>
      </c>
      <c r="BK25" s="90" t="str">
        <f t="shared" si="1"/>
        <v>+++</v>
      </c>
      <c r="BL25" s="90" t="str">
        <f t="shared" si="1"/>
        <v>+++</v>
      </c>
      <c r="BM25" s="90" t="str">
        <f t="shared" si="1"/>
        <v>+++</v>
      </c>
      <c r="BN25" s="90" t="str">
        <f t="shared" si="1"/>
        <v>+++</v>
      </c>
      <c r="BO25" s="90" t="str">
        <f>REPT("+",40)</f>
        <v>++++++++++++++++++++++++++++++++++++++++</v>
      </c>
      <c r="BP25" s="90" t="str">
        <f>REPT("+",3)</f>
        <v>+++</v>
      </c>
    </row>
    <row r="26" spans="1:69" s="56" customFormat="1" ht="10.199999999999999" x14ac:dyDescent="0.3">
      <c r="A26" s="320" t="s">
        <v>2145</v>
      </c>
      <c r="B26" s="320" t="s">
        <v>2152</v>
      </c>
      <c r="C26" s="320" t="s">
        <v>2101</v>
      </c>
      <c r="D26" s="320" t="s">
        <v>2103</v>
      </c>
      <c r="E26" s="320" t="s">
        <v>2104</v>
      </c>
      <c r="F26" s="320" t="s">
        <v>2105</v>
      </c>
      <c r="G26" s="320" t="s">
        <v>2106</v>
      </c>
      <c r="H26" s="320" t="s">
        <v>2102</v>
      </c>
      <c r="I26" s="321" t="s">
        <v>2108</v>
      </c>
      <c r="J26" s="321" t="s">
        <v>2109</v>
      </c>
      <c r="K26" s="321" t="s">
        <v>2107</v>
      </c>
      <c r="L26" s="321" t="s">
        <v>2110</v>
      </c>
      <c r="M26" s="321" t="s">
        <v>2111</v>
      </c>
      <c r="N26" s="321" t="s">
        <v>2154</v>
      </c>
      <c r="O26" s="321" t="s">
        <v>2115</v>
      </c>
      <c r="P26" s="321" t="s">
        <v>2116</v>
      </c>
      <c r="Q26" s="321" t="s">
        <v>2155</v>
      </c>
      <c r="R26" s="321" t="s">
        <v>2117</v>
      </c>
      <c r="S26" s="321" t="s">
        <v>2118</v>
      </c>
      <c r="T26" s="321" t="s">
        <v>2120</v>
      </c>
      <c r="U26" s="321" t="s">
        <v>2122</v>
      </c>
      <c r="V26" s="321" t="s">
        <v>2119</v>
      </c>
      <c r="W26" s="321" t="s">
        <v>2121</v>
      </c>
      <c r="X26" s="321" t="s">
        <v>2123</v>
      </c>
      <c r="Y26" s="321" t="s">
        <v>2124</v>
      </c>
      <c r="Z26" s="322" t="s">
        <v>2570</v>
      </c>
      <c r="AA26" s="322" t="s">
        <v>2571</v>
      </c>
      <c r="AB26" s="321" t="s">
        <v>2572</v>
      </c>
      <c r="AC26" s="321" t="s">
        <v>2573</v>
      </c>
      <c r="AD26" s="321" t="s">
        <v>2574</v>
      </c>
      <c r="AE26" s="321" t="s">
        <v>2575</v>
      </c>
      <c r="AF26" s="321" t="s">
        <v>2576</v>
      </c>
      <c r="AG26" s="321" t="s">
        <v>2125</v>
      </c>
      <c r="AH26" s="321" t="s">
        <v>2126</v>
      </c>
      <c r="AI26" s="321" t="s">
        <v>2127</v>
      </c>
      <c r="AJ26" s="321" t="s">
        <v>2128</v>
      </c>
      <c r="AK26" s="321" t="s">
        <v>2149</v>
      </c>
      <c r="AL26" s="321" t="s">
        <v>2160</v>
      </c>
      <c r="AM26" s="321" t="s">
        <v>2146</v>
      </c>
      <c r="AN26" s="323" t="s">
        <v>2129</v>
      </c>
      <c r="AO26" s="323" t="s">
        <v>2130</v>
      </c>
      <c r="AP26" s="323" t="s">
        <v>2131</v>
      </c>
      <c r="AQ26" s="323" t="s">
        <v>2132</v>
      </c>
      <c r="AR26" s="323" t="s">
        <v>2133</v>
      </c>
      <c r="AS26" s="323" t="s">
        <v>2153</v>
      </c>
      <c r="AT26" s="323" t="s">
        <v>2134</v>
      </c>
      <c r="AU26" s="323" t="s">
        <v>2135</v>
      </c>
      <c r="AV26" s="323" t="s">
        <v>2136</v>
      </c>
      <c r="AW26" s="323" t="s">
        <v>2148</v>
      </c>
      <c r="AX26" s="323" t="s">
        <v>2137</v>
      </c>
      <c r="AY26" s="323" t="s">
        <v>2138</v>
      </c>
      <c r="AZ26" s="323" t="s">
        <v>2139</v>
      </c>
      <c r="BA26" s="323" t="s">
        <v>2140</v>
      </c>
      <c r="BB26" s="323" t="s">
        <v>2141</v>
      </c>
      <c r="BC26" s="323" t="s">
        <v>2142</v>
      </c>
      <c r="BD26" s="324" t="s">
        <v>2577</v>
      </c>
      <c r="BE26" s="324" t="s">
        <v>2578</v>
      </c>
      <c r="BF26" s="323" t="s">
        <v>2579</v>
      </c>
      <c r="BG26" s="323" t="s">
        <v>2580</v>
      </c>
      <c r="BH26" s="323" t="s">
        <v>2581</v>
      </c>
      <c r="BI26" s="323" t="s">
        <v>2582</v>
      </c>
      <c r="BJ26" s="323" t="s">
        <v>2583</v>
      </c>
      <c r="BK26" s="323" t="s">
        <v>2147</v>
      </c>
      <c r="BL26" s="323" t="s">
        <v>2144</v>
      </c>
      <c r="BM26" s="323" t="s">
        <v>2143</v>
      </c>
      <c r="BN26" s="323" t="s">
        <v>2196</v>
      </c>
      <c r="BO26" s="323" t="s">
        <v>2151</v>
      </c>
      <c r="BP26" s="325" t="s">
        <v>2150</v>
      </c>
    </row>
    <row r="27" spans="1:69" s="215" customFormat="1" x14ac:dyDescent="0.25">
      <c r="A27" s="208"/>
      <c r="B27" s="208"/>
      <c r="C27" s="208"/>
      <c r="D27" s="208"/>
      <c r="E27" s="208"/>
      <c r="F27" s="208"/>
      <c r="G27" s="208"/>
      <c r="H27" s="208"/>
      <c r="I27" s="209"/>
      <c r="J27" s="210"/>
      <c r="K27" s="208"/>
      <c r="L27" s="326"/>
      <c r="M27" s="208"/>
      <c r="N27" s="211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11"/>
      <c r="AL27" s="208"/>
      <c r="AM27" s="208"/>
      <c r="AN27" s="212"/>
      <c r="AO27" s="213"/>
      <c r="AP27" s="214"/>
      <c r="AQ27" s="214"/>
      <c r="AR27" s="214"/>
      <c r="AS27" s="214"/>
      <c r="AT27" s="214"/>
      <c r="AU27" s="214"/>
      <c r="AV27" s="214"/>
      <c r="AW27" s="208"/>
      <c r="AX27" s="208"/>
      <c r="AY27" s="208"/>
      <c r="AZ27" s="208"/>
      <c r="BA27" s="208"/>
      <c r="BB27" s="208"/>
      <c r="BC27" s="208"/>
      <c r="BD27" s="214"/>
      <c r="BE27" s="214"/>
      <c r="BF27" s="214"/>
      <c r="BG27" s="214"/>
      <c r="BH27" s="214"/>
      <c r="BI27" s="214"/>
      <c r="BJ27" s="214"/>
      <c r="BK27" s="208"/>
      <c r="BL27" s="208"/>
      <c r="BM27" s="208"/>
      <c r="BN27" s="214"/>
      <c r="BO27" s="214"/>
      <c r="BP27" s="214"/>
    </row>
    <row r="28" spans="1:69" s="215" customFormat="1" ht="10.199999999999999" x14ac:dyDescent="0.3">
      <c r="A28" s="208"/>
      <c r="B28" s="208"/>
      <c r="C28" s="208"/>
      <c r="D28" s="208"/>
      <c r="E28" s="208"/>
      <c r="F28" s="208"/>
      <c r="G28" s="208"/>
      <c r="H28" s="208"/>
      <c r="I28" s="209"/>
      <c r="J28" s="210"/>
      <c r="K28" s="208"/>
      <c r="L28" s="208"/>
      <c r="M28" s="208"/>
      <c r="N28" s="211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11"/>
      <c r="AL28" s="208"/>
      <c r="AM28" s="208"/>
      <c r="AN28" s="212"/>
      <c r="AO28" s="213"/>
      <c r="AP28" s="214"/>
      <c r="AQ28" s="214"/>
      <c r="AR28" s="214"/>
      <c r="AS28" s="214"/>
      <c r="AT28" s="214"/>
      <c r="AU28" s="214"/>
      <c r="AV28" s="214"/>
      <c r="AW28" s="208"/>
      <c r="AX28" s="208"/>
      <c r="AY28" s="208"/>
      <c r="AZ28" s="208"/>
      <c r="BA28" s="208"/>
      <c r="BB28" s="208"/>
      <c r="BC28" s="208"/>
      <c r="BD28" s="214"/>
      <c r="BE28" s="214"/>
      <c r="BF28" s="214"/>
      <c r="BG28" s="214"/>
      <c r="BH28" s="214"/>
      <c r="BI28" s="214"/>
      <c r="BJ28" s="214"/>
      <c r="BK28" s="208"/>
      <c r="BL28" s="208"/>
      <c r="BM28" s="208"/>
      <c r="BN28" s="214"/>
      <c r="BO28" s="214"/>
      <c r="BP28" s="214"/>
    </row>
    <row r="29" spans="1:69" s="215" customFormat="1" ht="10.199999999999999" x14ac:dyDescent="0.3">
      <c r="A29" s="208"/>
      <c r="B29" s="208"/>
      <c r="C29" s="208"/>
      <c r="D29" s="208"/>
      <c r="E29" s="208"/>
      <c r="F29" s="208"/>
      <c r="G29" s="208"/>
      <c r="H29" s="208"/>
      <c r="I29" s="209"/>
      <c r="J29" s="210"/>
      <c r="K29" s="208"/>
      <c r="L29" s="208"/>
      <c r="M29" s="208"/>
      <c r="N29" s="211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1"/>
      <c r="AL29" s="208"/>
      <c r="AM29" s="208"/>
      <c r="AN29" s="212"/>
      <c r="AO29" s="213"/>
      <c r="AP29" s="214"/>
      <c r="AQ29" s="214"/>
      <c r="AR29" s="214"/>
      <c r="AS29" s="214"/>
      <c r="AT29" s="214"/>
      <c r="AU29" s="214"/>
      <c r="AV29" s="214"/>
      <c r="AW29" s="208"/>
      <c r="AX29" s="208"/>
      <c r="AY29" s="208"/>
      <c r="AZ29" s="208"/>
      <c r="BA29" s="208"/>
      <c r="BB29" s="208"/>
      <c r="BC29" s="208"/>
      <c r="BD29" s="214"/>
      <c r="BE29" s="214"/>
      <c r="BF29" s="214"/>
      <c r="BG29" s="214"/>
      <c r="BH29" s="214"/>
      <c r="BI29" s="214"/>
      <c r="BJ29" s="214"/>
      <c r="BK29" s="208"/>
      <c r="BL29" s="208"/>
      <c r="BM29" s="208"/>
      <c r="BN29" s="214"/>
      <c r="BO29" s="214"/>
      <c r="BP29" s="214"/>
    </row>
    <row r="30" spans="1:69" s="215" customFormat="1" ht="10.199999999999999" x14ac:dyDescent="0.3">
      <c r="A30" s="208"/>
      <c r="B30" s="208"/>
      <c r="C30" s="208"/>
      <c r="D30" s="208"/>
      <c r="E30" s="208"/>
      <c r="F30" s="208"/>
      <c r="G30" s="208"/>
      <c r="H30" s="208"/>
      <c r="I30" s="209"/>
      <c r="J30" s="210"/>
      <c r="K30" s="208"/>
      <c r="L30" s="208"/>
      <c r="M30" s="208"/>
      <c r="N30" s="211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11"/>
      <c r="AL30" s="208"/>
      <c r="AM30" s="208"/>
      <c r="AN30" s="212"/>
      <c r="AO30" s="213"/>
      <c r="AP30" s="214"/>
      <c r="AQ30" s="214"/>
      <c r="AR30" s="214"/>
      <c r="AS30" s="214"/>
      <c r="AT30" s="214"/>
      <c r="AU30" s="214"/>
      <c r="AV30" s="214"/>
      <c r="AW30" s="208"/>
      <c r="AX30" s="208"/>
      <c r="AY30" s="208"/>
      <c r="AZ30" s="208"/>
      <c r="BA30" s="208"/>
      <c r="BB30" s="208"/>
      <c r="BC30" s="208"/>
      <c r="BD30" s="214"/>
      <c r="BE30" s="214"/>
      <c r="BF30" s="214"/>
      <c r="BG30" s="214"/>
      <c r="BH30" s="214"/>
      <c r="BI30" s="214"/>
      <c r="BJ30" s="214"/>
      <c r="BK30" s="208"/>
      <c r="BL30" s="208"/>
      <c r="BM30" s="208"/>
      <c r="BN30" s="214"/>
      <c r="BO30" s="214"/>
      <c r="BP30" s="214"/>
    </row>
    <row r="31" spans="1:69" s="215" customFormat="1" ht="10.199999999999999" x14ac:dyDescent="0.3">
      <c r="A31" s="208"/>
      <c r="B31" s="208"/>
      <c r="C31" s="208"/>
      <c r="D31" s="208"/>
      <c r="E31" s="208"/>
      <c r="F31" s="208"/>
      <c r="G31" s="208"/>
      <c r="H31" s="208"/>
      <c r="I31" s="209"/>
      <c r="J31" s="210"/>
      <c r="K31" s="208"/>
      <c r="L31" s="208"/>
      <c r="M31" s="208"/>
      <c r="N31" s="211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11"/>
      <c r="AL31" s="208"/>
      <c r="AM31" s="208"/>
      <c r="AN31" s="212"/>
      <c r="AO31" s="213"/>
      <c r="AP31" s="214"/>
      <c r="AQ31" s="214"/>
      <c r="AR31" s="214"/>
      <c r="AS31" s="214"/>
      <c r="AT31" s="214"/>
      <c r="AU31" s="214"/>
      <c r="AV31" s="214"/>
      <c r="AW31" s="208"/>
      <c r="AX31" s="208"/>
      <c r="AY31" s="208"/>
      <c r="AZ31" s="208"/>
      <c r="BA31" s="208"/>
      <c r="BB31" s="208"/>
      <c r="BC31" s="208"/>
      <c r="BD31" s="214"/>
      <c r="BE31" s="214"/>
      <c r="BF31" s="214"/>
      <c r="BG31" s="214"/>
      <c r="BH31" s="214"/>
      <c r="BI31" s="214"/>
      <c r="BJ31" s="214"/>
      <c r="BK31" s="208"/>
      <c r="BL31" s="208"/>
      <c r="BM31" s="208"/>
      <c r="BN31" s="214"/>
      <c r="BO31" s="214"/>
      <c r="BP31" s="214"/>
    </row>
    <row r="32" spans="1:69" s="215" customFormat="1" ht="10.199999999999999" x14ac:dyDescent="0.3">
      <c r="A32" s="208"/>
      <c r="B32" s="208"/>
      <c r="C32" s="208"/>
      <c r="D32" s="208"/>
      <c r="E32" s="208"/>
      <c r="F32" s="208"/>
      <c r="G32" s="208"/>
      <c r="H32" s="208"/>
      <c r="I32" s="209"/>
      <c r="J32" s="210"/>
      <c r="K32" s="208"/>
      <c r="L32" s="208"/>
      <c r="M32" s="208"/>
      <c r="N32" s="211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11"/>
      <c r="AL32" s="208"/>
      <c r="AM32" s="208"/>
      <c r="AN32" s="212"/>
      <c r="AO32" s="213"/>
      <c r="AP32" s="214"/>
      <c r="AQ32" s="214"/>
      <c r="AR32" s="214"/>
      <c r="AS32" s="214"/>
      <c r="AT32" s="214"/>
      <c r="AU32" s="214"/>
      <c r="AV32" s="214"/>
      <c r="AW32" s="208"/>
      <c r="AX32" s="208"/>
      <c r="AY32" s="208"/>
      <c r="AZ32" s="208"/>
      <c r="BA32" s="208"/>
      <c r="BB32" s="208"/>
      <c r="BC32" s="208"/>
      <c r="BD32" s="214"/>
      <c r="BE32" s="214"/>
      <c r="BF32" s="214"/>
      <c r="BG32" s="214"/>
      <c r="BH32" s="214"/>
      <c r="BI32" s="214"/>
      <c r="BJ32" s="214"/>
      <c r="BK32" s="208"/>
      <c r="BL32" s="208"/>
      <c r="BM32" s="208"/>
      <c r="BN32" s="214"/>
      <c r="BO32" s="214"/>
      <c r="BP32" s="214"/>
    </row>
    <row r="33" spans="1:69" s="215" customFormat="1" ht="10.199999999999999" x14ac:dyDescent="0.3">
      <c r="A33" s="208"/>
      <c r="B33" s="208"/>
      <c r="C33" s="208"/>
      <c r="D33" s="208"/>
      <c r="E33" s="208"/>
      <c r="F33" s="208"/>
      <c r="G33" s="208"/>
      <c r="H33" s="208"/>
      <c r="I33" s="209"/>
      <c r="J33" s="210"/>
      <c r="K33" s="208"/>
      <c r="L33" s="208"/>
      <c r="M33" s="208"/>
      <c r="N33" s="211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11"/>
      <c r="AL33" s="208"/>
      <c r="AM33" s="208"/>
      <c r="AN33" s="212"/>
      <c r="AO33" s="213"/>
      <c r="AP33" s="214"/>
      <c r="AQ33" s="214"/>
      <c r="AR33" s="214"/>
      <c r="AS33" s="214"/>
      <c r="AT33" s="214"/>
      <c r="AU33" s="214"/>
      <c r="AV33" s="214"/>
      <c r="AW33" s="208"/>
      <c r="AX33" s="208"/>
      <c r="AY33" s="208"/>
      <c r="AZ33" s="208"/>
      <c r="BA33" s="208"/>
      <c r="BB33" s="208"/>
      <c r="BC33" s="208"/>
      <c r="BD33" s="214"/>
      <c r="BE33" s="214"/>
      <c r="BF33" s="214"/>
      <c r="BG33" s="214"/>
      <c r="BH33" s="214"/>
      <c r="BI33" s="214"/>
      <c r="BJ33" s="214"/>
      <c r="BK33" s="208"/>
      <c r="BL33" s="208"/>
      <c r="BM33" s="208"/>
      <c r="BN33" s="214"/>
      <c r="BO33" s="214"/>
      <c r="BP33" s="214"/>
    </row>
    <row r="34" spans="1:69" s="215" customFormat="1" ht="10.199999999999999" x14ac:dyDescent="0.3">
      <c r="A34" s="208"/>
      <c r="B34" s="208"/>
      <c r="C34" s="208"/>
      <c r="D34" s="208"/>
      <c r="E34" s="208"/>
      <c r="F34" s="208"/>
      <c r="G34" s="208"/>
      <c r="H34" s="208"/>
      <c r="I34" s="209"/>
      <c r="J34" s="210"/>
      <c r="K34" s="208"/>
      <c r="L34" s="208"/>
      <c r="M34" s="208"/>
      <c r="N34" s="211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11"/>
      <c r="AL34" s="208"/>
      <c r="AM34" s="208"/>
      <c r="AN34" s="212"/>
      <c r="AO34" s="213"/>
      <c r="AP34" s="214"/>
      <c r="AQ34" s="214"/>
      <c r="AR34" s="214"/>
      <c r="AS34" s="214"/>
      <c r="AT34" s="214"/>
      <c r="AU34" s="214"/>
      <c r="AV34" s="214"/>
      <c r="AW34" s="208"/>
      <c r="AX34" s="208"/>
      <c r="AY34" s="208"/>
      <c r="AZ34" s="208"/>
      <c r="BA34" s="208"/>
      <c r="BB34" s="208"/>
      <c r="BC34" s="208"/>
      <c r="BD34" s="214"/>
      <c r="BE34" s="214"/>
      <c r="BF34" s="214"/>
      <c r="BG34" s="214"/>
      <c r="BH34" s="214"/>
      <c r="BI34" s="214"/>
      <c r="BJ34" s="214"/>
      <c r="BK34" s="208"/>
      <c r="BL34" s="208"/>
      <c r="BM34" s="208"/>
      <c r="BN34" s="214"/>
      <c r="BO34" s="214"/>
      <c r="BP34" s="214"/>
    </row>
    <row r="35" spans="1:69" s="215" customFormat="1" ht="10.199999999999999" x14ac:dyDescent="0.3">
      <c r="A35" s="208"/>
      <c r="B35" s="208"/>
      <c r="C35" s="208"/>
      <c r="D35" s="208"/>
      <c r="E35" s="208"/>
      <c r="F35" s="208"/>
      <c r="G35" s="208"/>
      <c r="H35" s="208"/>
      <c r="I35" s="209"/>
      <c r="J35" s="210"/>
      <c r="K35" s="208"/>
      <c r="L35" s="208"/>
      <c r="M35" s="208"/>
      <c r="N35" s="211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11"/>
      <c r="AL35" s="208"/>
      <c r="AM35" s="208"/>
      <c r="AN35" s="212"/>
      <c r="AO35" s="213"/>
      <c r="AP35" s="214"/>
      <c r="AQ35" s="214"/>
      <c r="AR35" s="214"/>
      <c r="AS35" s="214"/>
      <c r="AT35" s="214"/>
      <c r="AU35" s="214"/>
      <c r="AV35" s="214"/>
      <c r="AW35" s="208"/>
      <c r="AX35" s="208"/>
      <c r="AY35" s="208"/>
      <c r="AZ35" s="208"/>
      <c r="BA35" s="208"/>
      <c r="BB35" s="208"/>
      <c r="BC35" s="208"/>
      <c r="BD35" s="214"/>
      <c r="BE35" s="214"/>
      <c r="BF35" s="214"/>
      <c r="BG35" s="214"/>
      <c r="BH35" s="214"/>
      <c r="BI35" s="214"/>
      <c r="BJ35" s="214"/>
      <c r="BK35" s="208"/>
      <c r="BL35" s="208"/>
      <c r="BM35" s="208"/>
      <c r="BN35" s="214"/>
      <c r="BO35" s="214"/>
      <c r="BP35" s="214"/>
    </row>
    <row r="36" spans="1:69" s="215" customFormat="1" ht="10.199999999999999" x14ac:dyDescent="0.3">
      <c r="A36" s="208"/>
      <c r="B36" s="208"/>
      <c r="C36" s="208"/>
      <c r="D36" s="208"/>
      <c r="E36" s="208"/>
      <c r="F36" s="208"/>
      <c r="G36" s="208"/>
      <c r="H36" s="208"/>
      <c r="I36" s="209"/>
      <c r="J36" s="210"/>
      <c r="K36" s="208"/>
      <c r="L36" s="208"/>
      <c r="M36" s="208"/>
      <c r="N36" s="211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11"/>
      <c r="AL36" s="208"/>
      <c r="AM36" s="208"/>
      <c r="AN36" s="212"/>
      <c r="AO36" s="213"/>
      <c r="AP36" s="214"/>
      <c r="AQ36" s="214"/>
      <c r="AR36" s="214"/>
      <c r="AS36" s="214"/>
      <c r="AT36" s="214"/>
      <c r="AU36" s="214"/>
      <c r="AV36" s="214"/>
      <c r="AW36" s="208"/>
      <c r="AX36" s="208"/>
      <c r="AY36" s="208"/>
      <c r="AZ36" s="208"/>
      <c r="BA36" s="208"/>
      <c r="BB36" s="208"/>
      <c r="BC36" s="208"/>
      <c r="BD36" s="214"/>
      <c r="BE36" s="214"/>
      <c r="BF36" s="214"/>
      <c r="BG36" s="214"/>
      <c r="BH36" s="214"/>
      <c r="BI36" s="214"/>
      <c r="BJ36" s="214"/>
      <c r="BK36" s="208"/>
      <c r="BL36" s="208"/>
      <c r="BM36" s="208"/>
      <c r="BN36" s="214"/>
      <c r="BO36" s="214"/>
      <c r="BP36" s="214"/>
    </row>
    <row r="37" spans="1:69" s="215" customFormat="1" ht="10.199999999999999" x14ac:dyDescent="0.3">
      <c r="A37" s="208"/>
      <c r="B37" s="208"/>
      <c r="C37" s="208"/>
      <c r="D37" s="208"/>
      <c r="E37" s="208"/>
      <c r="F37" s="208"/>
      <c r="G37" s="208"/>
      <c r="H37" s="208"/>
      <c r="I37" s="209"/>
      <c r="J37" s="210"/>
      <c r="K37" s="208"/>
      <c r="L37" s="208"/>
      <c r="M37" s="208"/>
      <c r="N37" s="211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11"/>
      <c r="AL37" s="208"/>
      <c r="AM37" s="208"/>
      <c r="AN37" s="212"/>
      <c r="AO37" s="213"/>
      <c r="AP37" s="214"/>
      <c r="AQ37" s="214"/>
      <c r="AR37" s="214"/>
      <c r="AS37" s="214"/>
      <c r="AT37" s="214"/>
      <c r="AU37" s="214"/>
      <c r="AV37" s="214"/>
      <c r="AW37" s="208"/>
      <c r="AX37" s="208"/>
      <c r="AY37" s="208"/>
      <c r="AZ37" s="208"/>
      <c r="BA37" s="208"/>
      <c r="BB37" s="208"/>
      <c r="BC37" s="208"/>
      <c r="BD37" s="214"/>
      <c r="BE37" s="214"/>
      <c r="BF37" s="214"/>
      <c r="BG37" s="214"/>
      <c r="BH37" s="214"/>
      <c r="BI37" s="214"/>
      <c r="BJ37" s="214"/>
      <c r="BK37" s="208"/>
      <c r="BL37" s="208"/>
      <c r="BM37" s="208"/>
      <c r="BN37" s="214"/>
      <c r="BO37" s="214"/>
      <c r="BP37" s="214"/>
    </row>
    <row r="38" spans="1:69" s="215" customFormat="1" ht="10.199999999999999" x14ac:dyDescent="0.3">
      <c r="A38" s="208"/>
      <c r="B38" s="208"/>
      <c r="C38" s="208"/>
      <c r="D38" s="208"/>
      <c r="E38" s="208"/>
      <c r="F38" s="208"/>
      <c r="G38" s="208"/>
      <c r="H38" s="208"/>
      <c r="I38" s="209"/>
      <c r="J38" s="210"/>
      <c r="K38" s="208"/>
      <c r="L38" s="208"/>
      <c r="M38" s="208"/>
      <c r="N38" s="211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11"/>
      <c r="AL38" s="208"/>
      <c r="AM38" s="208"/>
      <c r="AN38" s="212"/>
      <c r="AO38" s="213"/>
      <c r="AP38" s="214"/>
      <c r="AQ38" s="214"/>
      <c r="AR38" s="214"/>
      <c r="AS38" s="214"/>
      <c r="AT38" s="214"/>
      <c r="AU38" s="214"/>
      <c r="AV38" s="214"/>
      <c r="AW38" s="208"/>
      <c r="AX38" s="208"/>
      <c r="AY38" s="208"/>
      <c r="AZ38" s="208"/>
      <c r="BA38" s="208"/>
      <c r="BB38" s="208"/>
      <c r="BC38" s="208"/>
      <c r="BD38" s="214"/>
      <c r="BE38" s="214"/>
      <c r="BF38" s="214"/>
      <c r="BG38" s="214"/>
      <c r="BH38" s="214"/>
      <c r="BI38" s="214"/>
      <c r="BJ38" s="214"/>
      <c r="BK38" s="208"/>
      <c r="BL38" s="208"/>
      <c r="BM38" s="208"/>
      <c r="BN38" s="214"/>
      <c r="BO38" s="214"/>
      <c r="BP38" s="214"/>
    </row>
    <row r="39" spans="1:69" s="215" customFormat="1" ht="10.199999999999999" x14ac:dyDescent="0.3">
      <c r="A39" s="208"/>
      <c r="B39" s="208"/>
      <c r="C39" s="208"/>
      <c r="D39" s="208"/>
      <c r="E39" s="208"/>
      <c r="F39" s="208"/>
      <c r="G39" s="208"/>
      <c r="H39" s="208"/>
      <c r="I39" s="209"/>
      <c r="J39" s="210"/>
      <c r="K39" s="208"/>
      <c r="L39" s="208"/>
      <c r="M39" s="208"/>
      <c r="N39" s="211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11"/>
      <c r="AL39" s="208"/>
      <c r="AM39" s="208"/>
      <c r="AN39" s="212"/>
      <c r="AO39" s="213"/>
      <c r="AP39" s="214"/>
      <c r="AQ39" s="214"/>
      <c r="AR39" s="214"/>
      <c r="AS39" s="214"/>
      <c r="AT39" s="214"/>
      <c r="AU39" s="214"/>
      <c r="AV39" s="214"/>
      <c r="AW39" s="208"/>
      <c r="AX39" s="208"/>
      <c r="AY39" s="208"/>
      <c r="AZ39" s="208"/>
      <c r="BA39" s="208"/>
      <c r="BB39" s="208"/>
      <c r="BC39" s="208"/>
      <c r="BD39" s="214"/>
      <c r="BE39" s="214"/>
      <c r="BF39" s="214"/>
      <c r="BG39" s="214"/>
      <c r="BH39" s="214"/>
      <c r="BI39" s="214"/>
      <c r="BJ39" s="214"/>
      <c r="BK39" s="208"/>
      <c r="BL39" s="208"/>
      <c r="BM39" s="208"/>
      <c r="BN39" s="214"/>
      <c r="BO39" s="214"/>
      <c r="BP39" s="214"/>
    </row>
    <row r="40" spans="1:69" s="215" customFormat="1" ht="10.199999999999999" x14ac:dyDescent="0.3">
      <c r="A40" s="208"/>
      <c r="B40" s="208"/>
      <c r="C40" s="208"/>
      <c r="D40" s="208"/>
      <c r="E40" s="208"/>
      <c r="F40" s="208"/>
      <c r="G40" s="208"/>
      <c r="H40" s="208"/>
      <c r="I40" s="209"/>
      <c r="J40" s="210"/>
      <c r="K40" s="208"/>
      <c r="L40" s="208"/>
      <c r="M40" s="208"/>
      <c r="N40" s="211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11"/>
      <c r="AL40" s="208"/>
      <c r="AM40" s="208"/>
      <c r="AN40" s="212"/>
      <c r="AO40" s="213"/>
      <c r="AP40" s="214"/>
      <c r="AQ40" s="214"/>
      <c r="AR40" s="214"/>
      <c r="AS40" s="214"/>
      <c r="AT40" s="214"/>
      <c r="AU40" s="214"/>
      <c r="AV40" s="214"/>
      <c r="AW40" s="208"/>
      <c r="AX40" s="208"/>
      <c r="AY40" s="208"/>
      <c r="AZ40" s="208"/>
      <c r="BA40" s="208"/>
      <c r="BB40" s="208"/>
      <c r="BC40" s="208"/>
      <c r="BD40" s="214"/>
      <c r="BE40" s="214"/>
      <c r="BF40" s="214"/>
      <c r="BG40" s="214"/>
      <c r="BH40" s="214"/>
      <c r="BI40" s="214"/>
      <c r="BJ40" s="214"/>
      <c r="BK40" s="208"/>
      <c r="BL40" s="208"/>
      <c r="BM40" s="208"/>
      <c r="BN40" s="214"/>
      <c r="BO40" s="214"/>
      <c r="BP40" s="214"/>
    </row>
    <row r="41" spans="1:69" s="215" customFormat="1" ht="10.199999999999999" x14ac:dyDescent="0.3">
      <c r="A41" s="208"/>
      <c r="B41" s="208"/>
      <c r="C41" s="208"/>
      <c r="D41" s="208"/>
      <c r="E41" s="208"/>
      <c r="F41" s="208"/>
      <c r="G41" s="208"/>
      <c r="H41" s="208"/>
      <c r="I41" s="209"/>
      <c r="J41" s="210"/>
      <c r="K41" s="208"/>
      <c r="L41" s="208"/>
      <c r="M41" s="208"/>
      <c r="N41" s="211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11"/>
      <c r="AL41" s="208"/>
      <c r="AM41" s="208"/>
      <c r="AN41" s="212"/>
      <c r="AO41" s="213"/>
      <c r="AP41" s="214"/>
      <c r="AQ41" s="214"/>
      <c r="AR41" s="214"/>
      <c r="AS41" s="214"/>
      <c r="AT41" s="214"/>
      <c r="AU41" s="214"/>
      <c r="AV41" s="214"/>
      <c r="AW41" s="208"/>
      <c r="AX41" s="208"/>
      <c r="AY41" s="208"/>
      <c r="AZ41" s="208"/>
      <c r="BA41" s="208"/>
      <c r="BB41" s="208"/>
      <c r="BC41" s="208"/>
      <c r="BD41" s="214"/>
      <c r="BE41" s="214"/>
      <c r="BF41" s="214"/>
      <c r="BG41" s="214"/>
      <c r="BH41" s="214"/>
      <c r="BI41" s="214"/>
      <c r="BJ41" s="214"/>
      <c r="BK41" s="208"/>
      <c r="BL41" s="208"/>
      <c r="BM41" s="208"/>
      <c r="BN41" s="214"/>
      <c r="BO41" s="214"/>
      <c r="BP41" s="214"/>
    </row>
    <row r="42" spans="1:69" s="215" customFormat="1" ht="10.199999999999999" x14ac:dyDescent="0.3">
      <c r="A42" s="208"/>
      <c r="B42" s="208"/>
      <c r="C42" s="208"/>
      <c r="D42" s="208"/>
      <c r="E42" s="208"/>
      <c r="F42" s="208"/>
      <c r="G42" s="208"/>
      <c r="H42" s="208"/>
      <c r="I42" s="209"/>
      <c r="J42" s="210"/>
      <c r="K42" s="208"/>
      <c r="L42" s="208"/>
      <c r="M42" s="208"/>
      <c r="N42" s="211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11"/>
      <c r="AL42" s="208"/>
      <c r="AM42" s="208"/>
      <c r="AN42" s="212"/>
      <c r="AO42" s="213"/>
      <c r="AP42" s="214"/>
      <c r="AQ42" s="214"/>
      <c r="AR42" s="214"/>
      <c r="AS42" s="214"/>
      <c r="AT42" s="214"/>
      <c r="AU42" s="214"/>
      <c r="AV42" s="214"/>
      <c r="AW42" s="208"/>
      <c r="AX42" s="208"/>
      <c r="AY42" s="208"/>
      <c r="AZ42" s="208"/>
      <c r="BA42" s="208"/>
      <c r="BB42" s="208"/>
      <c r="BC42" s="208"/>
      <c r="BD42" s="214"/>
      <c r="BE42" s="214"/>
      <c r="BF42" s="214"/>
      <c r="BG42" s="214"/>
      <c r="BH42" s="214"/>
      <c r="BI42" s="214"/>
      <c r="BJ42" s="214"/>
      <c r="BK42" s="208"/>
      <c r="BL42" s="208"/>
      <c r="BM42" s="208"/>
      <c r="BN42" s="214"/>
      <c r="BO42" s="214"/>
      <c r="BP42" s="214"/>
    </row>
    <row r="43" spans="1:69" s="215" customFormat="1" ht="10.199999999999999" x14ac:dyDescent="0.3">
      <c r="A43" s="214"/>
      <c r="B43" s="208"/>
      <c r="C43" s="216"/>
      <c r="D43" s="208"/>
      <c r="E43" s="216"/>
      <c r="F43" s="216"/>
      <c r="G43" s="216"/>
      <c r="H43" s="216"/>
      <c r="I43" s="217"/>
      <c r="J43" s="218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7"/>
      <c r="AO43" s="218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9"/>
    </row>
    <row r="44" spans="1:69" s="215" customFormat="1" ht="10.199999999999999" x14ac:dyDescent="0.3">
      <c r="A44" s="214"/>
      <c r="B44" s="208"/>
      <c r="C44" s="216"/>
      <c r="D44" s="208"/>
      <c r="E44" s="216"/>
      <c r="F44" s="216"/>
      <c r="G44" s="216"/>
      <c r="H44" s="208"/>
      <c r="I44" s="217"/>
      <c r="J44" s="218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7"/>
      <c r="AO44" s="218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9"/>
    </row>
    <row r="45" spans="1:69" s="215" customFormat="1" ht="10.199999999999999" x14ac:dyDescent="0.3">
      <c r="A45" s="214"/>
      <c r="B45" s="208"/>
      <c r="C45" s="216"/>
      <c r="D45" s="208"/>
      <c r="E45" s="216"/>
      <c r="F45" s="216"/>
      <c r="G45" s="216"/>
      <c r="H45" s="208"/>
      <c r="I45" s="217"/>
      <c r="J45" s="218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7"/>
      <c r="AO45" s="218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9"/>
    </row>
    <row r="46" spans="1:69" s="215" customFormat="1" ht="10.199999999999999" x14ac:dyDescent="0.3">
      <c r="A46" s="214"/>
      <c r="B46" s="208"/>
      <c r="C46" s="216"/>
      <c r="D46" s="208"/>
      <c r="E46" s="216"/>
      <c r="F46" s="216"/>
      <c r="G46" s="216"/>
      <c r="H46" s="208"/>
      <c r="I46" s="217"/>
      <c r="J46" s="218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7"/>
      <c r="AO46" s="218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9"/>
    </row>
    <row r="47" spans="1:69" s="215" customFormat="1" ht="10.199999999999999" x14ac:dyDescent="0.3">
      <c r="A47" s="214"/>
      <c r="B47" s="208"/>
      <c r="C47" s="216"/>
      <c r="D47" s="208"/>
      <c r="E47" s="216"/>
      <c r="F47" s="216"/>
      <c r="G47" s="216"/>
      <c r="H47" s="208"/>
      <c r="I47" s="217"/>
      <c r="J47" s="218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7"/>
      <c r="AO47" s="218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9"/>
    </row>
    <row r="48" spans="1:69" s="221" customFormat="1" ht="10.199999999999999" x14ac:dyDescent="0.3">
      <c r="A48" s="214"/>
      <c r="B48" s="208"/>
      <c r="C48" s="216"/>
      <c r="D48" s="208"/>
      <c r="E48" s="216"/>
      <c r="F48" s="216"/>
      <c r="G48" s="216"/>
      <c r="H48" s="208"/>
      <c r="I48" s="217"/>
      <c r="J48" s="218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7"/>
      <c r="AO48" s="218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20"/>
    </row>
    <row r="49" spans="1:69" s="221" customFormat="1" ht="10.199999999999999" x14ac:dyDescent="0.3">
      <c r="A49" s="214"/>
      <c r="B49" s="208"/>
      <c r="C49" s="216"/>
      <c r="D49" s="208"/>
      <c r="E49" s="216"/>
      <c r="F49" s="216"/>
      <c r="G49" s="216"/>
      <c r="H49" s="208"/>
      <c r="I49" s="217"/>
      <c r="J49" s="218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7"/>
      <c r="AO49" s="218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20"/>
    </row>
    <row r="50" spans="1:69" s="221" customFormat="1" ht="10.199999999999999" x14ac:dyDescent="0.3">
      <c r="A50" s="214"/>
      <c r="B50" s="208"/>
      <c r="C50" s="216"/>
      <c r="D50" s="208"/>
      <c r="E50" s="216"/>
      <c r="F50" s="216"/>
      <c r="G50" s="216"/>
      <c r="H50" s="208"/>
      <c r="I50" s="217"/>
      <c r="J50" s="218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7"/>
      <c r="AO50" s="218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20"/>
    </row>
  </sheetData>
  <sheetProtection algorithmName="SHA-512" hashValue="3U75SZGN01R38Cak+iFWDbMn9iWviD0qT+SGuCor5pPmrvpRZW1t+d4GI7P/mqMpO/xFhLWRAJp96kbFM2RAqw==" saltValue="+/YViBUlLVGNjZDCMi7pVw==" spinCount="100000" sheet="1" formatCells="0" formatRows="0" insertRows="0" deleteRows="0" autoFilter="0"/>
  <dataConsolidate/>
  <mergeCells count="59">
    <mergeCell ref="A21:H21"/>
    <mergeCell ref="A22:C23"/>
    <mergeCell ref="I22:J23"/>
    <mergeCell ref="D23:G23"/>
    <mergeCell ref="I21:AM21"/>
    <mergeCell ref="Z23:AF23"/>
    <mergeCell ref="T22:AF22"/>
    <mergeCell ref="T23:V23"/>
    <mergeCell ref="W23:Y23"/>
    <mergeCell ref="K22:M23"/>
    <mergeCell ref="N22:S23"/>
    <mergeCell ref="D22:H22"/>
    <mergeCell ref="BP22:BP23"/>
    <mergeCell ref="AG22:AJ22"/>
    <mergeCell ref="AN22:AO23"/>
    <mergeCell ref="AP22:AR23"/>
    <mergeCell ref="AG23:AH23"/>
    <mergeCell ref="AK22:AM23"/>
    <mergeCell ref="AN21:BO21"/>
    <mergeCell ref="BL22:BO23"/>
    <mergeCell ref="AX22:BJ22"/>
    <mergeCell ref="AX23:AZ23"/>
    <mergeCell ref="BA23:BC23"/>
    <mergeCell ref="BD23:BJ23"/>
    <mergeCell ref="AS22:AW23"/>
    <mergeCell ref="BK22:BK23"/>
    <mergeCell ref="R6:R10"/>
    <mergeCell ref="C5:I5"/>
    <mergeCell ref="K5:L5"/>
    <mergeCell ref="M5:N5"/>
    <mergeCell ref="C6:E6"/>
    <mergeCell ref="G6:I6"/>
    <mergeCell ref="K6:L6"/>
    <mergeCell ref="M6:N6"/>
    <mergeCell ref="C7:H7"/>
    <mergeCell ref="C8:H8"/>
    <mergeCell ref="K8:O8"/>
    <mergeCell ref="C9:E9"/>
    <mergeCell ref="G9:I9"/>
    <mergeCell ref="K9:O9"/>
    <mergeCell ref="A1:B2"/>
    <mergeCell ref="C1:P1"/>
    <mergeCell ref="C2:P2"/>
    <mergeCell ref="A4:I4"/>
    <mergeCell ref="K4:O4"/>
    <mergeCell ref="P4:R4"/>
    <mergeCell ref="C19:I19"/>
    <mergeCell ref="A11:I11"/>
    <mergeCell ref="A12:B12"/>
    <mergeCell ref="K12:R18"/>
    <mergeCell ref="A17:B17"/>
    <mergeCell ref="A18:B18"/>
    <mergeCell ref="E12:I12"/>
    <mergeCell ref="E15:E16"/>
    <mergeCell ref="F13:I14"/>
    <mergeCell ref="E13:E14"/>
    <mergeCell ref="F15:I16"/>
    <mergeCell ref="E17:E18"/>
    <mergeCell ref="F17:I18"/>
  </mergeCells>
  <conditionalFormatting sqref="Q6">
    <cfRule type="cellIs" dxfId="1" priority="2" operator="equal">
      <formula>1</formula>
    </cfRule>
  </conditionalFormatting>
  <conditionalFormatting sqref="R6">
    <cfRule type="cellIs" dxfId="0" priority="1" operator="equal">
      <formula>1</formula>
    </cfRule>
  </conditionalFormatting>
  <dataValidations xWindow="291" yWindow="380" count="37">
    <dataValidation type="list" allowBlank="1" showInputMessage="1" showErrorMessage="1" errorTitle="Version reported" error="Select a valid option" promptTitle="Version reported" prompt="Preliminary or final" sqref="C17" xr:uid="{00000000-0002-0000-0000-000000000000}">
      <formula1>"Preliminary,Final"</formula1>
    </dataValidation>
    <dataValidation type="list" allowBlank="1" showInputMessage="1" showErrorMessage="1" sqref="C18" xr:uid="{00000000-0002-0000-0000-000001000000}">
      <formula1>Content</formula1>
    </dataValidation>
    <dataValidation type="list" allowBlank="1" showInputMessage="1" showErrorMessage="1" errorTitle="Country name not defined" error="Select a valid Country name" promptTitle="Country names" prompt="Select from the list" sqref="G9" xr:uid="{00000000-0002-0000-0000-000002000000}">
      <formula1>FlagName</formula1>
    </dataValidation>
    <dataValidation type="list" allowBlank="1" showInputMessage="1" showErrorMessage="1" sqref="R2" xr:uid="{00000000-0002-0000-0000-000003000000}">
      <formula1>"ENG,FRA,ESP"</formula1>
    </dataValidation>
    <dataValidation type="list" allowBlank="1" showInputMessage="1" showErrorMessage="1" errorTitle="Reporting Flag name not defined" error="Select a valid Reporting Flag name" promptTitle="Reporting Flag names" prompt="Select from the list" sqref="C12" xr:uid="{00000000-0002-0000-0000-000004000000}">
      <formula1>FlagName</formula1>
    </dataValidation>
    <dataValidation type="list" allowBlank="1" showInputMessage="1" showErrorMessage="1" sqref="C27:C50" xr:uid="{00000000-0002-0000-0000-000005000000}">
      <formula1>SexCode</formula1>
    </dataValidation>
    <dataValidation type="list" allowBlank="1" showInputMessage="1" showErrorMessage="1" sqref="H27:H50" xr:uid="{00000000-0002-0000-0000-000006000000}">
      <formula1>RCStageCode</formula1>
    </dataValidation>
    <dataValidation type="list" allowBlank="1" showInputMessage="1" showErrorMessage="1" sqref="B27:B50" xr:uid="{00000000-0002-0000-0000-000007000000}">
      <formula1>SpeciesCode</formula1>
    </dataValidation>
    <dataValidation type="list" allowBlank="1" showInputMessage="1" showErrorMessage="1" sqref="BQ44:BQ50 BP27:BP50" xr:uid="{00000000-0002-0000-0000-000008000000}">
      <formula1>QualInfoScoreCode</formula1>
    </dataValidation>
    <dataValidation type="whole" operator="greaterThan" allowBlank="1" showInputMessage="1" showErrorMessage="1" sqref="A27:A50" xr:uid="{00000000-0002-0000-0000-000009000000}">
      <formula1>0</formula1>
    </dataValidation>
    <dataValidation type="textLength" operator="lessThanOrEqual" allowBlank="1" showInputMessage="1" showErrorMessage="1" sqref="D27:G50" xr:uid="{00000000-0002-0000-0000-00000A000000}">
      <formula1>10</formula1>
    </dataValidation>
    <dataValidation type="date" operator="lessThan" allowBlank="1" showInputMessage="1" showErrorMessage="1" errorTitle="Valid date (required)" error="(yyyy-mm-dd)" sqref="I27:I50 AN27:AN50" xr:uid="{00000000-0002-0000-0000-00000B000000}">
      <formula1>NOW()</formula1>
    </dataValidation>
    <dataValidation type="list" allowBlank="1" showInputMessage="1" showErrorMessage="1" sqref="N27:N50 AS27:AS50" xr:uid="{00000000-0002-0000-0000-00000C000000}">
      <formula1>VesselID</formula1>
    </dataValidation>
    <dataValidation type="date" operator="greaterThanOrEqual" allowBlank="1" showInputMessage="1" showErrorMessage="1" sqref="M5:N5" xr:uid="{00000000-0002-0000-0000-00000D000000}">
      <formula1>DATE(YEAR(NOW()),1,1)</formula1>
    </dataValidation>
    <dataValidation type="textLength" allowBlank="1" showInputMessage="1" showErrorMessage="1" sqref="M6:N6" xr:uid="{00000000-0002-0000-0000-00000E000000}">
      <formula1>9</formula1>
      <formula2>9</formula2>
    </dataValidation>
    <dataValidation type="decimal" allowBlank="1" showInputMessage="1" showErrorMessage="1" sqref="K27:K50 AP27:AP50" xr:uid="{00000000-0002-0000-0000-00000F000000}">
      <formula1>-90</formula1>
      <formula2>90</formula2>
    </dataValidation>
    <dataValidation type="decimal" allowBlank="1" showInputMessage="1" showErrorMessage="1" sqref="L27:L50 AQ27:AQ50" xr:uid="{00000000-0002-0000-0000-000010000000}">
      <formula1>-105</formula1>
      <formula2>50</formula2>
    </dataValidation>
    <dataValidation type="list" allowBlank="1" showInputMessage="1" showErrorMessage="1" sqref="O27:O50 AT27:AT50" xr:uid="{00000000-0002-0000-0000-000011000000}">
      <formula1>GearCode</formula1>
    </dataValidation>
    <dataValidation type="list" allowBlank="1" showInputMessage="1" showErrorMessage="1" sqref="P27:P50 AU27:AU50" xr:uid="{00000000-0002-0000-0000-000012000000}">
      <formula1>SchoolTypeCode</formula1>
    </dataValidation>
    <dataValidation type="list" allowBlank="1" showInputMessage="1" showErrorMessage="1" sqref="R27:R50" xr:uid="{00000000-0002-0000-0000-000013000000}">
      <formula1>BaitTypeCode</formula1>
    </dataValidation>
    <dataValidation type="decimal" operator="greaterThanOrEqual" allowBlank="1" showInputMessage="1" showErrorMessage="1" sqref="S27:S50 AG27:AG50" xr:uid="{00000000-0002-0000-0000-000014000000}">
      <formula1>0</formula1>
    </dataValidation>
    <dataValidation type="decimal" allowBlank="1" showInputMessage="1" showErrorMessage="1" sqref="T27:T50 AX27:AX50" xr:uid="{00000000-0002-0000-0000-000015000000}">
      <formula1>10</formula1>
      <formula2>400</formula2>
    </dataValidation>
    <dataValidation type="list" allowBlank="1" showInputMessage="1" showErrorMessage="1" sqref="U27:U50 AY27:AY50" xr:uid="{00000000-0002-0000-0000-000016000000}">
      <formula1>LenTypeCode</formula1>
    </dataValidation>
    <dataValidation type="list" allowBlank="1" showInputMessage="1" showErrorMessage="1" sqref="V27:V50 AZ27:AZ50" xr:uid="{00000000-0002-0000-0000-000017000000}">
      <formula1>LenMethodCode</formula1>
    </dataValidation>
    <dataValidation type="decimal" allowBlank="1" showInputMessage="1" showErrorMessage="1" sqref="W27:W50 BA27:BA50" xr:uid="{00000000-0002-0000-0000-000018000000}">
      <formula1>1</formula1>
      <formula2>850</formula2>
    </dataValidation>
    <dataValidation type="list" allowBlank="1" showInputMessage="1" showErrorMessage="1" sqref="Y27:Y50 BC27:BC50" xr:uid="{00000000-0002-0000-0000-000019000000}">
      <formula1>WgtMethodCode</formula1>
    </dataValidation>
    <dataValidation type="list" allowBlank="1" showInputMessage="1" showErrorMessage="1" sqref="X27:X50 BB27:BB50" xr:uid="{00000000-0002-0000-0000-00001A000000}">
      <formula1>WgtTypeCode</formula1>
    </dataValidation>
    <dataValidation type="list" allowBlank="1" showInputMessage="1" showErrorMessage="1" sqref="Z27:AF50 BD27:BJ50" xr:uid="{00000000-0002-0000-0000-00001B000000}">
      <formula1>InjuryStateCode</formula1>
    </dataValidation>
    <dataValidation type="list" allowBlank="1" showInputMessage="1" showErrorMessage="1" sqref="AH27:AH50" xr:uid="{00000000-0002-0000-0000-00001C000000}">
      <formula1>DSeaStateID</formula1>
    </dataValidation>
    <dataValidation type="list" allowBlank="1" showInputMessage="1" showErrorMessage="1" sqref="AI27:AI50" xr:uid="{00000000-0002-0000-0000-00001D000000}">
      <formula1>BWindSpeedID</formula1>
    </dataValidation>
    <dataValidation type="decimal" allowBlank="1" showInputMessage="1" showErrorMessage="1" sqref="AJ27:AJ50" xr:uid="{00000000-0002-0000-0000-00001E000000}">
      <formula1>0</formula1>
      <formula2>100</formula2>
    </dataValidation>
    <dataValidation type="list" allowBlank="1" showInputMessage="1" showErrorMessage="1" sqref="AK27:AK50 BL27:BL50" xr:uid="{00000000-0002-0000-0000-00001F000000}">
      <formula1>PersonID</formula1>
    </dataValidation>
    <dataValidation type="list" allowBlank="1" showInputMessage="1" showErrorMessage="1" sqref="AL27:AL50 BM27:BN50" xr:uid="{00000000-0002-0000-0000-000020000000}">
      <formula1>"Y,N"</formula1>
    </dataValidation>
    <dataValidation type="time" operator="lessThanOrEqual" allowBlank="1" showInputMessage="1" showErrorMessage="1" sqref="J27:J50 AO27:AO50" xr:uid="{00000000-0002-0000-0000-000021000000}">
      <formula1>0.999305555555556</formula1>
    </dataValidation>
    <dataValidation type="list" allowBlank="1" showInputMessage="1" showErrorMessage="1" sqref="AW27:AW50" xr:uid="{00000000-0002-0000-0000-000022000000}">
      <formula1>RecPlaceCode</formula1>
    </dataValidation>
    <dataValidation type="decimal" operator="greaterThan" allowBlank="1" showInputMessage="1" showErrorMessage="1" sqref="BK27:BK50" xr:uid="{00000000-0002-0000-0000-000023000000}">
      <formula1>0</formula1>
    </dataValidation>
    <dataValidation type="whole" allowBlank="1" showInputMessage="1" showErrorMessage="1" sqref="Q6:Q8" xr:uid="{A6D6B617-E9CD-4B35-9B36-A75CE1C68DCB}">
      <formula1>0</formula1>
      <formula2>1</formula2>
    </dataValidation>
  </dataValidations>
  <hyperlinks>
    <hyperlink ref="A12:B12" location="FlagName" display="FlagName" xr:uid="{00000000-0004-0000-0000-000000000000}"/>
    <hyperlink ref="F9" location="FlagName" display="FlagName" xr:uid="{00000000-0004-0000-0000-000001000000}"/>
    <hyperlink ref="P4:R4" location="filters!A1" display="filters!A1" xr:uid="{00000000-0004-0000-0000-000002000000}"/>
    <hyperlink ref="E15" location="TG02B!A1" display="TG02B!A1" xr:uid="{00000000-0004-0000-0000-000003000000}"/>
    <hyperlink ref="E17" location="TG02C!A1" display="TG02C!A1" xr:uid="{00000000-0004-0000-0000-000004000000}"/>
    <hyperlink ref="B24" location="SpeciesCode" display="SpeciesCode" xr:uid="{00000000-0004-0000-0000-000005000000}"/>
    <hyperlink ref="C24" location="SexCode" display="SexCode" xr:uid="{00000000-0004-0000-0000-000006000000}"/>
    <hyperlink ref="H24" location="RCStageCode" display="RCStageCode" xr:uid="{00000000-0004-0000-0000-000007000000}"/>
    <hyperlink ref="A17:B17" location="Version" display="Version" xr:uid="{00000000-0004-0000-0000-000008000000}"/>
    <hyperlink ref="A18:B18" location="Content" display="Content" xr:uid="{00000000-0004-0000-0000-000009000000}"/>
    <hyperlink ref="N24" location="VesselID" display="VesselID" xr:uid="{00000000-0004-0000-0000-00000A000000}"/>
    <hyperlink ref="O24" location="GearCode" display="GearCode" xr:uid="{00000000-0004-0000-0000-00000B000000}"/>
    <hyperlink ref="P24" location="SchoolTypeCode" display="SchoolTypeCode" xr:uid="{00000000-0004-0000-0000-00000C000000}"/>
    <hyperlink ref="R24" location="BaitTypeCode" display="BaitTypeCode" xr:uid="{00000000-0004-0000-0000-00000D000000}"/>
    <hyperlink ref="U24" location="LenTypeCode" display="LenTypeCode" xr:uid="{00000000-0004-0000-0000-00000E000000}"/>
    <hyperlink ref="V24" location="LenMethodCode" display="LenMethodCode" xr:uid="{00000000-0004-0000-0000-00000F000000}"/>
    <hyperlink ref="X24" location="WgtTypeCode" display="WgtTypeCode" xr:uid="{00000000-0004-0000-0000-000010000000}"/>
    <hyperlink ref="Y24" location="WgtMethodCode" display="WgtMethodCode" xr:uid="{00000000-0004-0000-0000-000011000000}"/>
    <hyperlink ref="Z23:AF23" location="InjuryStateCode" display="InjuryStateCode" xr:uid="{00000000-0004-0000-0000-000012000000}"/>
    <hyperlink ref="AJ23" location="SkyCoverageCode" display="SkyCoverageCode" xr:uid="{00000000-0004-0000-0000-000013000000}"/>
    <hyperlink ref="AG23:AH23" location="DSeaStateID" display="DSeaStateID" xr:uid="{00000000-0004-0000-0000-000014000000}"/>
    <hyperlink ref="AI23" location="BWindSpeedID" display="BWindSpeedID" xr:uid="{00000000-0004-0000-0000-000015000000}"/>
    <hyperlink ref="AT24" location="GearCode" display="GearCode" xr:uid="{00000000-0004-0000-0000-000016000000}"/>
    <hyperlink ref="AU24" location="SchoolTypeCode" display="SchoolTypeCode" xr:uid="{00000000-0004-0000-0000-000017000000}"/>
    <hyperlink ref="AW24" location="RecPlaceCode" display="RecPlaceCode" xr:uid="{00000000-0004-0000-0000-000018000000}"/>
    <hyperlink ref="AY24" location="LenTypeCode" display="LenTypeCode" xr:uid="{00000000-0004-0000-0000-000019000000}"/>
    <hyperlink ref="AZ24" location="LenMethodCode" display="LenMethodCode" xr:uid="{00000000-0004-0000-0000-00001A000000}"/>
    <hyperlink ref="BB24" location="WgtTypeCode" display="WgtTypeCode" xr:uid="{00000000-0004-0000-0000-00001B000000}"/>
    <hyperlink ref="BC24" location="WgtMethodCode" display="WgtMethodCode" xr:uid="{00000000-0004-0000-0000-00001C000000}"/>
    <hyperlink ref="BD23:BJ23" location="InjuryStateCode" display="InjuryStateCode" xr:uid="{00000000-0004-0000-0000-00001D000000}"/>
    <hyperlink ref="K24" location="fmtLatitude" display="fmtLatitude" xr:uid="{00000000-0004-0000-0000-00001E000000}"/>
    <hyperlink ref="L24" location="fmtLongitude" display="fmtLongitude" xr:uid="{00000000-0004-0000-0000-00001F000000}"/>
    <hyperlink ref="AK24" location="PersonID" display="PersonID" xr:uid="{00000000-0004-0000-0000-000020000000}"/>
    <hyperlink ref="AS24" location="VesselID" display="VesselID" xr:uid="{00000000-0004-0000-0000-000021000000}"/>
    <hyperlink ref="BL24" location="PersonID" display="PersonID" xr:uid="{00000000-0004-0000-0000-000022000000}"/>
    <hyperlink ref="D23:G23" location="fmtTagCodes" display="fmtTagCodes" xr:uid="{00000000-0004-0000-0000-000023000000}"/>
    <hyperlink ref="AP24" location="fmtLatitude" display="fmtLatitude" xr:uid="{00000000-0004-0000-0000-000024000000}"/>
    <hyperlink ref="AQ24" location="fmtLongitude" display="fmtLongitude" xr:uid="{00000000-0004-0000-0000-000025000000}"/>
    <hyperlink ref="E15:E16" location="TG02B!A20" display="TG02B!A20" xr:uid="{00000000-0004-0000-0000-000026000000}"/>
    <hyperlink ref="E17:E18" location="TG02C!A20" display="TG02C!A20" xr:uid="{00000000-0004-0000-0000-000027000000}"/>
  </hyperlinks>
  <pageMargins left="0.27559055118110237" right="0.27559055118110237" top="0.43307086614173229" bottom="0.44" header="0.31496062992125984" footer="0.31496062992125984"/>
  <pageSetup paperSize="9" scale="31" fitToWidth="2" orientation="landscape" r:id="rId1"/>
  <colBreaks count="1" manualBreakCount="1">
    <brk id="40" max="1048575" man="1"/>
  </colBreaks>
  <ignoredErrors>
    <ignoredError sqref="H25 AV25 AK25 BO25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970"/>
  <sheetViews>
    <sheetView zoomScaleNormal="100" workbookViewId="0">
      <selection activeCell="B20" sqref="B20"/>
    </sheetView>
  </sheetViews>
  <sheetFormatPr defaultColWidth="9.109375" defaultRowHeight="12" x14ac:dyDescent="0.25"/>
  <cols>
    <col min="1" max="1" width="9" style="2" bestFit="1" customWidth="1"/>
    <col min="2" max="2" width="24.33203125" style="29" bestFit="1" customWidth="1"/>
    <col min="3" max="3" width="14.5546875" style="29" bestFit="1" customWidth="1"/>
    <col min="4" max="4" width="18.44140625" style="2" bestFit="1" customWidth="1"/>
    <col min="5" max="5" width="7.44140625" style="2" bestFit="1" customWidth="1"/>
    <col min="6" max="6" width="7.33203125" style="2" bestFit="1" customWidth="1"/>
    <col min="7" max="7" width="6.6640625" style="2" bestFit="1" customWidth="1"/>
    <col min="8" max="8" width="8.109375" style="2" bestFit="1" customWidth="1"/>
    <col min="9" max="9" width="8.33203125" style="2" bestFit="1" customWidth="1"/>
    <col min="10" max="10" width="30.33203125" style="2" bestFit="1" customWidth="1"/>
    <col min="11" max="11" width="5.33203125" style="2" bestFit="1" customWidth="1"/>
    <col min="12" max="12" width="10" style="2" customWidth="1"/>
    <col min="13" max="16384" width="9.109375" style="2"/>
  </cols>
  <sheetData>
    <row r="1" spans="1:12" s="194" customFormat="1" x14ac:dyDescent="0.25">
      <c r="A1" s="404" t="str">
        <f>+TG02A!A1</f>
        <v>TG02-CnvTReRc</v>
      </c>
      <c r="B1" s="405"/>
      <c r="C1" s="408" t="str">
        <f>+TG02A!C1</f>
        <v>Conventional Tag release-recovery data</v>
      </c>
      <c r="D1" s="408"/>
      <c r="E1" s="408"/>
      <c r="F1" s="408"/>
      <c r="G1" s="408"/>
      <c r="H1" s="408"/>
      <c r="I1" s="408"/>
      <c r="J1" s="408"/>
      <c r="K1" s="198" t="str">
        <f>+TG02A!Q1</f>
        <v>Version</v>
      </c>
      <c r="L1" s="199" t="str">
        <f>+TG02A!R1</f>
        <v>Language</v>
      </c>
    </row>
    <row r="2" spans="1:12" s="194" customFormat="1" x14ac:dyDescent="0.25">
      <c r="A2" s="406"/>
      <c r="B2" s="407"/>
      <c r="C2" s="409" t="str">
        <f>+TG02A!C2</f>
        <v>ICCAT: INTERNATIONAL COMMISSION FOR THE CONSERVATION OF ATLANTIC TUNAS</v>
      </c>
      <c r="D2" s="409"/>
      <c r="E2" s="409"/>
      <c r="F2" s="409"/>
      <c r="G2" s="409"/>
      <c r="H2" s="409"/>
      <c r="I2" s="409"/>
      <c r="J2" s="409"/>
      <c r="K2" s="200" t="str">
        <f>+TG02A!Q2</f>
        <v>2020a</v>
      </c>
      <c r="L2" s="201" t="str">
        <f>+TG02A!R2</f>
        <v>ENG</v>
      </c>
    </row>
    <row r="3" spans="1:12" s="272" customFormat="1" ht="10.199999999999999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272" customFormat="1" ht="10.199999999999999" x14ac:dyDescent="0.2">
      <c r="A4" s="424" t="str">
        <f>+TG02A!A11</f>
        <v>Data set characteristics</v>
      </c>
      <c r="B4" s="425"/>
      <c r="C4" s="425"/>
      <c r="D4" s="425"/>
      <c r="E4" s="300"/>
      <c r="F4" s="300"/>
      <c r="G4" s="300"/>
      <c r="H4" s="300"/>
      <c r="I4" s="300"/>
      <c r="J4" s="273"/>
      <c r="K4" s="273"/>
      <c r="L4" s="274"/>
    </row>
    <row r="5" spans="1:12" s="272" customFormat="1" ht="12" customHeight="1" x14ac:dyDescent="0.2">
      <c r="A5" s="422" t="str">
        <f>+TG02A!A12</f>
        <v>Reporting Flag</v>
      </c>
      <c r="B5" s="423"/>
      <c r="C5" s="275" t="str">
        <f>IF(TG02A!C12&gt;0,+TG02A!C12,"")</f>
        <v/>
      </c>
      <c r="D5" s="275"/>
      <c r="E5" s="412" t="str">
        <f>+TG02A!E12</f>
        <v>Sub-form / Description</v>
      </c>
      <c r="F5" s="413"/>
      <c r="G5" s="413"/>
      <c r="H5" s="413"/>
      <c r="I5" s="413"/>
      <c r="J5" s="413"/>
      <c r="K5" s="414"/>
      <c r="L5" s="276"/>
    </row>
    <row r="6" spans="1:12" s="272" customFormat="1" ht="10.199999999999999" x14ac:dyDescent="0.2">
      <c r="A6" s="277"/>
      <c r="B6" s="278"/>
      <c r="C6" s="64"/>
      <c r="D6" s="64"/>
      <c r="E6" s="339" t="str">
        <f>+TG02A!E13</f>
        <v>TG02A</v>
      </c>
      <c r="F6" s="415" t="str">
        <f>+TG02A!F13</f>
        <v>Conventional tagging events (releases/recaptures)</v>
      </c>
      <c r="G6" s="415"/>
      <c r="H6" s="415"/>
      <c r="I6" s="415"/>
      <c r="J6" s="415"/>
      <c r="K6" s="416"/>
      <c r="L6" s="279"/>
    </row>
    <row r="7" spans="1:12" s="272" customFormat="1" ht="10.199999999999999" x14ac:dyDescent="0.2">
      <c r="A7" s="277"/>
      <c r="B7" s="278"/>
      <c r="C7" s="64"/>
      <c r="D7" s="64"/>
      <c r="E7" s="340"/>
      <c r="F7" s="417"/>
      <c r="G7" s="417"/>
      <c r="H7" s="417"/>
      <c r="I7" s="417"/>
      <c r="J7" s="417"/>
      <c r="K7" s="418"/>
      <c r="L7" s="279"/>
    </row>
    <row r="8" spans="1:12" s="272" customFormat="1" ht="10.199999999999999" x14ac:dyDescent="0.2">
      <c r="A8" s="277"/>
      <c r="B8" s="278"/>
      <c r="C8" s="64"/>
      <c r="D8" s="64"/>
      <c r="E8" s="410" t="str">
        <f>+TG02A!E15</f>
        <v>TG02B</v>
      </c>
      <c r="F8" s="419" t="str">
        <f>+TG02A!F15</f>
        <v>Vessels involved in tagging experiments</v>
      </c>
      <c r="G8" s="419"/>
      <c r="H8" s="419"/>
      <c r="I8" s="419"/>
      <c r="J8" s="419"/>
      <c r="K8" s="419"/>
      <c r="L8" s="279"/>
    </row>
    <row r="9" spans="1:12" s="272" customFormat="1" ht="10.199999999999999" x14ac:dyDescent="0.2">
      <c r="A9" s="422" t="str">
        <f>+TG02A!A17</f>
        <v>Version reported</v>
      </c>
      <c r="B9" s="423"/>
      <c r="C9" s="275" t="str">
        <f>IF(TG02A!C17&gt;0,+TG02A!C17,"")</f>
        <v>Preliminary</v>
      </c>
      <c r="D9" s="64"/>
      <c r="E9" s="411"/>
      <c r="F9" s="419"/>
      <c r="G9" s="419"/>
      <c r="H9" s="419"/>
      <c r="I9" s="419"/>
      <c r="J9" s="419"/>
      <c r="K9" s="419"/>
      <c r="L9" s="317"/>
    </row>
    <row r="10" spans="1:12" s="272" customFormat="1" ht="10.199999999999999" x14ac:dyDescent="0.2">
      <c r="A10" s="422" t="str">
        <f>+TG02A!A18</f>
        <v>Content (data)</v>
      </c>
      <c r="B10" s="423"/>
      <c r="C10" s="275" t="str">
        <f>IF(TG02A!C18&gt;0,+TG02A!C18,"")</f>
        <v>Revision (FULL)</v>
      </c>
      <c r="D10" s="64"/>
      <c r="E10" s="339" t="str">
        <f>+TG02A!E17</f>
        <v>TG02C</v>
      </c>
      <c r="F10" s="426" t="str">
        <f>+TG02A!F17</f>
        <v>Persons (taggers/recapturers) involved in tagging experiments</v>
      </c>
      <c r="G10" s="426"/>
      <c r="H10" s="426"/>
      <c r="I10" s="426"/>
      <c r="J10" s="426"/>
      <c r="K10" s="427"/>
      <c r="L10" s="317"/>
    </row>
    <row r="11" spans="1:12" s="272" customFormat="1" ht="10.199999999999999" x14ac:dyDescent="0.2">
      <c r="A11" s="277"/>
      <c r="B11" s="278"/>
      <c r="C11" s="64"/>
      <c r="D11" s="64"/>
      <c r="E11" s="340"/>
      <c r="F11" s="428"/>
      <c r="G11" s="428"/>
      <c r="H11" s="428"/>
      <c r="I11" s="428"/>
      <c r="J11" s="428"/>
      <c r="K11" s="429"/>
      <c r="L11" s="317"/>
    </row>
    <row r="12" spans="1:12" s="272" customFormat="1" ht="10.199999999999999" x14ac:dyDescent="0.2">
      <c r="A12" s="280"/>
      <c r="B12" s="318"/>
      <c r="C12" s="318"/>
      <c r="D12" s="281"/>
      <c r="E12" s="281"/>
      <c r="F12" s="281"/>
      <c r="G12" s="281"/>
      <c r="H12" s="281"/>
      <c r="I12" s="281"/>
      <c r="J12" s="281"/>
      <c r="K12" s="64"/>
      <c r="L12" s="282"/>
    </row>
    <row r="13" spans="1:12" s="272" customFormat="1" ht="12" customHeight="1" x14ac:dyDescent="0.2">
      <c r="A13" s="280"/>
      <c r="B13" s="318"/>
      <c r="C13" s="318"/>
      <c r="D13" s="281"/>
      <c r="E13" s="430" t="str">
        <f>VLOOKUP("H01a",tblTrans3Langs[#Data],LangNameID,FALSE)</f>
        <v>(This complementary information is confidential and will only be used on the ICCAT lottery sytem)</v>
      </c>
      <c r="F13" s="430"/>
      <c r="G13" s="430"/>
      <c r="H13" s="430"/>
      <c r="I13" s="430"/>
      <c r="J13" s="430"/>
      <c r="K13" s="430"/>
      <c r="L13" s="431"/>
    </row>
    <row r="14" spans="1:12" s="272" customFormat="1" ht="10.199999999999999" x14ac:dyDescent="0.2">
      <c r="A14" s="85"/>
      <c r="B14" s="298"/>
      <c r="C14" s="298"/>
      <c r="D14" s="298"/>
      <c r="E14" s="432"/>
      <c r="F14" s="432"/>
      <c r="G14" s="432"/>
      <c r="H14" s="432"/>
      <c r="I14" s="432"/>
      <c r="J14" s="432"/>
      <c r="K14" s="432"/>
      <c r="L14" s="433"/>
    </row>
    <row r="15" spans="1:12" s="272" customFormat="1" ht="10.199999999999999" x14ac:dyDescent="0.2">
      <c r="B15" s="319"/>
      <c r="C15" s="319"/>
    </row>
    <row r="16" spans="1:12" s="272" customFormat="1" ht="10.199999999999999" x14ac:dyDescent="0.2">
      <c r="A16" s="421" t="str">
        <f>VLOOKUP("D60",tblTrans3Langs[#Data],LangFieldID,FALSE)</f>
        <v>Vessel identification</v>
      </c>
      <c r="B16" s="421"/>
      <c r="C16" s="421"/>
      <c r="D16" s="421"/>
      <c r="E16" s="421"/>
      <c r="F16" s="421"/>
      <c r="G16" s="421"/>
      <c r="H16" s="420" t="str">
        <f>VLOOKUP("D70",tblTrans3Langs[#Data],LangFieldID,FALSE)</f>
        <v>Listed in section</v>
      </c>
      <c r="I16" s="420"/>
      <c r="J16" s="299" t="str">
        <f>VLOOKUP("D80",tblTrans3Langs[#Data],LangFieldID,FALSE)</f>
        <v>Other</v>
      </c>
    </row>
    <row r="17" spans="1:10" s="272" customFormat="1" ht="10.199999999999999" x14ac:dyDescent="0.2">
      <c r="A17" s="283" t="str">
        <f>VLOOKUP(A$19,tblTrans3Langs[#Data],LangFieldID,FALSE)</f>
        <v>ID</v>
      </c>
      <c r="B17" s="283" t="str">
        <f>VLOOKUP(B$19,tblTrans3Langs[#Data],LangFieldID,FALSE)</f>
        <v>Name</v>
      </c>
      <c r="C17" s="284" t="str">
        <f>VLOOKUP(C$19,tblTrans3Langs[#Data],LangFieldID,FALSE)</f>
        <v>Flag cod.</v>
      </c>
      <c r="D17" s="283" t="str">
        <f>VLOOKUP(D$19,tblTrans3Langs[#Data],LangFieldID,FALSE)</f>
        <v>Base port/zone</v>
      </c>
      <c r="E17" s="284" t="str">
        <f>VLOOKUP(E$19,tblTrans3Langs[#Data],LangFieldID,FALSE)</f>
        <v>Gear cod.</v>
      </c>
      <c r="F17" s="283" t="str">
        <f>VLOOKUP(F$19,tblTrans3Langs[#Data],LangFieldID,FALSE)</f>
        <v>LOA (m)</v>
      </c>
      <c r="G17" s="283" t="str">
        <f>VLOOKUP(G$19,tblTrans3Langs[#Data],LangFieldID,FALSE)</f>
        <v>GRT (t)</v>
      </c>
      <c r="H17" s="283" t="str">
        <f>VLOOKUP(H$19,tblTrans3Langs[#Data],LangFieldID,FALSE)</f>
        <v>Release</v>
      </c>
      <c r="I17" s="283" t="str">
        <f>VLOOKUP(I$19,tblTrans3Langs[#Data],LangFieldID,FALSE)</f>
        <v>Recovery</v>
      </c>
      <c r="J17" s="283" t="str">
        <f>VLOOKUP(J$19,tblTrans3Langs[#Data],LangFieldID,FALSE)</f>
        <v>Remarks (vessel)</v>
      </c>
    </row>
    <row r="18" spans="1:10" s="286" customFormat="1" ht="10.199999999999999" x14ac:dyDescent="0.2">
      <c r="A18" s="285" t="str">
        <f>REPT("+",6)</f>
        <v>++++++</v>
      </c>
      <c r="B18" s="285" t="str">
        <f>REPT("+",40)</f>
        <v>++++++++++++++++++++++++++++++++++++++++</v>
      </c>
      <c r="C18" s="285" t="str">
        <f>REPT("+",10)</f>
        <v>++++++++++</v>
      </c>
      <c r="D18" s="285" t="str">
        <f>REPT("+",30)</f>
        <v>++++++++++++++++++++++++++++++</v>
      </c>
      <c r="E18" s="285" t="str">
        <f>REPT("+",8)</f>
        <v>++++++++</v>
      </c>
      <c r="F18" s="285" t="str">
        <f>REPT("+",10)</f>
        <v>++++++++++</v>
      </c>
      <c r="G18" s="285" t="str">
        <f>REPT("+",10)</f>
        <v>++++++++++</v>
      </c>
      <c r="H18" s="285" t="str">
        <f>REPT("+",10)</f>
        <v>++++++++++</v>
      </c>
      <c r="I18" s="285" t="str">
        <f>REPT("+",10)</f>
        <v>++++++++++</v>
      </c>
      <c r="J18" s="285" t="str">
        <f>REPT("+",50)</f>
        <v>++++++++++++++++++++++++++++++++++++++++++++++++++</v>
      </c>
    </row>
    <row r="19" spans="1:10" s="287" customFormat="1" ht="10.199999999999999" x14ac:dyDescent="0.2">
      <c r="A19" s="238" t="s">
        <v>2112</v>
      </c>
      <c r="B19" s="238" t="s">
        <v>2162</v>
      </c>
      <c r="C19" s="239" t="s">
        <v>2164</v>
      </c>
      <c r="D19" s="238" t="s">
        <v>2163</v>
      </c>
      <c r="E19" s="238" t="s">
        <v>1941</v>
      </c>
      <c r="F19" s="238" t="s">
        <v>2166</v>
      </c>
      <c r="G19" s="238" t="s">
        <v>2165</v>
      </c>
      <c r="H19" s="238" t="s">
        <v>2167</v>
      </c>
      <c r="I19" s="238" t="s">
        <v>2168</v>
      </c>
      <c r="J19" s="238" t="s">
        <v>2206</v>
      </c>
    </row>
    <row r="20" spans="1:10" x14ac:dyDescent="0.25">
      <c r="A20" s="58">
        <v>1</v>
      </c>
      <c r="B20" s="57"/>
      <c r="C20" s="57"/>
      <c r="D20" s="58"/>
      <c r="E20" s="58"/>
      <c r="F20" s="58"/>
      <c r="G20" s="58"/>
      <c r="H20" s="58"/>
      <c r="I20" s="58"/>
      <c r="J20" s="58"/>
    </row>
    <row r="21" spans="1:10" x14ac:dyDescent="0.25">
      <c r="A21" s="58">
        <v>2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x14ac:dyDescent="0.25">
      <c r="A22" s="58">
        <v>3</v>
      </c>
      <c r="B22" s="57"/>
      <c r="C22" s="57"/>
      <c r="D22" s="58"/>
      <c r="E22" s="58"/>
      <c r="F22" s="58"/>
      <c r="G22" s="58"/>
      <c r="H22" s="58"/>
      <c r="I22" s="58"/>
      <c r="J22" s="58"/>
    </row>
    <row r="23" spans="1:10" x14ac:dyDescent="0.25">
      <c r="A23" s="58">
        <v>4</v>
      </c>
      <c r="B23" s="57"/>
      <c r="C23" s="57"/>
      <c r="D23" s="58"/>
      <c r="E23" s="58"/>
      <c r="F23" s="58"/>
      <c r="G23" s="58"/>
      <c r="H23" s="58"/>
      <c r="I23" s="58"/>
      <c r="J23" s="58"/>
    </row>
    <row r="24" spans="1:10" x14ac:dyDescent="0.25">
      <c r="A24" s="58">
        <v>5</v>
      </c>
      <c r="B24" s="57"/>
      <c r="C24" s="57"/>
      <c r="D24" s="58"/>
      <c r="E24" s="58"/>
      <c r="F24" s="58"/>
      <c r="G24" s="58"/>
      <c r="H24" s="58"/>
      <c r="I24" s="58"/>
      <c r="J24" s="58"/>
    </row>
    <row r="25" spans="1:10" x14ac:dyDescent="0.25">
      <c r="A25" s="58">
        <v>6</v>
      </c>
      <c r="B25" s="57"/>
      <c r="C25" s="57"/>
      <c r="D25" s="58"/>
      <c r="E25" s="58"/>
      <c r="F25" s="58"/>
      <c r="G25" s="58"/>
      <c r="H25" s="58"/>
      <c r="I25" s="58"/>
      <c r="J25" s="58"/>
    </row>
    <row r="26" spans="1:10" x14ac:dyDescent="0.25">
      <c r="A26" s="58">
        <v>7</v>
      </c>
      <c r="B26" s="57"/>
      <c r="C26" s="57"/>
      <c r="D26" s="58"/>
      <c r="E26" s="58"/>
      <c r="F26" s="58"/>
      <c r="G26" s="58"/>
      <c r="H26" s="58"/>
      <c r="I26" s="58"/>
      <c r="J26" s="58"/>
    </row>
    <row r="27" spans="1:10" x14ac:dyDescent="0.25">
      <c r="A27" s="58">
        <v>8</v>
      </c>
      <c r="B27" s="57"/>
      <c r="C27" s="57"/>
      <c r="D27" s="58"/>
      <c r="E27" s="58"/>
      <c r="F27" s="58"/>
      <c r="G27" s="58"/>
      <c r="H27" s="58"/>
      <c r="I27" s="58"/>
      <c r="J27" s="58"/>
    </row>
    <row r="28" spans="1:10" x14ac:dyDescent="0.25">
      <c r="A28" s="58">
        <v>9</v>
      </c>
      <c r="B28" s="57"/>
      <c r="C28" s="57"/>
      <c r="D28" s="58"/>
      <c r="E28" s="58"/>
      <c r="F28" s="58"/>
      <c r="G28" s="58"/>
      <c r="H28" s="58"/>
      <c r="I28" s="58"/>
      <c r="J28" s="58"/>
    </row>
    <row r="29" spans="1:10" x14ac:dyDescent="0.25">
      <c r="A29" s="58">
        <v>10</v>
      </c>
      <c r="B29" s="57"/>
      <c r="C29" s="57"/>
      <c r="D29" s="58"/>
      <c r="E29" s="58"/>
      <c r="F29" s="58"/>
      <c r="G29" s="58"/>
      <c r="H29" s="58"/>
      <c r="I29" s="58"/>
      <c r="J29" s="58"/>
    </row>
    <row r="30" spans="1:10" x14ac:dyDescent="0.25">
      <c r="A30" s="58">
        <v>11</v>
      </c>
      <c r="B30" s="57"/>
      <c r="C30" s="57"/>
      <c r="D30" s="58"/>
      <c r="E30" s="58"/>
      <c r="F30" s="58"/>
      <c r="G30" s="58"/>
      <c r="H30" s="58"/>
      <c r="I30" s="58"/>
      <c r="J30" s="58"/>
    </row>
    <row r="970" spans="1:1" x14ac:dyDescent="0.25">
      <c r="A970" s="2" t="s">
        <v>1039</v>
      </c>
    </row>
  </sheetData>
  <sheetProtection algorithmName="SHA-512" hashValue="QeUBt+0lV2hcF6pT1j7Vkl5IoPgxSmI0r4ZaX2NGwgNzeqJlnF/mBLsanEqPJ5tJTT5pu5+1D/x33+jKpBSjnA==" saltValue="T4jbUjqTFcpijbSn4zX46w==" spinCount="100000" sheet="1" formatCells="0" formatRows="0" insertRows="0" deleteRows="0" autoFilter="0"/>
  <mergeCells count="17">
    <mergeCell ref="H16:I16"/>
    <mergeCell ref="A16:G16"/>
    <mergeCell ref="A10:B10"/>
    <mergeCell ref="A4:D4"/>
    <mergeCell ref="A5:B5"/>
    <mergeCell ref="A9:B9"/>
    <mergeCell ref="F10:K11"/>
    <mergeCell ref="E10:E11"/>
    <mergeCell ref="E13:L14"/>
    <mergeCell ref="A1:B2"/>
    <mergeCell ref="C1:J1"/>
    <mergeCell ref="C2:J2"/>
    <mergeCell ref="E6:E7"/>
    <mergeCell ref="E8:E9"/>
    <mergeCell ref="E5:K5"/>
    <mergeCell ref="F6:K7"/>
    <mergeCell ref="F8:K9"/>
  </mergeCells>
  <dataValidations count="3">
    <dataValidation type="list" allowBlank="1" showInputMessage="1" showErrorMessage="1" sqref="C20:C30" xr:uid="{00000000-0002-0000-0100-000000000000}">
      <formula1>FlagCode</formula1>
    </dataValidation>
    <dataValidation type="list" allowBlank="1" showInputMessage="1" showErrorMessage="1" sqref="E20:E30" xr:uid="{00000000-0002-0000-0100-000001000000}">
      <formula1>GearCode</formula1>
    </dataValidation>
    <dataValidation type="list" allowBlank="1" showInputMessage="1" showErrorMessage="1" sqref="H20:I30" xr:uid="{00000000-0002-0000-0100-000002000000}">
      <formula1>"Y,N"</formula1>
    </dataValidation>
  </dataValidations>
  <hyperlinks>
    <hyperlink ref="E10" location="TG02C!A1" display="TG02C!A1" xr:uid="{00000000-0004-0000-0100-000000000000}"/>
    <hyperlink ref="E6" location="TG02A!D1" display="TG02A!D1" xr:uid="{00000000-0004-0000-0100-000001000000}"/>
    <hyperlink ref="E6:E7" location="TG02A!A27" display="TG02A!A27" xr:uid="{00000000-0004-0000-0100-000002000000}"/>
    <hyperlink ref="E10:E11" location="TG02C!A20" display="TG02C!A20" xr:uid="{00000000-0004-0000-0100-000003000000}"/>
    <hyperlink ref="E17" location="GearCode" display="GearCode" xr:uid="{62D46469-1F4E-4339-9BF0-402209347C02}"/>
    <hyperlink ref="C17" location="FlagCode" display="FlagCode" xr:uid="{C3B075F8-18EC-4448-87A4-7132EEEBC05E}"/>
  </hyperlinks>
  <pageMargins left="0.39370078740157483" right="0.35433070866141736" top="0.74803149606299213" bottom="0.47244094488188981" header="0.31496062992125984" footer="0.31496062992125984"/>
  <pageSetup paperSize="9" scale="6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L31"/>
  <sheetViews>
    <sheetView zoomScale="85" zoomScaleNormal="85" workbookViewId="0">
      <selection activeCell="B20" sqref="B20:J20"/>
    </sheetView>
  </sheetViews>
  <sheetFormatPr defaultColWidth="5.109375" defaultRowHeight="12" x14ac:dyDescent="0.25"/>
  <cols>
    <col min="1" max="1" width="12.33203125" style="2" bestFit="1" customWidth="1"/>
    <col min="2" max="2" width="16.33203125" style="2" bestFit="1" customWidth="1"/>
    <col min="3" max="3" width="19.88671875" style="2" bestFit="1" customWidth="1"/>
    <col min="4" max="5" width="35.6640625" style="2" bestFit="1" customWidth="1"/>
    <col min="6" max="6" width="18.33203125" style="2" bestFit="1" customWidth="1"/>
    <col min="7" max="7" width="11.33203125" style="2" bestFit="1" customWidth="1"/>
    <col min="8" max="8" width="12.5546875" style="2" bestFit="1" customWidth="1"/>
    <col min="9" max="9" width="12.88671875" style="2" bestFit="1" customWidth="1"/>
    <col min="10" max="10" width="44.5546875" style="2" bestFit="1" customWidth="1"/>
    <col min="11" max="11" width="7" style="2" bestFit="1" customWidth="1"/>
    <col min="12" max="12" width="8.109375" style="2" customWidth="1"/>
    <col min="13" max="16384" width="5.109375" style="2"/>
  </cols>
  <sheetData>
    <row r="1" spans="1:12" s="176" customFormat="1" ht="20.399999999999999" x14ac:dyDescent="0.2">
      <c r="A1" s="446" t="str">
        <f>+TG02A!A1</f>
        <v>TG02-CnvTReRc</v>
      </c>
      <c r="B1" s="447"/>
      <c r="C1" s="362" t="str">
        <f>+TG02A!C1</f>
        <v>Conventional Tag release-recovery data</v>
      </c>
      <c r="D1" s="362"/>
      <c r="E1" s="362"/>
      <c r="F1" s="362"/>
      <c r="G1" s="362"/>
      <c r="H1" s="362"/>
      <c r="I1" s="362"/>
      <c r="J1" s="362"/>
      <c r="K1" s="174" t="str">
        <f>+TG02A!Q1</f>
        <v>Version</v>
      </c>
      <c r="L1" s="175" t="str">
        <f>+TG02A!R1</f>
        <v>Language</v>
      </c>
    </row>
    <row r="2" spans="1:12" s="176" customFormat="1" ht="11.4" x14ac:dyDescent="0.2">
      <c r="A2" s="448"/>
      <c r="B2" s="449"/>
      <c r="C2" s="450" t="str">
        <f>+TG02A!C2</f>
        <v>ICCAT: INTERNATIONAL COMMISSION FOR THE CONSERVATION OF ATLANTIC TUNAS</v>
      </c>
      <c r="D2" s="450"/>
      <c r="E2" s="450"/>
      <c r="F2" s="450"/>
      <c r="G2" s="450"/>
      <c r="H2" s="450"/>
      <c r="I2" s="450"/>
      <c r="J2" s="450"/>
      <c r="K2" s="177" t="str">
        <f>+TG02A!Q2</f>
        <v>2020a</v>
      </c>
      <c r="L2" s="178" t="str">
        <f>+TG02A!R2</f>
        <v>ENG</v>
      </c>
    </row>
    <row r="3" spans="1:12" s="182" customFormat="1" ht="17.399999999999999" x14ac:dyDescent="0.2">
      <c r="A3" s="179"/>
      <c r="B3" s="179"/>
      <c r="C3" s="180"/>
      <c r="D3" s="180"/>
      <c r="E3" s="180"/>
      <c r="F3" s="180"/>
      <c r="G3" s="180"/>
      <c r="H3" s="180"/>
      <c r="I3" s="180"/>
      <c r="J3" s="180"/>
      <c r="K3" s="181"/>
      <c r="L3" s="181"/>
    </row>
    <row r="4" spans="1:12" s="182" customFormat="1" x14ac:dyDescent="0.2">
      <c r="A4" s="451" t="str">
        <f>+TG02A!A11</f>
        <v>Data set characteristics</v>
      </c>
      <c r="B4" s="452"/>
      <c r="C4" s="452"/>
      <c r="D4" s="452"/>
      <c r="E4" s="252"/>
      <c r="F4" s="252"/>
      <c r="G4" s="252"/>
      <c r="H4" s="252"/>
      <c r="I4" s="252"/>
      <c r="J4" s="183"/>
      <c r="K4" s="181"/>
      <c r="L4" s="181"/>
    </row>
    <row r="5" spans="1:12" s="182" customFormat="1" x14ac:dyDescent="0.25">
      <c r="A5" s="453" t="str">
        <f>+TG02A!A12</f>
        <v>Reporting Flag</v>
      </c>
      <c r="B5" s="454"/>
      <c r="C5" s="184" t="str">
        <f>IF(TG02A!C12&gt;0,+TG02A!C12,"")</f>
        <v/>
      </c>
      <c r="D5" s="184"/>
      <c r="E5" s="455" t="str">
        <f>+TG02A!E12</f>
        <v>Sub-form / Description</v>
      </c>
      <c r="F5" s="456"/>
      <c r="G5" s="456"/>
      <c r="H5" s="456"/>
      <c r="I5" s="456"/>
      <c r="J5" s="457"/>
      <c r="K5" s="181"/>
      <c r="L5" s="181"/>
    </row>
    <row r="6" spans="1:12" s="182" customFormat="1" x14ac:dyDescent="0.2">
      <c r="A6" s="185"/>
      <c r="B6" s="186"/>
      <c r="C6" s="187"/>
      <c r="D6" s="64"/>
      <c r="E6" s="354" t="str">
        <f>+TG02A!E13</f>
        <v>TG02A</v>
      </c>
      <c r="F6" s="434" t="str">
        <f>+TG02A!F13</f>
        <v>Conventional tagging events (releases/recaptures)</v>
      </c>
      <c r="G6" s="434"/>
      <c r="H6" s="434"/>
      <c r="I6" s="434"/>
      <c r="J6" s="435"/>
      <c r="K6" s="181"/>
      <c r="L6" s="181"/>
    </row>
    <row r="7" spans="1:12" s="182" customFormat="1" x14ac:dyDescent="0.2">
      <c r="A7" s="185"/>
      <c r="B7" s="186"/>
      <c r="C7" s="187"/>
      <c r="D7" s="64"/>
      <c r="E7" s="340"/>
      <c r="F7" s="436"/>
      <c r="G7" s="436"/>
      <c r="H7" s="436"/>
      <c r="I7" s="436"/>
      <c r="J7" s="437"/>
      <c r="K7" s="181"/>
      <c r="L7" s="181"/>
    </row>
    <row r="8" spans="1:12" s="182" customFormat="1" x14ac:dyDescent="0.2">
      <c r="A8" s="185"/>
      <c r="B8" s="186"/>
      <c r="C8" s="187"/>
      <c r="D8" s="64"/>
      <c r="E8" s="438" t="str">
        <f>+TG02A!E15</f>
        <v>TG02B</v>
      </c>
      <c r="F8" s="440" t="str">
        <f>+TG02A!F15</f>
        <v>Vessels involved in tagging experiments</v>
      </c>
      <c r="G8" s="440"/>
      <c r="H8" s="440"/>
      <c r="I8" s="440"/>
      <c r="J8" s="441"/>
      <c r="K8" s="181"/>
      <c r="L8" s="181"/>
    </row>
    <row r="9" spans="1:12" s="182" customFormat="1" x14ac:dyDescent="0.25">
      <c r="A9" s="453" t="str">
        <f>+TG02A!A17</f>
        <v>Version reported</v>
      </c>
      <c r="B9" s="454"/>
      <c r="C9" s="188" t="str">
        <f>IF(TG02A!C17&gt;0,+TG02A!C17,"")</f>
        <v>Preliminary</v>
      </c>
      <c r="D9" s="64"/>
      <c r="E9" s="439"/>
      <c r="F9" s="442"/>
      <c r="G9" s="442"/>
      <c r="H9" s="442"/>
      <c r="I9" s="442"/>
      <c r="J9" s="443"/>
      <c r="K9" s="181"/>
      <c r="L9" s="181"/>
    </row>
    <row r="10" spans="1:12" s="182" customFormat="1" x14ac:dyDescent="0.25">
      <c r="A10" s="453" t="str">
        <f>+TG02A!A18</f>
        <v>Content (data)</v>
      </c>
      <c r="B10" s="454"/>
      <c r="C10" s="188" t="str">
        <f>IF(TG02A!C18&gt;0,+TG02A!C18,"")</f>
        <v>Revision (FULL)</v>
      </c>
      <c r="D10" s="187"/>
      <c r="E10" s="444" t="str">
        <f>+TG02A!E17</f>
        <v>TG02C</v>
      </c>
      <c r="F10" s="440" t="str">
        <f>+TG02A!F17</f>
        <v>Persons (taggers/recapturers) involved in tagging experiments</v>
      </c>
      <c r="G10" s="440"/>
      <c r="H10" s="440"/>
      <c r="I10" s="440"/>
      <c r="J10" s="441"/>
      <c r="K10" s="181"/>
      <c r="L10" s="181"/>
    </row>
    <row r="11" spans="1:12" s="182" customFormat="1" x14ac:dyDescent="0.2">
      <c r="A11" s="185"/>
      <c r="B11" s="186"/>
      <c r="C11" s="187"/>
      <c r="D11" s="187"/>
      <c r="E11" s="445"/>
      <c r="F11" s="440"/>
      <c r="G11" s="440"/>
      <c r="H11" s="440"/>
      <c r="I11" s="440"/>
      <c r="J11" s="441"/>
      <c r="K11" s="181"/>
      <c r="L11" s="181"/>
    </row>
    <row r="12" spans="1:12" s="182" customFormat="1" x14ac:dyDescent="0.25">
      <c r="A12" s="189"/>
      <c r="B12" s="190"/>
      <c r="C12" s="190"/>
      <c r="D12" s="188"/>
      <c r="E12" s="188"/>
      <c r="F12" s="188"/>
      <c r="G12" s="188"/>
      <c r="H12" s="188"/>
      <c r="I12" s="188"/>
      <c r="J12" s="191"/>
      <c r="K12" s="181"/>
      <c r="L12" s="181"/>
    </row>
    <row r="13" spans="1:12" s="182" customFormat="1" ht="12.75" customHeight="1" x14ac:dyDescent="0.25">
      <c r="A13" s="189"/>
      <c r="B13" s="190"/>
      <c r="C13" s="190"/>
      <c r="D13" s="188"/>
      <c r="E13" s="458" t="str">
        <f>VLOOKUP("H01a",tblTrans3Langs[#Data],LangNameID,FALSE)</f>
        <v>(This complementary information is confidential and will only be used on the ICCAT lottery sytem)</v>
      </c>
      <c r="F13" s="458"/>
      <c r="G13" s="458"/>
      <c r="H13" s="458"/>
      <c r="I13" s="458"/>
      <c r="J13" s="459"/>
      <c r="K13" s="181"/>
      <c r="L13" s="181"/>
    </row>
    <row r="14" spans="1:12" s="182" customFormat="1" x14ac:dyDescent="0.2">
      <c r="A14" s="192"/>
      <c r="B14" s="193"/>
      <c r="C14" s="193"/>
      <c r="D14" s="193"/>
      <c r="E14" s="460"/>
      <c r="F14" s="460"/>
      <c r="G14" s="460"/>
      <c r="H14" s="460"/>
      <c r="I14" s="460"/>
      <c r="J14" s="461"/>
      <c r="K14" s="181"/>
      <c r="L14" s="181"/>
    </row>
    <row r="15" spans="1:12" s="182" customFormat="1" ht="17.399999999999999" x14ac:dyDescent="0.2">
      <c r="A15" s="179"/>
      <c r="B15" s="179"/>
      <c r="C15" s="180"/>
      <c r="D15" s="180"/>
      <c r="E15" s="180"/>
      <c r="F15" s="180"/>
      <c r="G15" s="180"/>
      <c r="H15" s="180"/>
      <c r="I15" s="180"/>
      <c r="J15" s="180"/>
      <c r="K15" s="181"/>
      <c r="L15" s="181"/>
    </row>
    <row r="16" spans="1:12" s="194" customFormat="1" x14ac:dyDescent="0.25">
      <c r="A16" s="462" t="str">
        <f>VLOOKUP("D90",tblTrans3Langs[#Data],LangFieldID,FALSE)</f>
        <v>Person (Tagger &amp; Recapturer) details</v>
      </c>
      <c r="B16" s="463"/>
      <c r="C16" s="463"/>
      <c r="D16" s="463"/>
      <c r="E16" s="463"/>
      <c r="F16" s="463"/>
      <c r="G16" s="464"/>
      <c r="H16" s="462" t="str">
        <f>VLOOKUP("D91",tblTrans3Langs[#Data],LangFieldID,FALSE)</f>
        <v>Other</v>
      </c>
      <c r="I16" s="463"/>
      <c r="J16" s="464"/>
      <c r="K16" s="181"/>
    </row>
    <row r="17" spans="1:10" s="194" customFormat="1" ht="14.4" x14ac:dyDescent="0.25">
      <c r="A17" s="243" t="str">
        <f>VLOOKUP(A$19,tblTrans3Langs[#Data],LangFieldID,FALSE)</f>
        <v>Person ID</v>
      </c>
      <c r="B17" s="288" t="str">
        <f>VLOOKUP(B$19,tblTrans3Langs[#Data],LangFieldID,FALSE)</f>
        <v>Country cod.</v>
      </c>
      <c r="C17" s="243" t="str">
        <f>VLOOKUP(C$19,tblTrans3Langs[#Data],LangFieldID,FALSE)</f>
        <v>Person Type</v>
      </c>
      <c r="D17" s="243" t="str">
        <f>VLOOKUP(D$19,tblTrans3Langs[#Data],LangFieldID,FALSE)</f>
        <v>Name (complete)</v>
      </c>
      <c r="E17" s="243" t="str">
        <f>VLOOKUP(E$19,tblTrans3Langs[#Data],LangFieldID,FALSE)</f>
        <v>Address (complete)</v>
      </c>
      <c r="F17" s="243" t="str">
        <f>VLOOKUP(F$19,tblTrans3Langs[#Data],LangFieldID,FALSE)</f>
        <v>Email</v>
      </c>
      <c r="G17" s="243" t="str">
        <f>VLOOKUP(G$19,tblTrans3Langs[#Data],LangFieldID,FALSE)</f>
        <v>Phone</v>
      </c>
      <c r="H17" s="243" t="str">
        <f>VLOOKUP(H$19,tblTrans3Langs[#Data],LangFieldID,FALSE)</f>
        <v>Tagger ?</v>
      </c>
      <c r="I17" s="243" t="str">
        <f>VLOOKUP(I$19,tblTrans3Langs[#Data],LangFieldID,FALSE)</f>
        <v>Recapturer ?</v>
      </c>
      <c r="J17" s="243" t="str">
        <f>VLOOKUP(J$19,tblTrans3Langs[#Data],LangFieldID,FALSE)</f>
        <v>Remarks (person)</v>
      </c>
    </row>
    <row r="18" spans="1:10" s="195" customFormat="1" x14ac:dyDescent="0.25">
      <c r="A18" s="240" t="str">
        <f>REPT("+",8)</f>
        <v>++++++++</v>
      </c>
      <c r="B18" s="240" t="str">
        <f>REPT("+",10)</f>
        <v>++++++++++</v>
      </c>
      <c r="C18" s="240" t="str">
        <f>REPT("+",10)</f>
        <v>++++++++++</v>
      </c>
      <c r="D18" s="240" t="str">
        <f>REPT("+",40)</f>
        <v>++++++++++++++++++++++++++++++++++++++++</v>
      </c>
      <c r="E18" s="240" t="str">
        <f>REPT("+",40)</f>
        <v>++++++++++++++++++++++++++++++++++++++++</v>
      </c>
      <c r="F18" s="240" t="str">
        <f>REPT("+",20)</f>
        <v>++++++++++++++++++++</v>
      </c>
      <c r="G18" s="240" t="str">
        <f>REPT("+",12)</f>
        <v>++++++++++++</v>
      </c>
      <c r="H18" s="240" t="str">
        <f>REPT("+",5)</f>
        <v>+++++</v>
      </c>
      <c r="I18" s="240" t="str">
        <f>REPT("+",5)</f>
        <v>+++++</v>
      </c>
      <c r="J18" s="240" t="str">
        <f>REPT("+",50)</f>
        <v>++++++++++++++++++++++++++++++++++++++++++++++++++</v>
      </c>
    </row>
    <row r="19" spans="1:10" s="196" customFormat="1" x14ac:dyDescent="0.25">
      <c r="A19" s="244" t="s">
        <v>2185</v>
      </c>
      <c r="B19" s="244" t="s">
        <v>2189</v>
      </c>
      <c r="C19" s="244" t="s">
        <v>2186</v>
      </c>
      <c r="D19" s="244" t="s">
        <v>8</v>
      </c>
      <c r="E19" s="244" t="s">
        <v>4</v>
      </c>
      <c r="F19" s="244" t="s">
        <v>2439</v>
      </c>
      <c r="G19" s="244" t="s">
        <v>5</v>
      </c>
      <c r="H19" s="245" t="s">
        <v>2187</v>
      </c>
      <c r="I19" s="245" t="s">
        <v>2188</v>
      </c>
      <c r="J19" s="244" t="s">
        <v>2205</v>
      </c>
    </row>
    <row r="20" spans="1:10" x14ac:dyDescent="0.25">
      <c r="A20" s="58">
        <v>1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25">
      <c r="A21" s="58">
        <v>2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x14ac:dyDescent="0.25">
      <c r="A22" s="58">
        <v>3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x14ac:dyDescent="0.25">
      <c r="A23" s="58">
        <v>4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x14ac:dyDescent="0.25">
      <c r="A24" s="58">
        <v>5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x14ac:dyDescent="0.25">
      <c r="A25" s="58">
        <v>6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0" x14ac:dyDescent="0.25">
      <c r="A26" s="58">
        <v>7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25">
      <c r="A27" s="58">
        <v>8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25">
      <c r="A28" s="58">
        <v>9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25">
      <c r="A29" s="58">
        <v>10</v>
      </c>
      <c r="B29" s="58"/>
      <c r="C29" s="58"/>
      <c r="D29" s="58"/>
      <c r="E29" s="58"/>
      <c r="F29" s="58"/>
      <c r="G29" s="58"/>
      <c r="H29" s="58"/>
      <c r="I29" s="58"/>
      <c r="J29" s="58"/>
    </row>
    <row r="30" spans="1:10" x14ac:dyDescent="0.25">
      <c r="A30" s="58">
        <v>11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4.4" x14ac:dyDescent="0.3">
      <c r="A31" s="197"/>
      <c r="B31" s="197"/>
      <c r="C31" s="197"/>
      <c r="D31" s="197"/>
      <c r="E31" s="197"/>
      <c r="F31" s="197"/>
      <c r="G31" s="197"/>
      <c r="H31" s="197"/>
      <c r="I31" s="197"/>
      <c r="J31" s="197"/>
    </row>
  </sheetData>
  <sheetProtection algorithmName="SHA-512" hashValue="YpQHyhQvUHVanp1AL++u0MNbcPGDabKqVE/w5Bmt6xA8Wxderpwxf1MnHsL9c7L4MiPENSKmucRzWdqymPxSsg==" saltValue="RMEWUTevreJZiPkHGLDLvg==" spinCount="100000" sheet="1" formatCells="0" formatRows="0" insertRows="0" deleteRows="0" autoFilter="0"/>
  <mergeCells count="17">
    <mergeCell ref="A9:B9"/>
    <mergeCell ref="E13:J14"/>
    <mergeCell ref="A10:B10"/>
    <mergeCell ref="A16:G16"/>
    <mergeCell ref="H16:J16"/>
    <mergeCell ref="A1:B2"/>
    <mergeCell ref="C1:J1"/>
    <mergeCell ref="C2:J2"/>
    <mergeCell ref="A4:D4"/>
    <mergeCell ref="A5:B5"/>
    <mergeCell ref="E5:J5"/>
    <mergeCell ref="E6:E7"/>
    <mergeCell ref="F6:J7"/>
    <mergeCell ref="E8:E9"/>
    <mergeCell ref="F8:J9"/>
    <mergeCell ref="E10:E11"/>
    <mergeCell ref="F10:J11"/>
  </mergeCells>
  <dataValidations count="3">
    <dataValidation type="list" allowBlank="1" showInputMessage="1" showErrorMessage="1" sqref="B20:B30" xr:uid="{00000000-0002-0000-0200-000000000000}">
      <formula1>FlagA3ISO</formula1>
    </dataValidation>
    <dataValidation type="list" allowBlank="1" showInputMessage="1" showErrorMessage="1" sqref="C20:C30" xr:uid="{00000000-0002-0000-0200-000001000000}">
      <formula1>PersonTypeCode</formula1>
    </dataValidation>
    <dataValidation type="list" allowBlank="1" showInputMessage="1" showErrorMessage="1" sqref="H20:I30" xr:uid="{00000000-0002-0000-0200-000002000000}">
      <formula1>"Y,N"</formula1>
    </dataValidation>
  </dataValidations>
  <hyperlinks>
    <hyperlink ref="E6" location="TG02A!D1" display="TG02A!D1" xr:uid="{00000000-0004-0000-0200-000000000000}"/>
    <hyperlink ref="E6:E7" location="TG02A!D1" display="TG02A!D1" xr:uid="{00000000-0004-0000-0200-000001000000}"/>
    <hyperlink ref="E8:E9" location="TG02B!A20" display="TG02B!A20" xr:uid="{00000000-0004-0000-0200-000002000000}"/>
    <hyperlink ref="B17" location="FlagA3ISO" display="FlagA3ISO" xr:uid="{CE5E4B35-CDCD-489F-8F46-BF406BA5EE4B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D245"/>
  <sheetViews>
    <sheetView zoomScale="91" zoomScaleNormal="91" workbookViewId="0">
      <selection sqref="A1:D1"/>
    </sheetView>
  </sheetViews>
  <sheetFormatPr defaultColWidth="9.109375" defaultRowHeight="12" x14ac:dyDescent="0.25"/>
  <cols>
    <col min="1" max="1" width="19.6640625" style="121" bestFit="1" customWidth="1"/>
    <col min="2" max="2" width="7.109375" style="121" bestFit="1" customWidth="1"/>
    <col min="3" max="3" width="5.109375" style="121" bestFit="1" customWidth="1"/>
    <col min="4" max="4" width="7.77734375" style="121" bestFit="1" customWidth="1"/>
    <col min="5" max="5" width="7.77734375" style="121" customWidth="1"/>
    <col min="6" max="6" width="9.109375" style="121"/>
    <col min="7" max="7" width="11.6640625" style="121" bestFit="1" customWidth="1"/>
    <col min="8" max="8" width="27.44140625" style="121" bestFit="1" customWidth="1"/>
    <col min="9" max="9" width="27.109375" style="121" bestFit="1" customWidth="1"/>
    <col min="10" max="10" width="26.88671875" style="121" bestFit="1" customWidth="1"/>
    <col min="11" max="11" width="26.44140625" style="121" bestFit="1" customWidth="1"/>
    <col min="12" max="12" width="16.6640625" style="121" bestFit="1" customWidth="1"/>
    <col min="13" max="13" width="10.33203125" style="121" bestFit="1" customWidth="1"/>
    <col min="14" max="14" width="4.6640625" style="121" customWidth="1"/>
    <col min="15" max="15" width="16.33203125" style="121" bestFit="1" customWidth="1"/>
    <col min="16" max="16" width="59" style="121" bestFit="1" customWidth="1"/>
    <col min="17" max="17" width="4.6640625" style="121" customWidth="1"/>
    <col min="18" max="18" width="16.6640625" style="121" bestFit="1" customWidth="1"/>
    <col min="19" max="19" width="32.88671875" style="121" bestFit="1" customWidth="1"/>
    <col min="20" max="20" width="18.33203125" style="121" bestFit="1" customWidth="1"/>
    <col min="21" max="21" width="19.5546875" style="121" bestFit="1" customWidth="1"/>
    <col min="22" max="22" width="16" style="121" bestFit="1" customWidth="1"/>
    <col min="23" max="23" width="4.6640625" style="120" customWidth="1"/>
    <col min="24" max="24" width="4.6640625" style="121" customWidth="1"/>
    <col min="25" max="25" width="13.88671875" style="120" bestFit="1" customWidth="1"/>
    <col min="26" max="26" width="7" style="120" bestFit="1" customWidth="1"/>
    <col min="27" max="27" width="10.5546875" style="120" bestFit="1" customWidth="1"/>
    <col min="28" max="28" width="81.88671875" style="120" bestFit="1" customWidth="1"/>
    <col min="29" max="30" width="9.109375" style="120"/>
    <col min="31" max="16384" width="9.109375" style="121"/>
  </cols>
  <sheetData>
    <row r="1" spans="1:28" x14ac:dyDescent="0.25">
      <c r="A1" s="469" t="s">
        <v>2678</v>
      </c>
      <c r="B1" s="469"/>
      <c r="C1" s="469"/>
      <c r="D1" s="469"/>
      <c r="E1" s="301"/>
      <c r="G1" s="470" t="s">
        <v>693</v>
      </c>
      <c r="H1" s="470"/>
      <c r="I1" s="470"/>
      <c r="J1" s="470"/>
      <c r="K1" s="470"/>
      <c r="L1" s="118"/>
      <c r="M1" s="118"/>
      <c r="N1" s="119"/>
      <c r="O1" s="469" t="s">
        <v>694</v>
      </c>
      <c r="P1" s="469"/>
      <c r="Q1" s="120"/>
      <c r="R1" s="468" t="s">
        <v>922</v>
      </c>
      <c r="S1" s="468"/>
      <c r="T1" s="468"/>
      <c r="U1" s="468"/>
      <c r="V1" s="468"/>
      <c r="Y1" s="465" t="s">
        <v>402</v>
      </c>
      <c r="Z1" s="465"/>
      <c r="AA1" s="465"/>
    </row>
    <row r="2" spans="1:28" x14ac:dyDescent="0.25">
      <c r="A2" s="303" t="s">
        <v>408</v>
      </c>
      <c r="B2" s="304" t="s">
        <v>2731</v>
      </c>
      <c r="C2" s="304" t="s">
        <v>1855</v>
      </c>
      <c r="D2" s="305" t="s">
        <v>1786</v>
      </c>
      <c r="E2" s="306" t="s">
        <v>2761</v>
      </c>
      <c r="G2" s="266" t="s">
        <v>2732</v>
      </c>
      <c r="H2" s="267" t="s">
        <v>6</v>
      </c>
      <c r="I2" s="267" t="s">
        <v>1063</v>
      </c>
      <c r="J2" s="267" t="s">
        <v>1064</v>
      </c>
      <c r="K2" s="267" t="s">
        <v>1065</v>
      </c>
      <c r="L2" s="267" t="s">
        <v>1066</v>
      </c>
      <c r="M2" s="268" t="s">
        <v>1067</v>
      </c>
      <c r="N2" s="122"/>
      <c r="O2" s="20" t="s">
        <v>2733</v>
      </c>
      <c r="P2" s="21" t="s">
        <v>634</v>
      </c>
      <c r="Q2" s="120"/>
      <c r="R2" s="125" t="s">
        <v>9</v>
      </c>
      <c r="S2" s="126" t="s">
        <v>10</v>
      </c>
      <c r="T2" s="126" t="s">
        <v>11</v>
      </c>
      <c r="U2" s="126" t="s">
        <v>12</v>
      </c>
      <c r="V2" s="127" t="s">
        <v>13</v>
      </c>
      <c r="Y2" s="466" t="s">
        <v>2542</v>
      </c>
      <c r="Z2" s="466"/>
      <c r="AA2" s="466"/>
    </row>
    <row r="3" spans="1:28" x14ac:dyDescent="0.25">
      <c r="A3" s="307" t="s">
        <v>527</v>
      </c>
      <c r="B3" s="194" t="s">
        <v>133</v>
      </c>
      <c r="C3" s="194" t="s">
        <v>1856</v>
      </c>
      <c r="D3" s="194" t="s">
        <v>133</v>
      </c>
      <c r="E3" s="308" t="s">
        <v>2762</v>
      </c>
      <c r="G3" s="261" t="s">
        <v>123</v>
      </c>
      <c r="H3" s="269" t="s">
        <v>388</v>
      </c>
      <c r="I3" s="269" t="s">
        <v>1068</v>
      </c>
      <c r="J3" s="269" t="s">
        <v>1069</v>
      </c>
      <c r="K3" s="269" t="s">
        <v>1070</v>
      </c>
      <c r="L3" s="269" t="s">
        <v>1071</v>
      </c>
      <c r="M3" s="262" t="s">
        <v>1072</v>
      </c>
      <c r="N3" s="302"/>
      <c r="O3" s="130" t="s">
        <v>635</v>
      </c>
      <c r="P3" s="26" t="s">
        <v>636</v>
      </c>
      <c r="Q3" s="120"/>
      <c r="R3" s="131">
        <v>0</v>
      </c>
      <c r="S3" s="122" t="s">
        <v>26</v>
      </c>
      <c r="T3" s="122" t="s">
        <v>27</v>
      </c>
      <c r="U3" s="122" t="s">
        <v>28</v>
      </c>
      <c r="V3" s="132" t="s">
        <v>29</v>
      </c>
      <c r="Y3" s="133" t="s">
        <v>879</v>
      </c>
      <c r="Z3" s="134" t="s">
        <v>14</v>
      </c>
      <c r="AA3" s="134" t="s">
        <v>2543</v>
      </c>
      <c r="AB3" s="135" t="s">
        <v>948</v>
      </c>
    </row>
    <row r="4" spans="1:28" x14ac:dyDescent="0.25">
      <c r="A4" s="307" t="s">
        <v>410</v>
      </c>
      <c r="B4" s="194" t="s">
        <v>409</v>
      </c>
      <c r="C4" s="194" t="s">
        <v>1856</v>
      </c>
      <c r="D4" s="194" t="s">
        <v>409</v>
      </c>
      <c r="E4" s="308" t="s">
        <v>2763</v>
      </c>
      <c r="G4" s="261" t="s">
        <v>128</v>
      </c>
      <c r="H4" s="269" t="s">
        <v>129</v>
      </c>
      <c r="I4" s="269" t="s">
        <v>130</v>
      </c>
      <c r="J4" s="269" t="s">
        <v>131</v>
      </c>
      <c r="K4" s="269" t="s">
        <v>132</v>
      </c>
      <c r="L4" s="269" t="s">
        <v>1071</v>
      </c>
      <c r="M4" s="262" t="s">
        <v>1072</v>
      </c>
      <c r="N4" s="122"/>
      <c r="O4" s="130" t="s">
        <v>1833</v>
      </c>
      <c r="P4" s="26" t="s">
        <v>1834</v>
      </c>
      <c r="Q4" s="120"/>
      <c r="R4" s="131">
        <v>1</v>
      </c>
      <c r="S4" s="122" t="s">
        <v>30</v>
      </c>
      <c r="T4" s="122" t="s">
        <v>31</v>
      </c>
      <c r="U4" s="122" t="s">
        <v>32</v>
      </c>
      <c r="V4" s="132" t="s">
        <v>33</v>
      </c>
      <c r="Y4" s="136" t="s">
        <v>880</v>
      </c>
      <c r="Z4" s="137" t="s">
        <v>882</v>
      </c>
      <c r="AA4" s="137" t="s">
        <v>2544</v>
      </c>
      <c r="AB4" s="23" t="s">
        <v>2541</v>
      </c>
    </row>
    <row r="5" spans="1:28" x14ac:dyDescent="0.25">
      <c r="A5" s="307" t="s">
        <v>445</v>
      </c>
      <c r="B5" s="194" t="s">
        <v>444</v>
      </c>
      <c r="C5" s="194" t="s">
        <v>1856</v>
      </c>
      <c r="D5" s="194" t="s">
        <v>444</v>
      </c>
      <c r="E5" s="308" t="s">
        <v>2764</v>
      </c>
      <c r="G5" s="261" t="s">
        <v>133</v>
      </c>
      <c r="H5" s="269" t="s">
        <v>134</v>
      </c>
      <c r="I5" s="269" t="s">
        <v>131</v>
      </c>
      <c r="J5" s="269" t="s">
        <v>135</v>
      </c>
      <c r="K5" s="269" t="s">
        <v>136</v>
      </c>
      <c r="L5" s="269" t="s">
        <v>1071</v>
      </c>
      <c r="M5" s="262" t="s">
        <v>1072</v>
      </c>
      <c r="N5" s="122"/>
      <c r="O5" s="130" t="s">
        <v>691</v>
      </c>
      <c r="P5" s="26" t="s">
        <v>1835</v>
      </c>
      <c r="Q5" s="120"/>
      <c r="R5" s="131">
        <v>2</v>
      </c>
      <c r="S5" s="122" t="s">
        <v>34</v>
      </c>
      <c r="T5" s="122" t="s">
        <v>35</v>
      </c>
      <c r="U5" s="122" t="s">
        <v>36</v>
      </c>
      <c r="V5" s="132" t="s">
        <v>37</v>
      </c>
      <c r="Y5" s="138" t="s">
        <v>881</v>
      </c>
      <c r="Z5" s="139" t="s">
        <v>882</v>
      </c>
      <c r="AA5" s="139" t="s">
        <v>2545</v>
      </c>
      <c r="AB5" s="25" t="s">
        <v>2540</v>
      </c>
    </row>
    <row r="6" spans="1:28" x14ac:dyDescent="0.25">
      <c r="A6" s="307" t="s">
        <v>473</v>
      </c>
      <c r="B6" s="194" t="s">
        <v>472</v>
      </c>
      <c r="C6" s="194" t="s">
        <v>1856</v>
      </c>
      <c r="D6" s="194" t="s">
        <v>472</v>
      </c>
      <c r="E6" s="308" t="s">
        <v>655</v>
      </c>
      <c r="G6" s="261" t="s">
        <v>137</v>
      </c>
      <c r="H6" s="269" t="s">
        <v>138</v>
      </c>
      <c r="I6" s="269" t="s">
        <v>139</v>
      </c>
      <c r="J6" s="269" t="s">
        <v>140</v>
      </c>
      <c r="K6" s="269" t="s">
        <v>141</v>
      </c>
      <c r="L6" s="269" t="s">
        <v>1071</v>
      </c>
      <c r="M6" s="262" t="s">
        <v>1072</v>
      </c>
      <c r="N6" s="122"/>
      <c r="O6" s="130" t="s">
        <v>685</v>
      </c>
      <c r="P6" s="26" t="s">
        <v>686</v>
      </c>
      <c r="Q6" s="120"/>
      <c r="R6" s="131">
        <v>3</v>
      </c>
      <c r="S6" s="122" t="s">
        <v>38</v>
      </c>
      <c r="T6" s="122" t="s">
        <v>39</v>
      </c>
      <c r="U6" s="122" t="s">
        <v>40</v>
      </c>
      <c r="V6" s="132" t="s">
        <v>41</v>
      </c>
      <c r="Y6" s="120">
        <f>LEN(Y4)</f>
        <v>8</v>
      </c>
    </row>
    <row r="7" spans="1:28" x14ac:dyDescent="0.25">
      <c r="A7" s="307" t="s">
        <v>520</v>
      </c>
      <c r="B7" s="194" t="s">
        <v>267</v>
      </c>
      <c r="C7" s="194" t="s">
        <v>1856</v>
      </c>
      <c r="D7" s="194" t="s">
        <v>267</v>
      </c>
      <c r="E7" s="308" t="s">
        <v>2765</v>
      </c>
      <c r="G7" s="261" t="s">
        <v>151</v>
      </c>
      <c r="H7" s="269" t="s">
        <v>152</v>
      </c>
      <c r="I7" s="269" t="s">
        <v>153</v>
      </c>
      <c r="J7" s="269" t="s">
        <v>154</v>
      </c>
      <c r="K7" s="269" t="s">
        <v>155</v>
      </c>
      <c r="L7" s="269" t="s">
        <v>1071</v>
      </c>
      <c r="M7" s="262" t="s">
        <v>1072</v>
      </c>
      <c r="N7" s="122"/>
      <c r="O7" s="130" t="s">
        <v>679</v>
      </c>
      <c r="P7" s="26" t="s">
        <v>2713</v>
      </c>
      <c r="Q7" s="120"/>
      <c r="R7" s="131">
        <v>4</v>
      </c>
      <c r="S7" s="122" t="s">
        <v>42</v>
      </c>
      <c r="T7" s="122" t="s">
        <v>43</v>
      </c>
      <c r="U7" s="122" t="s">
        <v>44</v>
      </c>
      <c r="V7" s="132" t="s">
        <v>45</v>
      </c>
    </row>
    <row r="8" spans="1:28" x14ac:dyDescent="0.25">
      <c r="A8" s="307" t="s">
        <v>1787</v>
      </c>
      <c r="B8" s="194" t="s">
        <v>413</v>
      </c>
      <c r="C8" s="194" t="s">
        <v>1856</v>
      </c>
      <c r="D8" s="194" t="s">
        <v>413</v>
      </c>
      <c r="E8" s="308" t="s">
        <v>2766</v>
      </c>
      <c r="G8" s="261" t="s">
        <v>186</v>
      </c>
      <c r="H8" s="269" t="s">
        <v>187</v>
      </c>
      <c r="I8" s="269" t="s">
        <v>188</v>
      </c>
      <c r="J8" s="269" t="s">
        <v>189</v>
      </c>
      <c r="K8" s="269" t="s">
        <v>190</v>
      </c>
      <c r="L8" s="269" t="s">
        <v>1071</v>
      </c>
      <c r="M8" s="262" t="s">
        <v>1072</v>
      </c>
      <c r="N8" s="122"/>
      <c r="O8" s="130" t="s">
        <v>683</v>
      </c>
      <c r="P8" s="26" t="s">
        <v>2714</v>
      </c>
      <c r="Q8" s="120"/>
      <c r="R8" s="131">
        <v>5</v>
      </c>
      <c r="S8" s="122" t="s">
        <v>46</v>
      </c>
      <c r="T8" s="122" t="s">
        <v>47</v>
      </c>
      <c r="U8" s="122" t="s">
        <v>48</v>
      </c>
      <c r="V8" s="132" t="s">
        <v>49</v>
      </c>
      <c r="Y8" s="142" t="s">
        <v>403</v>
      </c>
      <c r="Z8" s="134" t="s">
        <v>14</v>
      </c>
      <c r="AA8" s="134" t="s">
        <v>2543</v>
      </c>
      <c r="AB8" s="135" t="s">
        <v>948</v>
      </c>
    </row>
    <row r="9" spans="1:28" x14ac:dyDescent="0.25">
      <c r="A9" s="307" t="s">
        <v>415</v>
      </c>
      <c r="B9" s="194" t="s">
        <v>414</v>
      </c>
      <c r="C9" s="194" t="s">
        <v>1856</v>
      </c>
      <c r="D9" s="194" t="s">
        <v>414</v>
      </c>
      <c r="E9" s="308" t="s">
        <v>2767</v>
      </c>
      <c r="G9" s="261" t="s">
        <v>196</v>
      </c>
      <c r="H9" s="269" t="s">
        <v>197</v>
      </c>
      <c r="I9" s="269" t="s">
        <v>1073</v>
      </c>
      <c r="J9" s="269" t="s">
        <v>1074</v>
      </c>
      <c r="K9" s="269" t="s">
        <v>1075</v>
      </c>
      <c r="L9" s="269" t="s">
        <v>1071</v>
      </c>
      <c r="M9" s="262" t="s">
        <v>1072</v>
      </c>
      <c r="N9" s="122"/>
      <c r="O9" s="130" t="s">
        <v>680</v>
      </c>
      <c r="P9" s="26" t="s">
        <v>1836</v>
      </c>
      <c r="Q9" s="120"/>
      <c r="R9" s="131">
        <v>6</v>
      </c>
      <c r="S9" s="122" t="s">
        <v>50</v>
      </c>
      <c r="T9" s="122" t="s">
        <v>51</v>
      </c>
      <c r="U9" s="122" t="s">
        <v>52</v>
      </c>
      <c r="V9" s="132" t="s">
        <v>53</v>
      </c>
      <c r="Y9" s="143" t="s">
        <v>949</v>
      </c>
      <c r="Z9" s="120" t="s">
        <v>750</v>
      </c>
      <c r="AA9" s="144">
        <v>15.342779999999999</v>
      </c>
      <c r="AB9" s="26" t="s">
        <v>2550</v>
      </c>
    </row>
    <row r="10" spans="1:28" x14ac:dyDescent="0.25">
      <c r="A10" s="307" t="s">
        <v>475</v>
      </c>
      <c r="B10" s="194" t="s">
        <v>474</v>
      </c>
      <c r="C10" s="194" t="s">
        <v>1856</v>
      </c>
      <c r="D10" s="194" t="s">
        <v>474</v>
      </c>
      <c r="E10" s="308" t="s">
        <v>2768</v>
      </c>
      <c r="G10" s="261" t="s">
        <v>198</v>
      </c>
      <c r="H10" s="269" t="s">
        <v>2679</v>
      </c>
      <c r="I10" s="269" t="s">
        <v>199</v>
      </c>
      <c r="J10" s="269" t="s">
        <v>200</v>
      </c>
      <c r="K10" s="269" t="s">
        <v>201</v>
      </c>
      <c r="L10" s="269" t="s">
        <v>1071</v>
      </c>
      <c r="M10" s="262" t="s">
        <v>1072</v>
      </c>
      <c r="N10" s="122"/>
      <c r="O10" s="130" t="s">
        <v>637</v>
      </c>
      <c r="P10" s="26" t="s">
        <v>2715</v>
      </c>
      <c r="Q10" s="120"/>
      <c r="R10" s="131">
        <v>7</v>
      </c>
      <c r="S10" s="122" t="s">
        <v>54</v>
      </c>
      <c r="T10" s="122" t="s">
        <v>55</v>
      </c>
      <c r="U10" s="122" t="s">
        <v>56</v>
      </c>
      <c r="V10" s="132" t="s">
        <v>57</v>
      </c>
      <c r="Y10" s="147" t="s">
        <v>104</v>
      </c>
      <c r="Z10" s="148" t="s">
        <v>882</v>
      </c>
      <c r="AA10" s="149" t="s">
        <v>2552</v>
      </c>
      <c r="AB10" s="150" t="s">
        <v>2549</v>
      </c>
    </row>
    <row r="11" spans="1:28" x14ac:dyDescent="0.25">
      <c r="A11" s="307" t="s">
        <v>1788</v>
      </c>
      <c r="B11" s="194" t="s">
        <v>517</v>
      </c>
      <c r="C11" s="194" t="s">
        <v>1856</v>
      </c>
      <c r="D11" s="194" t="s">
        <v>517</v>
      </c>
      <c r="E11" s="308" t="s">
        <v>2769</v>
      </c>
      <c r="G11" s="261" t="s">
        <v>202</v>
      </c>
      <c r="H11" s="269" t="s">
        <v>203</v>
      </c>
      <c r="I11" s="269" t="s">
        <v>204</v>
      </c>
      <c r="J11" s="269" t="s">
        <v>205</v>
      </c>
      <c r="K11" s="269" t="s">
        <v>206</v>
      </c>
      <c r="L11" s="269" t="s">
        <v>1071</v>
      </c>
      <c r="M11" s="262" t="s">
        <v>1072</v>
      </c>
      <c r="N11" s="122"/>
      <c r="O11" s="130" t="s">
        <v>681</v>
      </c>
      <c r="P11" s="26" t="s">
        <v>1837</v>
      </c>
      <c r="Q11" s="120"/>
      <c r="R11" s="131">
        <v>8</v>
      </c>
      <c r="S11" s="122" t="s">
        <v>58</v>
      </c>
      <c r="T11" s="122" t="s">
        <v>59</v>
      </c>
      <c r="U11" s="122" t="s">
        <v>60</v>
      </c>
      <c r="V11" s="132" t="s">
        <v>61</v>
      </c>
    </row>
    <row r="12" spans="1:28" x14ac:dyDescent="0.25">
      <c r="A12" s="307" t="s">
        <v>1790</v>
      </c>
      <c r="B12" s="194" t="s">
        <v>1789</v>
      </c>
      <c r="C12" s="194" t="s">
        <v>1856</v>
      </c>
      <c r="D12" s="194" t="s">
        <v>1789</v>
      </c>
      <c r="E12" s="308" t="s">
        <v>2770</v>
      </c>
      <c r="G12" s="261" t="s">
        <v>207</v>
      </c>
      <c r="H12" s="269" t="s">
        <v>208</v>
      </c>
      <c r="I12" s="269" t="s">
        <v>209</v>
      </c>
      <c r="J12" s="269" t="s">
        <v>210</v>
      </c>
      <c r="K12" s="269" t="s">
        <v>211</v>
      </c>
      <c r="L12" s="265" t="s">
        <v>1071</v>
      </c>
      <c r="M12" s="264" t="s">
        <v>1072</v>
      </c>
      <c r="N12" s="122"/>
      <c r="O12" s="130" t="s">
        <v>684</v>
      </c>
      <c r="P12" s="26" t="s">
        <v>2716</v>
      </c>
      <c r="Q12" s="120"/>
      <c r="R12" s="152">
        <v>9</v>
      </c>
      <c r="S12" s="153" t="s">
        <v>62</v>
      </c>
      <c r="T12" s="153" t="s">
        <v>63</v>
      </c>
      <c r="U12" s="153" t="s">
        <v>64</v>
      </c>
      <c r="V12" s="154" t="s">
        <v>65</v>
      </c>
    </row>
    <row r="13" spans="1:28" x14ac:dyDescent="0.25">
      <c r="A13" s="307" t="s">
        <v>1791</v>
      </c>
      <c r="B13" s="194" t="s">
        <v>460</v>
      </c>
      <c r="C13" s="194" t="s">
        <v>1856</v>
      </c>
      <c r="D13" s="194" t="s">
        <v>460</v>
      </c>
      <c r="E13" s="308" t="s">
        <v>2771</v>
      </c>
      <c r="G13" s="261" t="s">
        <v>142</v>
      </c>
      <c r="H13" s="269" t="s">
        <v>143</v>
      </c>
      <c r="I13" s="269" t="s">
        <v>144</v>
      </c>
      <c r="J13" s="269" t="s">
        <v>145</v>
      </c>
      <c r="K13" s="269" t="s">
        <v>1076</v>
      </c>
      <c r="L13" s="269" t="s">
        <v>2680</v>
      </c>
      <c r="M13" s="262" t="s">
        <v>1072</v>
      </c>
      <c r="N13" s="122"/>
      <c r="O13" s="130" t="s">
        <v>116</v>
      </c>
      <c r="P13" s="26" t="s">
        <v>640</v>
      </c>
      <c r="Q13" s="120"/>
      <c r="R13" s="120"/>
      <c r="S13" s="120"/>
      <c r="T13" s="120"/>
      <c r="U13" s="120"/>
      <c r="V13" s="120"/>
      <c r="Y13" s="142" t="s">
        <v>404</v>
      </c>
      <c r="Z13" s="134" t="s">
        <v>14</v>
      </c>
      <c r="AA13" s="134" t="s">
        <v>2543</v>
      </c>
      <c r="AB13" s="135" t="s">
        <v>948</v>
      </c>
    </row>
    <row r="14" spans="1:28" x14ac:dyDescent="0.25">
      <c r="A14" s="307" t="s">
        <v>2928</v>
      </c>
      <c r="B14" s="194" t="s">
        <v>2929</v>
      </c>
      <c r="C14" s="194" t="s">
        <v>1856</v>
      </c>
      <c r="D14" s="194" t="s">
        <v>2698</v>
      </c>
      <c r="E14" s="308" t="s">
        <v>2772</v>
      </c>
      <c r="G14" s="261" t="s">
        <v>146</v>
      </c>
      <c r="H14" s="269" t="s">
        <v>147</v>
      </c>
      <c r="I14" s="269" t="s">
        <v>148</v>
      </c>
      <c r="J14" s="269" t="s">
        <v>149</v>
      </c>
      <c r="K14" s="269" t="s">
        <v>150</v>
      </c>
      <c r="L14" s="269" t="s">
        <v>2680</v>
      </c>
      <c r="M14" s="262" t="s">
        <v>1072</v>
      </c>
      <c r="N14" s="122"/>
      <c r="O14" s="130" t="s">
        <v>643</v>
      </c>
      <c r="P14" s="26" t="s">
        <v>644</v>
      </c>
      <c r="Q14" s="120"/>
      <c r="R14" s="120"/>
      <c r="S14" s="120"/>
      <c r="T14" s="120"/>
      <c r="U14" s="120"/>
      <c r="V14" s="120"/>
      <c r="Y14" s="143" t="s">
        <v>950</v>
      </c>
      <c r="Z14" s="120" t="s">
        <v>750</v>
      </c>
      <c r="AA14" s="144">
        <v>-65.504170000000002</v>
      </c>
      <c r="AB14" s="26" t="s">
        <v>2551</v>
      </c>
    </row>
    <row r="15" spans="1:28" x14ac:dyDescent="0.25">
      <c r="A15" s="307" t="s">
        <v>2930</v>
      </c>
      <c r="B15" s="194" t="s">
        <v>2931</v>
      </c>
      <c r="C15" s="194" t="s">
        <v>1856</v>
      </c>
      <c r="D15" s="194" t="s">
        <v>609</v>
      </c>
      <c r="E15" s="308" t="s">
        <v>2773</v>
      </c>
      <c r="G15" s="261" t="s">
        <v>156</v>
      </c>
      <c r="H15" s="269" t="s">
        <v>157</v>
      </c>
      <c r="I15" s="269" t="s">
        <v>158</v>
      </c>
      <c r="J15" s="269" t="s">
        <v>159</v>
      </c>
      <c r="K15" s="269" t="s">
        <v>160</v>
      </c>
      <c r="L15" s="269" t="s">
        <v>2680</v>
      </c>
      <c r="M15" s="262" t="s">
        <v>1072</v>
      </c>
      <c r="N15" s="122"/>
      <c r="O15" s="130" t="s">
        <v>667</v>
      </c>
      <c r="P15" s="26" t="s">
        <v>668</v>
      </c>
      <c r="Q15" s="120"/>
      <c r="R15" s="468" t="s">
        <v>923</v>
      </c>
      <c r="S15" s="468"/>
      <c r="T15" s="468"/>
      <c r="U15" s="468"/>
      <c r="V15" s="468"/>
      <c r="Y15" s="147" t="s">
        <v>407</v>
      </c>
      <c r="Z15" s="148" t="s">
        <v>750</v>
      </c>
      <c r="AA15" s="149" t="s">
        <v>2553</v>
      </c>
      <c r="AB15" s="150" t="s">
        <v>2548</v>
      </c>
    </row>
    <row r="16" spans="1:28" x14ac:dyDescent="0.25">
      <c r="A16" s="307" t="s">
        <v>2932</v>
      </c>
      <c r="B16" s="194" t="s">
        <v>2933</v>
      </c>
      <c r="C16" s="194" t="s">
        <v>1856</v>
      </c>
      <c r="D16" s="194" t="s">
        <v>610</v>
      </c>
      <c r="E16" s="308" t="s">
        <v>2774</v>
      </c>
      <c r="G16" s="261" t="s">
        <v>161</v>
      </c>
      <c r="H16" s="269" t="s">
        <v>162</v>
      </c>
      <c r="I16" s="269" t="s">
        <v>163</v>
      </c>
      <c r="J16" s="269" t="s">
        <v>164</v>
      </c>
      <c r="K16" s="269" t="s">
        <v>165</v>
      </c>
      <c r="L16" s="269" t="s">
        <v>2680</v>
      </c>
      <c r="M16" s="262" t="s">
        <v>1072</v>
      </c>
      <c r="N16" s="122"/>
      <c r="O16" s="130" t="s">
        <v>669</v>
      </c>
      <c r="P16" s="26" t="s">
        <v>670</v>
      </c>
      <c r="Q16" s="120"/>
      <c r="R16" s="123" t="s">
        <v>802</v>
      </c>
      <c r="S16" s="155" t="s">
        <v>803</v>
      </c>
      <c r="T16" s="155" t="s">
        <v>805</v>
      </c>
      <c r="U16" s="155" t="s">
        <v>804</v>
      </c>
      <c r="V16" s="124" t="s">
        <v>806</v>
      </c>
    </row>
    <row r="17" spans="1:22" x14ac:dyDescent="0.25">
      <c r="A17" s="307" t="s">
        <v>2934</v>
      </c>
      <c r="B17" s="194" t="s">
        <v>2935</v>
      </c>
      <c r="C17" s="194" t="s">
        <v>1856</v>
      </c>
      <c r="D17" s="194" t="s">
        <v>502</v>
      </c>
      <c r="E17" s="308" t="s">
        <v>2775</v>
      </c>
      <c r="G17" s="261" t="s">
        <v>166</v>
      </c>
      <c r="H17" s="269" t="s">
        <v>167</v>
      </c>
      <c r="I17" s="269" t="s">
        <v>168</v>
      </c>
      <c r="J17" s="269" t="s">
        <v>169</v>
      </c>
      <c r="K17" s="269" t="s">
        <v>170</v>
      </c>
      <c r="L17" s="269" t="s">
        <v>2680</v>
      </c>
      <c r="M17" s="262" t="s">
        <v>1072</v>
      </c>
      <c r="N17" s="122"/>
      <c r="O17" s="130" t="s">
        <v>638</v>
      </c>
      <c r="P17" s="26" t="s">
        <v>639</v>
      </c>
      <c r="Q17" s="120"/>
      <c r="R17" s="128">
        <v>0</v>
      </c>
      <c r="S17" s="158" t="s">
        <v>807</v>
      </c>
      <c r="T17" s="158" t="s">
        <v>27</v>
      </c>
      <c r="U17" s="158" t="s">
        <v>808</v>
      </c>
      <c r="V17" s="129" t="s">
        <v>809</v>
      </c>
    </row>
    <row r="18" spans="1:22" x14ac:dyDescent="0.25">
      <c r="A18" s="307" t="s">
        <v>2936</v>
      </c>
      <c r="B18" s="194" t="s">
        <v>2937</v>
      </c>
      <c r="C18" s="194" t="s">
        <v>1856</v>
      </c>
      <c r="D18" s="194" t="s">
        <v>381</v>
      </c>
      <c r="E18" s="308" t="s">
        <v>2776</v>
      </c>
      <c r="G18" s="261" t="s">
        <v>171</v>
      </c>
      <c r="H18" s="269" t="s">
        <v>172</v>
      </c>
      <c r="I18" s="269" t="s">
        <v>173</v>
      </c>
      <c r="J18" s="269" t="s">
        <v>174</v>
      </c>
      <c r="K18" s="269" t="s">
        <v>175</v>
      </c>
      <c r="L18" s="269" t="s">
        <v>2680</v>
      </c>
      <c r="M18" s="262" t="s">
        <v>1072</v>
      </c>
      <c r="N18" s="122"/>
      <c r="O18" s="130" t="s">
        <v>662</v>
      </c>
      <c r="P18" s="26" t="s">
        <v>663</v>
      </c>
      <c r="Q18" s="120"/>
      <c r="R18" s="128">
        <v>1</v>
      </c>
      <c r="S18" s="158" t="s">
        <v>810</v>
      </c>
      <c r="T18" s="158" t="s">
        <v>846</v>
      </c>
      <c r="U18" s="158" t="s">
        <v>811</v>
      </c>
      <c r="V18" s="129" t="s">
        <v>812</v>
      </c>
    </row>
    <row r="19" spans="1:22" x14ac:dyDescent="0.25">
      <c r="A19" s="307" t="s">
        <v>2938</v>
      </c>
      <c r="B19" s="194" t="s">
        <v>2939</v>
      </c>
      <c r="C19" s="194" t="s">
        <v>1856</v>
      </c>
      <c r="D19" s="194" t="s">
        <v>1527</v>
      </c>
      <c r="E19" s="308" t="s">
        <v>2777</v>
      </c>
      <c r="G19" s="261" t="s">
        <v>176</v>
      </c>
      <c r="H19" s="269" t="s">
        <v>177</v>
      </c>
      <c r="I19" s="269" t="s">
        <v>178</v>
      </c>
      <c r="J19" s="269" t="s">
        <v>179</v>
      </c>
      <c r="K19" s="269" t="s">
        <v>180</v>
      </c>
      <c r="L19" s="269" t="s">
        <v>2680</v>
      </c>
      <c r="M19" s="262" t="s">
        <v>1072</v>
      </c>
      <c r="N19" s="122"/>
      <c r="O19" s="130" t="s">
        <v>660</v>
      </c>
      <c r="P19" s="26" t="s">
        <v>661</v>
      </c>
      <c r="Q19" s="120"/>
      <c r="R19" s="128">
        <v>2</v>
      </c>
      <c r="S19" s="158" t="s">
        <v>813</v>
      </c>
      <c r="T19" s="158" t="s">
        <v>847</v>
      </c>
      <c r="U19" s="158" t="s">
        <v>814</v>
      </c>
      <c r="V19" s="129" t="s">
        <v>815</v>
      </c>
    </row>
    <row r="20" spans="1:22" x14ac:dyDescent="0.25">
      <c r="A20" s="307" t="s">
        <v>2940</v>
      </c>
      <c r="B20" s="194" t="s">
        <v>2941</v>
      </c>
      <c r="C20" s="194" t="s">
        <v>1856</v>
      </c>
      <c r="D20" s="194" t="s">
        <v>611</v>
      </c>
      <c r="E20" s="308" t="s">
        <v>2778</v>
      </c>
      <c r="G20" s="261" t="s">
        <v>181</v>
      </c>
      <c r="H20" s="269" t="s">
        <v>182</v>
      </c>
      <c r="I20" s="269" t="s">
        <v>183</v>
      </c>
      <c r="J20" s="269" t="s">
        <v>184</v>
      </c>
      <c r="K20" s="269" t="s">
        <v>185</v>
      </c>
      <c r="L20" s="269" t="s">
        <v>2680</v>
      </c>
      <c r="M20" s="262" t="s">
        <v>1072</v>
      </c>
      <c r="N20" s="122"/>
      <c r="O20" s="130" t="s">
        <v>641</v>
      </c>
      <c r="P20" s="26" t="s">
        <v>642</v>
      </c>
      <c r="Q20" s="120"/>
      <c r="R20" s="128">
        <v>3</v>
      </c>
      <c r="S20" s="158" t="s">
        <v>816</v>
      </c>
      <c r="T20" s="158" t="s">
        <v>848</v>
      </c>
      <c r="U20" s="158" t="s">
        <v>817</v>
      </c>
      <c r="V20" s="129" t="s">
        <v>818</v>
      </c>
    </row>
    <row r="21" spans="1:22" x14ac:dyDescent="0.25">
      <c r="A21" s="307" t="s">
        <v>2942</v>
      </c>
      <c r="B21" s="194" t="s">
        <v>2943</v>
      </c>
      <c r="C21" s="194" t="s">
        <v>1856</v>
      </c>
      <c r="D21" s="194" t="s">
        <v>612</v>
      </c>
      <c r="E21" s="308" t="s">
        <v>2779</v>
      </c>
      <c r="G21" s="261" t="s">
        <v>227</v>
      </c>
      <c r="H21" s="269" t="s">
        <v>228</v>
      </c>
      <c r="I21" s="269" t="s">
        <v>229</v>
      </c>
      <c r="J21" s="269" t="s">
        <v>230</v>
      </c>
      <c r="K21" s="269" t="s">
        <v>231</v>
      </c>
      <c r="L21" s="269" t="s">
        <v>2680</v>
      </c>
      <c r="M21" s="262" t="s">
        <v>1072</v>
      </c>
      <c r="N21" s="122"/>
      <c r="O21" s="130" t="s">
        <v>647</v>
      </c>
      <c r="P21" s="26" t="s">
        <v>648</v>
      </c>
      <c r="Q21" s="120"/>
      <c r="R21" s="128">
        <v>4</v>
      </c>
      <c r="S21" s="158" t="s">
        <v>819</v>
      </c>
      <c r="T21" s="158" t="s">
        <v>849</v>
      </c>
      <c r="U21" s="158" t="s">
        <v>820</v>
      </c>
      <c r="V21" s="129" t="s">
        <v>821</v>
      </c>
    </row>
    <row r="22" spans="1:22" x14ac:dyDescent="0.25">
      <c r="A22" s="307" t="s">
        <v>2944</v>
      </c>
      <c r="B22" s="194" t="s">
        <v>2945</v>
      </c>
      <c r="C22" s="194" t="s">
        <v>1856</v>
      </c>
      <c r="D22" s="194" t="s">
        <v>613</v>
      </c>
      <c r="E22" s="308" t="s">
        <v>2780</v>
      </c>
      <c r="G22" s="261" t="s">
        <v>232</v>
      </c>
      <c r="H22" s="269" t="s">
        <v>233</v>
      </c>
      <c r="I22" s="269" t="s">
        <v>234</v>
      </c>
      <c r="J22" s="269" t="s">
        <v>235</v>
      </c>
      <c r="K22" s="269" t="s">
        <v>236</v>
      </c>
      <c r="L22" s="269" t="s">
        <v>2680</v>
      </c>
      <c r="M22" s="262" t="s">
        <v>1072</v>
      </c>
      <c r="N22" s="122"/>
      <c r="O22" s="130" t="s">
        <v>692</v>
      </c>
      <c r="P22" s="26" t="s">
        <v>2717</v>
      </c>
      <c r="Q22" s="120"/>
      <c r="R22" s="128">
        <v>5</v>
      </c>
      <c r="S22" s="158" t="s">
        <v>822</v>
      </c>
      <c r="T22" s="158" t="s">
        <v>850</v>
      </c>
      <c r="U22" s="158" t="s">
        <v>823</v>
      </c>
      <c r="V22" s="129" t="s">
        <v>824</v>
      </c>
    </row>
    <row r="23" spans="1:22" x14ac:dyDescent="0.25">
      <c r="A23" s="307" t="s">
        <v>2946</v>
      </c>
      <c r="B23" s="194" t="s">
        <v>2947</v>
      </c>
      <c r="C23" s="194" t="s">
        <v>1856</v>
      </c>
      <c r="D23" s="194" t="s">
        <v>2699</v>
      </c>
      <c r="E23" s="308" t="s">
        <v>2781</v>
      </c>
      <c r="G23" s="261" t="s">
        <v>237</v>
      </c>
      <c r="H23" s="269" t="s">
        <v>238</v>
      </c>
      <c r="I23" s="269" t="s">
        <v>239</v>
      </c>
      <c r="J23" s="269" t="s">
        <v>240</v>
      </c>
      <c r="K23" s="269" t="s">
        <v>241</v>
      </c>
      <c r="L23" s="269" t="s">
        <v>2680</v>
      </c>
      <c r="M23" s="262" t="s">
        <v>1072</v>
      </c>
      <c r="N23" s="122"/>
      <c r="O23" s="130" t="s">
        <v>687</v>
      </c>
      <c r="P23" s="26" t="s">
        <v>1838</v>
      </c>
      <c r="Q23" s="120"/>
      <c r="R23" s="128">
        <v>6</v>
      </c>
      <c r="S23" s="158" t="s">
        <v>825</v>
      </c>
      <c r="T23" s="158" t="s">
        <v>851</v>
      </c>
      <c r="U23" s="158" t="s">
        <v>826</v>
      </c>
      <c r="V23" s="129" t="s">
        <v>827</v>
      </c>
    </row>
    <row r="24" spans="1:22" x14ac:dyDescent="0.25">
      <c r="A24" s="307" t="s">
        <v>2948</v>
      </c>
      <c r="B24" s="194" t="s">
        <v>2949</v>
      </c>
      <c r="C24" s="194" t="s">
        <v>1856</v>
      </c>
      <c r="D24" s="194" t="s">
        <v>614</v>
      </c>
      <c r="E24" s="308" t="s">
        <v>2782</v>
      </c>
      <c r="G24" s="261" t="s">
        <v>242</v>
      </c>
      <c r="H24" s="269" t="s">
        <v>243</v>
      </c>
      <c r="I24" s="269" t="s">
        <v>244</v>
      </c>
      <c r="J24" s="269" t="s">
        <v>245</v>
      </c>
      <c r="K24" s="269" t="s">
        <v>246</v>
      </c>
      <c r="L24" s="269" t="s">
        <v>2680</v>
      </c>
      <c r="M24" s="262" t="s">
        <v>1072</v>
      </c>
      <c r="N24" s="122"/>
      <c r="O24" s="130" t="s">
        <v>655</v>
      </c>
      <c r="P24" s="26" t="s">
        <v>656</v>
      </c>
      <c r="Q24" s="120"/>
      <c r="R24" s="128">
        <v>7</v>
      </c>
      <c r="S24" s="158" t="s">
        <v>828</v>
      </c>
      <c r="T24" s="158" t="s">
        <v>852</v>
      </c>
      <c r="U24" s="158" t="s">
        <v>829</v>
      </c>
      <c r="V24" s="129" t="s">
        <v>830</v>
      </c>
    </row>
    <row r="25" spans="1:22" x14ac:dyDescent="0.25">
      <c r="A25" s="307" t="s">
        <v>2950</v>
      </c>
      <c r="B25" s="194" t="s">
        <v>2951</v>
      </c>
      <c r="C25" s="194" t="s">
        <v>1856</v>
      </c>
      <c r="D25" s="194" t="s">
        <v>615</v>
      </c>
      <c r="E25" s="308" t="s">
        <v>2783</v>
      </c>
      <c r="G25" s="261" t="s">
        <v>1077</v>
      </c>
      <c r="H25" s="269" t="s">
        <v>1078</v>
      </c>
      <c r="I25" s="269" t="s">
        <v>1079</v>
      </c>
      <c r="J25" s="269" t="s">
        <v>1080</v>
      </c>
      <c r="K25" s="269" t="s">
        <v>1081</v>
      </c>
      <c r="L25" s="265" t="s">
        <v>2680</v>
      </c>
      <c r="M25" s="264" t="s">
        <v>1072</v>
      </c>
      <c r="N25" s="122"/>
      <c r="O25" s="130" t="s">
        <v>690</v>
      </c>
      <c r="P25" s="26" t="s">
        <v>1839</v>
      </c>
      <c r="Q25" s="120"/>
      <c r="R25" s="128">
        <v>8</v>
      </c>
      <c r="S25" s="158" t="s">
        <v>831</v>
      </c>
      <c r="T25" s="158" t="s">
        <v>853</v>
      </c>
      <c r="U25" s="158" t="s">
        <v>832</v>
      </c>
      <c r="V25" s="129" t="s">
        <v>833</v>
      </c>
    </row>
    <row r="26" spans="1:22" x14ac:dyDescent="0.25">
      <c r="A26" s="307" t="s">
        <v>2952</v>
      </c>
      <c r="B26" s="194" t="s">
        <v>2953</v>
      </c>
      <c r="C26" s="194" t="s">
        <v>1856</v>
      </c>
      <c r="D26" s="194" t="s">
        <v>616</v>
      </c>
      <c r="E26" s="308" t="s">
        <v>2784</v>
      </c>
      <c r="G26" s="261" t="s">
        <v>124</v>
      </c>
      <c r="H26" s="269" t="s">
        <v>125</v>
      </c>
      <c r="I26" s="269" t="s">
        <v>126</v>
      </c>
      <c r="J26" s="269" t="s">
        <v>127</v>
      </c>
      <c r="K26" s="269" t="s">
        <v>1083</v>
      </c>
      <c r="L26" s="269" t="s">
        <v>2681</v>
      </c>
      <c r="M26" s="262" t="s">
        <v>1072</v>
      </c>
      <c r="N26" s="122"/>
      <c r="O26" s="130" t="s">
        <v>653</v>
      </c>
      <c r="P26" s="26" t="s">
        <v>654</v>
      </c>
      <c r="Q26" s="120"/>
      <c r="R26" s="128">
        <v>9</v>
      </c>
      <c r="S26" s="158" t="s">
        <v>834</v>
      </c>
      <c r="T26" s="158" t="s">
        <v>854</v>
      </c>
      <c r="U26" s="158" t="s">
        <v>835</v>
      </c>
      <c r="V26" s="129" t="s">
        <v>836</v>
      </c>
    </row>
    <row r="27" spans="1:22" x14ac:dyDescent="0.25">
      <c r="A27" s="307" t="s">
        <v>2954</v>
      </c>
      <c r="B27" s="194" t="s">
        <v>2955</v>
      </c>
      <c r="C27" s="194" t="s">
        <v>1856</v>
      </c>
      <c r="D27" s="194" t="s">
        <v>1792</v>
      </c>
      <c r="E27" s="308" t="s">
        <v>2785</v>
      </c>
      <c r="G27" s="261" t="s">
        <v>191</v>
      </c>
      <c r="H27" s="269" t="s">
        <v>192</v>
      </c>
      <c r="I27" s="269" t="s">
        <v>193</v>
      </c>
      <c r="J27" s="269" t="s">
        <v>194</v>
      </c>
      <c r="K27" s="269" t="s">
        <v>195</v>
      </c>
      <c r="L27" s="269" t="s">
        <v>2681</v>
      </c>
      <c r="M27" s="262" t="s">
        <v>1072</v>
      </c>
      <c r="N27" s="122"/>
      <c r="O27" s="130" t="s">
        <v>651</v>
      </c>
      <c r="P27" s="26" t="s">
        <v>652</v>
      </c>
      <c r="Q27" s="120"/>
      <c r="R27" s="128">
        <v>10</v>
      </c>
      <c r="S27" s="158" t="s">
        <v>837</v>
      </c>
      <c r="T27" s="158" t="s">
        <v>855</v>
      </c>
      <c r="U27" s="158" t="s">
        <v>838</v>
      </c>
      <c r="V27" s="129" t="s">
        <v>839</v>
      </c>
    </row>
    <row r="28" spans="1:22" x14ac:dyDescent="0.25">
      <c r="A28" s="307" t="s">
        <v>2956</v>
      </c>
      <c r="B28" s="194" t="s">
        <v>2957</v>
      </c>
      <c r="C28" s="194" t="s">
        <v>1856</v>
      </c>
      <c r="D28" s="194" t="s">
        <v>617</v>
      </c>
      <c r="E28" s="308" t="s">
        <v>2786</v>
      </c>
      <c r="G28" s="261" t="s">
        <v>222</v>
      </c>
      <c r="H28" s="269" t="s">
        <v>223</v>
      </c>
      <c r="I28" s="269" t="s">
        <v>224</v>
      </c>
      <c r="J28" s="269" t="s">
        <v>225</v>
      </c>
      <c r="K28" s="269" t="s">
        <v>226</v>
      </c>
      <c r="L28" s="269" t="s">
        <v>2681</v>
      </c>
      <c r="M28" s="262" t="s">
        <v>1072</v>
      </c>
      <c r="N28" s="122"/>
      <c r="O28" s="130" t="s">
        <v>649</v>
      </c>
      <c r="P28" s="26" t="s">
        <v>650</v>
      </c>
      <c r="Q28" s="120"/>
      <c r="R28" s="128">
        <v>11</v>
      </c>
      <c r="S28" s="158" t="s">
        <v>840</v>
      </c>
      <c r="T28" s="158" t="s">
        <v>856</v>
      </c>
      <c r="U28" s="158" t="s">
        <v>841</v>
      </c>
      <c r="V28" s="129" t="s">
        <v>842</v>
      </c>
    </row>
    <row r="29" spans="1:22" x14ac:dyDescent="0.25">
      <c r="A29" s="307" t="s">
        <v>2958</v>
      </c>
      <c r="B29" s="194" t="s">
        <v>2959</v>
      </c>
      <c r="C29" s="194" t="s">
        <v>1856</v>
      </c>
      <c r="D29" s="194" t="s">
        <v>618</v>
      </c>
      <c r="E29" s="308" t="s">
        <v>2787</v>
      </c>
      <c r="G29" s="261" t="s">
        <v>1089</v>
      </c>
      <c r="H29" s="269" t="s">
        <v>1090</v>
      </c>
      <c r="I29" s="269" t="s">
        <v>1091</v>
      </c>
      <c r="J29" s="269" t="s">
        <v>1092</v>
      </c>
      <c r="K29" s="269" t="s">
        <v>1093</v>
      </c>
      <c r="L29" s="269" t="s">
        <v>2681</v>
      </c>
      <c r="M29" s="262" t="s">
        <v>1072</v>
      </c>
      <c r="N29" s="122"/>
      <c r="O29" s="130" t="s">
        <v>1840</v>
      </c>
      <c r="P29" s="26" t="s">
        <v>1841</v>
      </c>
      <c r="Q29" s="120"/>
      <c r="R29" s="140">
        <v>12</v>
      </c>
      <c r="S29" s="159" t="s">
        <v>843</v>
      </c>
      <c r="T29" s="159" t="s">
        <v>857</v>
      </c>
      <c r="U29" s="159" t="s">
        <v>844</v>
      </c>
      <c r="V29" s="141" t="s">
        <v>845</v>
      </c>
    </row>
    <row r="30" spans="1:22" x14ac:dyDescent="0.25">
      <c r="A30" s="307" t="s">
        <v>2960</v>
      </c>
      <c r="B30" s="194" t="s">
        <v>2961</v>
      </c>
      <c r="C30" s="194" t="s">
        <v>1856</v>
      </c>
      <c r="D30" s="194" t="s">
        <v>619</v>
      </c>
      <c r="E30" s="308" t="s">
        <v>2788</v>
      </c>
      <c r="G30" s="261" t="s">
        <v>1099</v>
      </c>
      <c r="H30" s="269" t="s">
        <v>1100</v>
      </c>
      <c r="I30" s="269" t="s">
        <v>1101</v>
      </c>
      <c r="J30" s="269" t="s">
        <v>1102</v>
      </c>
      <c r="K30" s="269" t="s">
        <v>1103</v>
      </c>
      <c r="L30" s="269" t="s">
        <v>2681</v>
      </c>
      <c r="M30" s="262" t="s">
        <v>1072</v>
      </c>
      <c r="N30" s="122"/>
      <c r="O30" s="130" t="s">
        <v>1842</v>
      </c>
      <c r="P30" s="26" t="s">
        <v>1843</v>
      </c>
      <c r="Q30" s="120"/>
      <c r="R30" s="120"/>
      <c r="S30" s="120"/>
      <c r="T30" s="120"/>
      <c r="U30" s="120"/>
      <c r="V30" s="120"/>
    </row>
    <row r="31" spans="1:22" x14ac:dyDescent="0.25">
      <c r="A31" s="307" t="s">
        <v>2962</v>
      </c>
      <c r="B31" s="194" t="s">
        <v>2963</v>
      </c>
      <c r="C31" s="194" t="s">
        <v>1856</v>
      </c>
      <c r="D31" s="194" t="s">
        <v>620</v>
      </c>
      <c r="E31" s="308" t="s">
        <v>2789</v>
      </c>
      <c r="G31" s="261" t="s">
        <v>247</v>
      </c>
      <c r="H31" s="269" t="s">
        <v>248</v>
      </c>
      <c r="I31" s="269" t="s">
        <v>249</v>
      </c>
      <c r="J31" s="269" t="s">
        <v>250</v>
      </c>
      <c r="K31" s="269" t="s">
        <v>251</v>
      </c>
      <c r="L31" s="269" t="s">
        <v>2681</v>
      </c>
      <c r="M31" s="262" t="s">
        <v>1072</v>
      </c>
      <c r="N31" s="122"/>
      <c r="O31" s="130" t="s">
        <v>1844</v>
      </c>
      <c r="P31" s="26" t="s">
        <v>1845</v>
      </c>
      <c r="Q31" s="120"/>
      <c r="R31" s="120"/>
      <c r="S31" s="120"/>
      <c r="T31" s="120"/>
      <c r="U31" s="120"/>
      <c r="V31" s="120"/>
    </row>
    <row r="32" spans="1:22" x14ac:dyDescent="0.25">
      <c r="A32" s="309" t="s">
        <v>2964</v>
      </c>
      <c r="B32" s="194" t="s">
        <v>2965</v>
      </c>
      <c r="C32" s="194" t="s">
        <v>1856</v>
      </c>
      <c r="D32" s="194" t="s">
        <v>2700</v>
      </c>
      <c r="E32" s="308" t="s">
        <v>2790</v>
      </c>
      <c r="G32" s="261" t="s">
        <v>1104</v>
      </c>
      <c r="H32" s="269" t="s">
        <v>1105</v>
      </c>
      <c r="I32" s="269" t="s">
        <v>1106</v>
      </c>
      <c r="J32" s="269" t="s">
        <v>1107</v>
      </c>
      <c r="K32" s="269" t="s">
        <v>1108</v>
      </c>
      <c r="L32" s="269" t="s">
        <v>2681</v>
      </c>
      <c r="M32" s="262" t="s">
        <v>1072</v>
      </c>
      <c r="N32" s="122"/>
      <c r="O32" s="130" t="s">
        <v>645</v>
      </c>
      <c r="P32" s="26" t="s">
        <v>646</v>
      </c>
      <c r="Q32" s="120"/>
      <c r="R32" s="468" t="s">
        <v>924</v>
      </c>
      <c r="S32" s="468"/>
      <c r="T32" s="468"/>
      <c r="U32" s="120"/>
      <c r="V32" s="120"/>
    </row>
    <row r="33" spans="1:22" x14ac:dyDescent="0.25">
      <c r="A33" s="307" t="s">
        <v>2966</v>
      </c>
      <c r="B33" s="194" t="s">
        <v>2967</v>
      </c>
      <c r="C33" s="194" t="s">
        <v>1856</v>
      </c>
      <c r="D33" s="194" t="s">
        <v>621</v>
      </c>
      <c r="E33" s="308" t="s">
        <v>2791</v>
      </c>
      <c r="G33" s="261" t="s">
        <v>252</v>
      </c>
      <c r="H33" s="269" t="s">
        <v>253</v>
      </c>
      <c r="I33" s="269" t="s">
        <v>254</v>
      </c>
      <c r="J33" s="269" t="s">
        <v>255</v>
      </c>
      <c r="K33" s="269" t="s">
        <v>256</v>
      </c>
      <c r="L33" s="269" t="s">
        <v>2681</v>
      </c>
      <c r="M33" s="262" t="s">
        <v>1072</v>
      </c>
      <c r="N33" s="122"/>
      <c r="O33" s="130" t="s">
        <v>665</v>
      </c>
      <c r="P33" s="26" t="s">
        <v>666</v>
      </c>
      <c r="Q33" s="120"/>
      <c r="R33" s="125" t="s">
        <v>2736</v>
      </c>
      <c r="S33" s="126" t="s">
        <v>913</v>
      </c>
      <c r="T33" s="127" t="s">
        <v>914</v>
      </c>
      <c r="U33" s="120"/>
      <c r="V33" s="120"/>
    </row>
    <row r="34" spans="1:22" x14ac:dyDescent="0.25">
      <c r="A34" s="307" t="s">
        <v>2968</v>
      </c>
      <c r="B34" s="194" t="s">
        <v>2969</v>
      </c>
      <c r="C34" s="194" t="s">
        <v>1856</v>
      </c>
      <c r="D34" s="194" t="s">
        <v>622</v>
      </c>
      <c r="E34" s="308" t="s">
        <v>2792</v>
      </c>
      <c r="G34" s="261" t="s">
        <v>257</v>
      </c>
      <c r="H34" s="269" t="s">
        <v>258</v>
      </c>
      <c r="I34" s="269" t="s">
        <v>259</v>
      </c>
      <c r="J34" s="269" t="s">
        <v>260</v>
      </c>
      <c r="K34" s="269" t="s">
        <v>261</v>
      </c>
      <c r="L34" s="269" t="s">
        <v>2681</v>
      </c>
      <c r="M34" s="262" t="s">
        <v>1072</v>
      </c>
      <c r="N34" s="122"/>
      <c r="O34" s="130" t="s">
        <v>688</v>
      </c>
      <c r="P34" s="26" t="s">
        <v>1846</v>
      </c>
      <c r="Q34" s="120"/>
      <c r="R34" s="131" t="s">
        <v>100</v>
      </c>
      <c r="S34" s="122" t="s">
        <v>17</v>
      </c>
      <c r="T34" s="132" t="s">
        <v>17</v>
      </c>
      <c r="U34" s="120"/>
      <c r="V34" s="120"/>
    </row>
    <row r="35" spans="1:22" x14ac:dyDescent="0.25">
      <c r="A35" s="307" t="s">
        <v>2970</v>
      </c>
      <c r="B35" s="194" t="s">
        <v>2971</v>
      </c>
      <c r="C35" s="194" t="s">
        <v>1856</v>
      </c>
      <c r="D35" s="194" t="s">
        <v>623</v>
      </c>
      <c r="E35" s="308" t="s">
        <v>2793</v>
      </c>
      <c r="G35" s="261" t="s">
        <v>268</v>
      </c>
      <c r="H35" s="269" t="s">
        <v>269</v>
      </c>
      <c r="I35" s="269" t="s">
        <v>270</v>
      </c>
      <c r="J35" s="269" t="s">
        <v>271</v>
      </c>
      <c r="K35" s="269" t="s">
        <v>272</v>
      </c>
      <c r="L35" s="269" t="s">
        <v>2681</v>
      </c>
      <c r="M35" s="262" t="s">
        <v>1072</v>
      </c>
      <c r="N35" s="122"/>
      <c r="O35" s="130" t="s">
        <v>682</v>
      </c>
      <c r="P35" s="26" t="s">
        <v>2718</v>
      </c>
      <c r="Q35" s="120"/>
      <c r="R35" s="131" t="s">
        <v>916</v>
      </c>
      <c r="S35" s="122" t="s">
        <v>903</v>
      </c>
      <c r="T35" s="132" t="s">
        <v>904</v>
      </c>
      <c r="U35" s="120"/>
      <c r="V35" s="120"/>
    </row>
    <row r="36" spans="1:22" x14ac:dyDescent="0.25">
      <c r="A36" s="307" t="s">
        <v>2972</v>
      </c>
      <c r="B36" s="194" t="s">
        <v>2973</v>
      </c>
      <c r="C36" s="194" t="s">
        <v>1856</v>
      </c>
      <c r="D36" s="194" t="s">
        <v>624</v>
      </c>
      <c r="E36" s="308" t="s">
        <v>2794</v>
      </c>
      <c r="G36" s="261" t="s">
        <v>273</v>
      </c>
      <c r="H36" s="269" t="s">
        <v>274</v>
      </c>
      <c r="I36" s="269" t="s">
        <v>275</v>
      </c>
      <c r="J36" s="269" t="s">
        <v>276</v>
      </c>
      <c r="K36" s="269" t="s">
        <v>277</v>
      </c>
      <c r="L36" s="269" t="s">
        <v>2681</v>
      </c>
      <c r="M36" s="262" t="s">
        <v>1072</v>
      </c>
      <c r="N36" s="122"/>
      <c r="O36" s="130" t="s">
        <v>689</v>
      </c>
      <c r="P36" s="26" t="s">
        <v>1847</v>
      </c>
      <c r="Q36" s="120"/>
      <c r="R36" s="131" t="s">
        <v>917</v>
      </c>
      <c r="S36" s="122" t="s">
        <v>905</v>
      </c>
      <c r="T36" s="132" t="s">
        <v>906</v>
      </c>
      <c r="U36" s="120"/>
      <c r="V36" s="120"/>
    </row>
    <row r="37" spans="1:22" x14ac:dyDescent="0.25">
      <c r="A37" s="307" t="s">
        <v>2974</v>
      </c>
      <c r="B37" s="194" t="s">
        <v>2975</v>
      </c>
      <c r="C37" s="194" t="s">
        <v>1856</v>
      </c>
      <c r="D37" s="194" t="s">
        <v>463</v>
      </c>
      <c r="E37" s="308" t="s">
        <v>2795</v>
      </c>
      <c r="G37" s="261" t="s">
        <v>278</v>
      </c>
      <c r="H37" s="269" t="s">
        <v>279</v>
      </c>
      <c r="I37" s="269" t="s">
        <v>280</v>
      </c>
      <c r="J37" s="269" t="s">
        <v>281</v>
      </c>
      <c r="K37" s="269" t="s">
        <v>282</v>
      </c>
      <c r="L37" s="269" t="s">
        <v>2681</v>
      </c>
      <c r="M37" s="262" t="s">
        <v>1072</v>
      </c>
      <c r="N37" s="122"/>
      <c r="O37" s="130" t="s">
        <v>664</v>
      </c>
      <c r="P37" s="26" t="s">
        <v>1848</v>
      </c>
      <c r="Q37" s="120"/>
      <c r="R37" s="131" t="s">
        <v>918</v>
      </c>
      <c r="S37" s="122" t="s">
        <v>907</v>
      </c>
      <c r="T37" s="132" t="s">
        <v>908</v>
      </c>
      <c r="U37" s="120"/>
      <c r="V37" s="120"/>
    </row>
    <row r="38" spans="1:22" x14ac:dyDescent="0.25">
      <c r="A38" s="309" t="s">
        <v>2976</v>
      </c>
      <c r="B38" s="194" t="s">
        <v>2977</v>
      </c>
      <c r="C38" s="194" t="s">
        <v>1856</v>
      </c>
      <c r="D38" s="194" t="s">
        <v>2701</v>
      </c>
      <c r="E38" s="308" t="s">
        <v>2796</v>
      </c>
      <c r="G38" s="261" t="s">
        <v>283</v>
      </c>
      <c r="H38" s="269" t="s">
        <v>1109</v>
      </c>
      <c r="I38" s="269" t="s">
        <v>284</v>
      </c>
      <c r="J38" s="269" t="s">
        <v>285</v>
      </c>
      <c r="K38" s="269" t="s">
        <v>286</v>
      </c>
      <c r="L38" s="269" t="s">
        <v>2681</v>
      </c>
      <c r="M38" s="262" t="s">
        <v>1072</v>
      </c>
      <c r="N38" s="122"/>
      <c r="O38" s="130" t="s">
        <v>671</v>
      </c>
      <c r="P38" s="26" t="s">
        <v>1849</v>
      </c>
      <c r="Q38" s="120"/>
      <c r="R38" s="131" t="s">
        <v>919</v>
      </c>
      <c r="S38" s="122" t="s">
        <v>909</v>
      </c>
      <c r="T38" s="132" t="s">
        <v>910</v>
      </c>
      <c r="U38" s="120"/>
      <c r="V38" s="120"/>
    </row>
    <row r="39" spans="1:22" x14ac:dyDescent="0.25">
      <c r="A39" s="307" t="s">
        <v>2978</v>
      </c>
      <c r="B39" s="194" t="s">
        <v>2979</v>
      </c>
      <c r="C39" s="194" t="s">
        <v>1856</v>
      </c>
      <c r="D39" s="194" t="s">
        <v>625</v>
      </c>
      <c r="E39" s="308" t="s">
        <v>2797</v>
      </c>
      <c r="G39" s="261" t="s">
        <v>262</v>
      </c>
      <c r="H39" s="269" t="s">
        <v>263</v>
      </c>
      <c r="I39" s="269" t="s">
        <v>264</v>
      </c>
      <c r="J39" s="269" t="s">
        <v>265</v>
      </c>
      <c r="K39" s="269" t="s">
        <v>266</v>
      </c>
      <c r="L39" s="269" t="s">
        <v>2681</v>
      </c>
      <c r="M39" s="270" t="s">
        <v>1082</v>
      </c>
      <c r="N39" s="122"/>
      <c r="O39" s="130" t="s">
        <v>672</v>
      </c>
      <c r="P39" s="26" t="s">
        <v>1850</v>
      </c>
      <c r="Q39" s="120"/>
      <c r="R39" s="152" t="s">
        <v>920</v>
      </c>
      <c r="S39" s="153" t="s">
        <v>911</v>
      </c>
      <c r="T39" s="154" t="s">
        <v>912</v>
      </c>
      <c r="U39" s="120"/>
      <c r="V39" s="120"/>
    </row>
    <row r="40" spans="1:22" x14ac:dyDescent="0.25">
      <c r="A40" s="307" t="s">
        <v>2980</v>
      </c>
      <c r="B40" s="194" t="s">
        <v>2981</v>
      </c>
      <c r="C40" s="194" t="s">
        <v>1856</v>
      </c>
      <c r="D40" s="194" t="s">
        <v>626</v>
      </c>
      <c r="E40" s="308" t="s">
        <v>2798</v>
      </c>
      <c r="G40" s="261" t="s">
        <v>212</v>
      </c>
      <c r="H40" s="269" t="s">
        <v>213</v>
      </c>
      <c r="I40" s="269" t="s">
        <v>214</v>
      </c>
      <c r="J40" s="269" t="s">
        <v>215</v>
      </c>
      <c r="K40" s="269" t="s">
        <v>216</v>
      </c>
      <c r="L40" s="269" t="s">
        <v>2681</v>
      </c>
      <c r="M40" s="270" t="s">
        <v>1110</v>
      </c>
      <c r="N40" s="122"/>
      <c r="O40" s="130" t="s">
        <v>675</v>
      </c>
      <c r="P40" s="26" t="s">
        <v>676</v>
      </c>
      <c r="Q40" s="120"/>
      <c r="R40" s="120"/>
      <c r="S40" s="120"/>
      <c r="T40" s="120"/>
      <c r="U40" s="120"/>
      <c r="V40" s="120"/>
    </row>
    <row r="41" spans="1:22" x14ac:dyDescent="0.25">
      <c r="A41" s="307" t="s">
        <v>469</v>
      </c>
      <c r="B41" s="194" t="s">
        <v>468</v>
      </c>
      <c r="C41" s="194" t="s">
        <v>1856</v>
      </c>
      <c r="D41" s="194" t="s">
        <v>468</v>
      </c>
      <c r="E41" s="308" t="s">
        <v>2800</v>
      </c>
      <c r="G41" s="261" t="s">
        <v>217</v>
      </c>
      <c r="H41" s="269" t="s">
        <v>218</v>
      </c>
      <c r="I41" s="269" t="s">
        <v>219</v>
      </c>
      <c r="J41" s="269" t="s">
        <v>220</v>
      </c>
      <c r="K41" s="269" t="s">
        <v>221</v>
      </c>
      <c r="L41" s="265" t="s">
        <v>2681</v>
      </c>
      <c r="M41" s="271" t="s">
        <v>1111</v>
      </c>
      <c r="N41" s="122"/>
      <c r="O41" s="130" t="s">
        <v>677</v>
      </c>
      <c r="P41" s="26" t="s">
        <v>678</v>
      </c>
      <c r="Q41" s="120"/>
      <c r="R41" s="120"/>
      <c r="S41" s="120"/>
      <c r="T41" s="120"/>
      <c r="U41" s="120"/>
      <c r="V41" s="120"/>
    </row>
    <row r="42" spans="1:22" x14ac:dyDescent="0.25">
      <c r="A42" s="307" t="s">
        <v>555</v>
      </c>
      <c r="B42" s="194" t="s">
        <v>554</v>
      </c>
      <c r="C42" s="194" t="s">
        <v>1856</v>
      </c>
      <c r="D42" s="194" t="s">
        <v>554</v>
      </c>
      <c r="E42" s="308" t="s">
        <v>2801</v>
      </c>
      <c r="G42" s="261" t="s">
        <v>306</v>
      </c>
      <c r="H42" s="269" t="s">
        <v>307</v>
      </c>
      <c r="I42" s="269" t="s">
        <v>308</v>
      </c>
      <c r="J42" s="269" t="s">
        <v>309</v>
      </c>
      <c r="K42" s="269" t="s">
        <v>310</v>
      </c>
      <c r="L42" s="269" t="s">
        <v>2682</v>
      </c>
      <c r="M42" s="262" t="s">
        <v>1072</v>
      </c>
      <c r="N42" s="122"/>
      <c r="O42" s="130" t="s">
        <v>657</v>
      </c>
      <c r="P42" s="26" t="s">
        <v>658</v>
      </c>
      <c r="Q42" s="120"/>
      <c r="R42" s="468" t="s">
        <v>925</v>
      </c>
      <c r="S42" s="468"/>
      <c r="T42" s="120"/>
      <c r="U42" s="120"/>
      <c r="V42" s="120"/>
    </row>
    <row r="43" spans="1:22" x14ac:dyDescent="0.25">
      <c r="A43" s="307" t="s">
        <v>2982</v>
      </c>
      <c r="B43" s="194" t="s">
        <v>2983</v>
      </c>
      <c r="C43" s="194" t="s">
        <v>1856</v>
      </c>
      <c r="D43" s="194" t="s">
        <v>2668</v>
      </c>
      <c r="E43" s="308" t="s">
        <v>2799</v>
      </c>
      <c r="G43" s="261" t="s">
        <v>316</v>
      </c>
      <c r="H43" s="269" t="s">
        <v>317</v>
      </c>
      <c r="I43" s="269" t="s">
        <v>318</v>
      </c>
      <c r="J43" s="269" t="s">
        <v>319</v>
      </c>
      <c r="K43" s="269" t="s">
        <v>320</v>
      </c>
      <c r="L43" s="269" t="s">
        <v>2682</v>
      </c>
      <c r="M43" s="262" t="s">
        <v>1072</v>
      </c>
      <c r="N43" s="122"/>
      <c r="O43" s="130" t="s">
        <v>1851</v>
      </c>
      <c r="P43" s="26" t="s">
        <v>1852</v>
      </c>
      <c r="Q43" s="120"/>
      <c r="R43" s="123" t="s">
        <v>2735</v>
      </c>
      <c r="S43" s="124" t="s">
        <v>715</v>
      </c>
      <c r="T43" s="120"/>
      <c r="U43" s="120"/>
      <c r="V43" s="120"/>
    </row>
    <row r="44" spans="1:22" x14ac:dyDescent="0.25">
      <c r="A44" s="307" t="s">
        <v>2984</v>
      </c>
      <c r="B44" s="194" t="s">
        <v>2985</v>
      </c>
      <c r="C44" s="194" t="s">
        <v>1856</v>
      </c>
      <c r="D44" s="194" t="s">
        <v>627</v>
      </c>
      <c r="E44" s="308" t="s">
        <v>2802</v>
      </c>
      <c r="G44" s="261" t="s">
        <v>337</v>
      </c>
      <c r="H44" s="269" t="s">
        <v>338</v>
      </c>
      <c r="I44" s="269" t="s">
        <v>339</v>
      </c>
      <c r="J44" s="269" t="s">
        <v>340</v>
      </c>
      <c r="K44" s="269" t="s">
        <v>341</v>
      </c>
      <c r="L44" s="265" t="s">
        <v>2682</v>
      </c>
      <c r="M44" s="264" t="s">
        <v>1072</v>
      </c>
      <c r="N44" s="122"/>
      <c r="O44" s="130" t="s">
        <v>673</v>
      </c>
      <c r="P44" s="26" t="s">
        <v>674</v>
      </c>
      <c r="Q44" s="120"/>
      <c r="R44" s="160" t="s">
        <v>100</v>
      </c>
      <c r="S44" s="161" t="s">
        <v>17</v>
      </c>
      <c r="T44" s="120"/>
      <c r="U44" s="120"/>
      <c r="V44" s="120"/>
    </row>
    <row r="45" spans="1:22" x14ac:dyDescent="0.25">
      <c r="A45" s="307" t="s">
        <v>479</v>
      </c>
      <c r="B45" s="194" t="s">
        <v>478</v>
      </c>
      <c r="C45" s="194" t="s">
        <v>1856</v>
      </c>
      <c r="D45" s="194" t="s">
        <v>478</v>
      </c>
      <c r="E45" s="308" t="s">
        <v>2803</v>
      </c>
      <c r="G45" s="261" t="s">
        <v>291</v>
      </c>
      <c r="H45" s="269" t="s">
        <v>292</v>
      </c>
      <c r="I45" s="269" t="s">
        <v>293</v>
      </c>
      <c r="J45" s="269" t="s">
        <v>294</v>
      </c>
      <c r="K45" s="269" t="s">
        <v>295</v>
      </c>
      <c r="L45" s="269" t="s">
        <v>2683</v>
      </c>
      <c r="M45" s="262" t="s">
        <v>1072</v>
      </c>
      <c r="N45" s="122"/>
      <c r="O45" s="130" t="s">
        <v>659</v>
      </c>
      <c r="P45" s="26" t="s">
        <v>1853</v>
      </c>
      <c r="Q45" s="120"/>
      <c r="R45" s="160" t="s">
        <v>716</v>
      </c>
      <c r="S45" s="161" t="s">
        <v>98</v>
      </c>
      <c r="T45" s="120"/>
      <c r="U45" s="120"/>
      <c r="V45" s="120"/>
    </row>
    <row r="46" spans="1:22" x14ac:dyDescent="0.25">
      <c r="A46" s="307" t="s">
        <v>526</v>
      </c>
      <c r="B46" s="194" t="s">
        <v>525</v>
      </c>
      <c r="C46" s="194" t="s">
        <v>1856</v>
      </c>
      <c r="D46" s="194" t="s">
        <v>525</v>
      </c>
      <c r="E46" s="308" t="s">
        <v>2804</v>
      </c>
      <c r="G46" s="261" t="s">
        <v>287</v>
      </c>
      <c r="H46" s="269" t="s">
        <v>288</v>
      </c>
      <c r="I46" s="269" t="s">
        <v>289</v>
      </c>
      <c r="J46" s="269" t="s">
        <v>1112</v>
      </c>
      <c r="K46" s="269" t="s">
        <v>290</v>
      </c>
      <c r="L46" s="269" t="s">
        <v>2683</v>
      </c>
      <c r="M46" s="262" t="s">
        <v>1072</v>
      </c>
      <c r="N46" s="122"/>
      <c r="O46" s="130" t="s">
        <v>607</v>
      </c>
      <c r="P46" s="26" t="s">
        <v>1854</v>
      </c>
      <c r="Q46" s="120"/>
      <c r="R46" s="160" t="s">
        <v>99</v>
      </c>
      <c r="S46" s="161" t="s">
        <v>15</v>
      </c>
      <c r="T46" s="120"/>
      <c r="U46" s="120"/>
      <c r="V46" s="120"/>
    </row>
    <row r="47" spans="1:22" x14ac:dyDescent="0.25">
      <c r="A47" s="307" t="s">
        <v>435</v>
      </c>
      <c r="B47" s="194" t="s">
        <v>434</v>
      </c>
      <c r="C47" s="194" t="s">
        <v>1856</v>
      </c>
      <c r="D47" s="194" t="s">
        <v>434</v>
      </c>
      <c r="E47" s="308" t="s">
        <v>2805</v>
      </c>
      <c r="G47" s="261" t="s">
        <v>296</v>
      </c>
      <c r="H47" s="269" t="s">
        <v>297</v>
      </c>
      <c r="I47" s="269" t="s">
        <v>298</v>
      </c>
      <c r="J47" s="269" t="s">
        <v>299</v>
      </c>
      <c r="K47" s="269" t="s">
        <v>300</v>
      </c>
      <c r="L47" s="269" t="s">
        <v>2683</v>
      </c>
      <c r="M47" s="262" t="s">
        <v>1072</v>
      </c>
      <c r="N47" s="122"/>
      <c r="O47" s="162" t="s">
        <v>632</v>
      </c>
      <c r="P47" s="27" t="s">
        <v>2719</v>
      </c>
      <c r="Q47" s="120"/>
      <c r="R47" s="160" t="s">
        <v>717</v>
      </c>
      <c r="S47" s="161" t="s">
        <v>718</v>
      </c>
      <c r="T47" s="120"/>
      <c r="U47" s="120"/>
      <c r="V47" s="120"/>
    </row>
    <row r="48" spans="1:22" x14ac:dyDescent="0.25">
      <c r="A48" s="307" t="s">
        <v>2986</v>
      </c>
      <c r="B48" s="194" t="s">
        <v>1793</v>
      </c>
      <c r="C48" s="194" t="s">
        <v>1856</v>
      </c>
      <c r="D48" s="194" t="s">
        <v>1793</v>
      </c>
      <c r="E48" s="308" t="s">
        <v>2799</v>
      </c>
      <c r="G48" s="261" t="s">
        <v>1113</v>
      </c>
      <c r="H48" s="269" t="s">
        <v>1114</v>
      </c>
      <c r="I48" s="269" t="s">
        <v>1115</v>
      </c>
      <c r="J48" s="269" t="s">
        <v>1116</v>
      </c>
      <c r="K48" s="269" t="s">
        <v>1117</v>
      </c>
      <c r="L48" s="269" t="s">
        <v>2683</v>
      </c>
      <c r="M48" s="262" t="s">
        <v>1072</v>
      </c>
      <c r="N48" s="122"/>
      <c r="O48" s="122"/>
      <c r="P48" s="122"/>
      <c r="Q48" s="120"/>
      <c r="R48" s="160" t="s">
        <v>719</v>
      </c>
      <c r="S48" s="161" t="s">
        <v>720</v>
      </c>
      <c r="T48" s="120"/>
      <c r="U48" s="120"/>
      <c r="V48" s="120"/>
    </row>
    <row r="49" spans="1:22" x14ac:dyDescent="0.25">
      <c r="A49" s="307" t="s">
        <v>441</v>
      </c>
      <c r="B49" s="194" t="s">
        <v>440</v>
      </c>
      <c r="C49" s="194" t="s">
        <v>1856</v>
      </c>
      <c r="D49" s="194" t="s">
        <v>440</v>
      </c>
      <c r="E49" s="308" t="s">
        <v>2806</v>
      </c>
      <c r="G49" s="261" t="s">
        <v>1118</v>
      </c>
      <c r="H49" s="269" t="s">
        <v>1119</v>
      </c>
      <c r="I49" s="269" t="s">
        <v>1120</v>
      </c>
      <c r="J49" s="269" t="s">
        <v>1121</v>
      </c>
      <c r="K49" s="269" t="s">
        <v>1122</v>
      </c>
      <c r="L49" s="269" t="s">
        <v>2683</v>
      </c>
      <c r="M49" s="262" t="s">
        <v>1072</v>
      </c>
      <c r="N49" s="122"/>
      <c r="O49" s="122"/>
      <c r="P49" s="122"/>
      <c r="Q49" s="120"/>
      <c r="R49" s="160" t="s">
        <v>721</v>
      </c>
      <c r="S49" s="161" t="s">
        <v>722</v>
      </c>
      <c r="T49" s="120"/>
      <c r="U49" s="120"/>
      <c r="V49" s="120"/>
    </row>
    <row r="50" spans="1:22" x14ac:dyDescent="0.25">
      <c r="A50" s="307" t="s">
        <v>553</v>
      </c>
      <c r="B50" s="194" t="s">
        <v>552</v>
      </c>
      <c r="C50" s="194" t="s">
        <v>1856</v>
      </c>
      <c r="D50" s="194" t="s">
        <v>552</v>
      </c>
      <c r="E50" s="308" t="s">
        <v>2807</v>
      </c>
      <c r="G50" s="261" t="s">
        <v>1123</v>
      </c>
      <c r="H50" s="269" t="s">
        <v>2752</v>
      </c>
      <c r="I50" s="269" t="s">
        <v>1124</v>
      </c>
      <c r="J50" s="269" t="s">
        <v>1125</v>
      </c>
      <c r="K50" s="269" t="s">
        <v>1126</v>
      </c>
      <c r="L50" s="269" t="s">
        <v>2683</v>
      </c>
      <c r="M50" s="262" t="s">
        <v>1072</v>
      </c>
      <c r="N50" s="122"/>
      <c r="O50" s="468" t="s">
        <v>714</v>
      </c>
      <c r="P50" s="468"/>
      <c r="Q50" s="120"/>
      <c r="R50" s="163" t="s">
        <v>633</v>
      </c>
      <c r="S50" s="164" t="s">
        <v>1035</v>
      </c>
      <c r="T50" s="120"/>
      <c r="U50" s="120"/>
      <c r="V50" s="120"/>
    </row>
    <row r="51" spans="1:22" x14ac:dyDescent="0.25">
      <c r="A51" s="307" t="s">
        <v>501</v>
      </c>
      <c r="B51" s="194" t="s">
        <v>500</v>
      </c>
      <c r="C51" s="194" t="s">
        <v>1856</v>
      </c>
      <c r="D51" s="194" t="s">
        <v>500</v>
      </c>
      <c r="E51" s="308" t="s">
        <v>2808</v>
      </c>
      <c r="G51" s="261" t="s">
        <v>1127</v>
      </c>
      <c r="H51" s="269" t="s">
        <v>2753</v>
      </c>
      <c r="I51" s="269" t="s">
        <v>1128</v>
      </c>
      <c r="J51" s="269" t="s">
        <v>1129</v>
      </c>
      <c r="K51" s="269" t="s">
        <v>1130</v>
      </c>
      <c r="L51" s="269" t="s">
        <v>2683</v>
      </c>
      <c r="M51" s="262" t="s">
        <v>1072</v>
      </c>
      <c r="N51" s="122"/>
      <c r="O51" s="125" t="s">
        <v>2734</v>
      </c>
      <c r="P51" s="127" t="s">
        <v>695</v>
      </c>
      <c r="Q51" s="122"/>
      <c r="R51" s="120"/>
      <c r="S51" s="120"/>
      <c r="T51" s="120"/>
      <c r="U51" s="120"/>
      <c r="V51" s="120"/>
    </row>
    <row r="52" spans="1:22" x14ac:dyDescent="0.25">
      <c r="A52" s="307" t="s">
        <v>491</v>
      </c>
      <c r="B52" s="194" t="s">
        <v>490</v>
      </c>
      <c r="C52" s="194" t="s">
        <v>1856</v>
      </c>
      <c r="D52" s="194" t="s">
        <v>490</v>
      </c>
      <c r="E52" s="308" t="s">
        <v>2809</v>
      </c>
      <c r="G52" s="261" t="s">
        <v>1131</v>
      </c>
      <c r="H52" s="269" t="s">
        <v>2754</v>
      </c>
      <c r="I52" s="269" t="s">
        <v>1132</v>
      </c>
      <c r="J52" s="269" t="s">
        <v>1133</v>
      </c>
      <c r="K52" s="269" t="s">
        <v>1134</v>
      </c>
      <c r="L52" s="269" t="s">
        <v>2683</v>
      </c>
      <c r="M52" s="262" t="s">
        <v>1072</v>
      </c>
      <c r="N52" s="122"/>
      <c r="O52" s="131" t="s">
        <v>67</v>
      </c>
      <c r="P52" s="132" t="s">
        <v>17</v>
      </c>
      <c r="Q52" s="122"/>
      <c r="R52" s="120"/>
      <c r="S52" s="120"/>
      <c r="T52" s="120"/>
      <c r="U52" s="120"/>
      <c r="V52" s="120"/>
    </row>
    <row r="53" spans="1:22" x14ac:dyDescent="0.25">
      <c r="A53" s="307" t="s">
        <v>2987</v>
      </c>
      <c r="B53" s="194" t="s">
        <v>505</v>
      </c>
      <c r="C53" s="194" t="s">
        <v>1856</v>
      </c>
      <c r="D53" s="194" t="s">
        <v>505</v>
      </c>
      <c r="E53" s="308" t="s">
        <v>2810</v>
      </c>
      <c r="G53" s="261" t="s">
        <v>348</v>
      </c>
      <c r="H53" s="269" t="s">
        <v>349</v>
      </c>
      <c r="I53" s="269" t="s">
        <v>350</v>
      </c>
      <c r="J53" s="269" t="s">
        <v>351</v>
      </c>
      <c r="K53" s="269" t="s">
        <v>352</v>
      </c>
      <c r="L53" s="269" t="s">
        <v>2683</v>
      </c>
      <c r="M53" s="262" t="s">
        <v>1072</v>
      </c>
      <c r="N53" s="122"/>
      <c r="O53" s="131" t="s">
        <v>696</v>
      </c>
      <c r="P53" s="132" t="s">
        <v>697</v>
      </c>
      <c r="Q53" s="122"/>
      <c r="R53" s="468" t="s">
        <v>926</v>
      </c>
      <c r="S53" s="468"/>
      <c r="T53" s="120"/>
      <c r="U53" s="120"/>
      <c r="V53" s="120"/>
    </row>
    <row r="54" spans="1:22" x14ac:dyDescent="0.25">
      <c r="A54" s="307" t="s">
        <v>483</v>
      </c>
      <c r="B54" s="194" t="s">
        <v>482</v>
      </c>
      <c r="C54" s="194" t="s">
        <v>1856</v>
      </c>
      <c r="D54" s="194" t="s">
        <v>482</v>
      </c>
      <c r="E54" s="308" t="s">
        <v>2811</v>
      </c>
      <c r="G54" s="261" t="s">
        <v>1135</v>
      </c>
      <c r="H54" s="269" t="s">
        <v>2755</v>
      </c>
      <c r="I54" s="269" t="s">
        <v>1136</v>
      </c>
      <c r="J54" s="269" t="s">
        <v>2684</v>
      </c>
      <c r="K54" s="269" t="s">
        <v>2685</v>
      </c>
      <c r="L54" s="269" t="s">
        <v>2683</v>
      </c>
      <c r="M54" s="262" t="s">
        <v>1072</v>
      </c>
      <c r="N54" s="122"/>
      <c r="O54" s="131" t="s">
        <v>698</v>
      </c>
      <c r="P54" s="132" t="s">
        <v>699</v>
      </c>
      <c r="Q54" s="122"/>
      <c r="R54" s="123" t="s">
        <v>2737</v>
      </c>
      <c r="S54" s="124" t="s">
        <v>858</v>
      </c>
      <c r="T54" s="120"/>
      <c r="U54" s="120"/>
      <c r="V54" s="120"/>
    </row>
    <row r="55" spans="1:22" x14ac:dyDescent="0.25">
      <c r="A55" s="307" t="s">
        <v>529</v>
      </c>
      <c r="B55" s="194" t="s">
        <v>528</v>
      </c>
      <c r="C55" s="194" t="s">
        <v>1856</v>
      </c>
      <c r="D55" s="194" t="s">
        <v>528</v>
      </c>
      <c r="E55" s="308" t="s">
        <v>2812</v>
      </c>
      <c r="G55" s="261" t="s">
        <v>1137</v>
      </c>
      <c r="H55" s="269" t="s">
        <v>1138</v>
      </c>
      <c r="I55" s="269" t="s">
        <v>1139</v>
      </c>
      <c r="J55" s="269" t="s">
        <v>1140</v>
      </c>
      <c r="K55" s="269" t="s">
        <v>1141</v>
      </c>
      <c r="L55" s="269" t="s">
        <v>2683</v>
      </c>
      <c r="M55" s="262" t="s">
        <v>1072</v>
      </c>
      <c r="N55" s="122"/>
      <c r="O55" s="131" t="s">
        <v>700</v>
      </c>
      <c r="P55" s="132" t="s">
        <v>701</v>
      </c>
      <c r="Q55" s="120"/>
      <c r="R55" s="160" t="s">
        <v>100</v>
      </c>
      <c r="S55" s="161" t="s">
        <v>17</v>
      </c>
      <c r="T55" s="120"/>
      <c r="U55" s="120"/>
      <c r="V55" s="120"/>
    </row>
    <row r="56" spans="1:22" x14ac:dyDescent="0.25">
      <c r="A56" s="307" t="s">
        <v>421</v>
      </c>
      <c r="B56" s="194" t="s">
        <v>420</v>
      </c>
      <c r="C56" s="194" t="s">
        <v>1856</v>
      </c>
      <c r="D56" s="194" t="s">
        <v>420</v>
      </c>
      <c r="E56" s="308" t="s">
        <v>2813</v>
      </c>
      <c r="G56" s="261" t="s">
        <v>1142</v>
      </c>
      <c r="H56" s="269" t="s">
        <v>2756</v>
      </c>
      <c r="I56" s="269" t="s">
        <v>1143</v>
      </c>
      <c r="J56" s="269" t="s">
        <v>1144</v>
      </c>
      <c r="K56" s="269" t="s">
        <v>1145</v>
      </c>
      <c r="L56" s="269" t="s">
        <v>2683</v>
      </c>
      <c r="M56" s="262" t="s">
        <v>1072</v>
      </c>
      <c r="N56" s="122"/>
      <c r="O56" s="131" t="s">
        <v>702</v>
      </c>
      <c r="P56" s="132" t="s">
        <v>703</v>
      </c>
      <c r="Q56" s="120"/>
      <c r="R56" s="160" t="s">
        <v>859</v>
      </c>
      <c r="S56" s="161" t="s">
        <v>860</v>
      </c>
      <c r="T56" s="120"/>
      <c r="U56" s="120"/>
      <c r="V56" s="120"/>
    </row>
    <row r="57" spans="1:22" x14ac:dyDescent="0.25">
      <c r="A57" s="307" t="s">
        <v>2988</v>
      </c>
      <c r="B57" s="194" t="s">
        <v>422</v>
      </c>
      <c r="C57" s="194" t="s">
        <v>1856</v>
      </c>
      <c r="D57" s="194" t="s">
        <v>422</v>
      </c>
      <c r="E57" s="308" t="s">
        <v>2814</v>
      </c>
      <c r="G57" s="261" t="s">
        <v>311</v>
      </c>
      <c r="H57" s="269" t="s">
        <v>312</v>
      </c>
      <c r="I57" s="269" t="s">
        <v>313</v>
      </c>
      <c r="J57" s="269" t="s">
        <v>314</v>
      </c>
      <c r="K57" s="269" t="s">
        <v>315</v>
      </c>
      <c r="L57" s="269" t="s">
        <v>2683</v>
      </c>
      <c r="M57" s="262" t="s">
        <v>1072</v>
      </c>
      <c r="N57" s="122"/>
      <c r="O57" s="131" t="s">
        <v>704</v>
      </c>
      <c r="P57" s="132" t="s">
        <v>705</v>
      </c>
      <c r="Q57" s="120"/>
      <c r="R57" s="160" t="s">
        <v>861</v>
      </c>
      <c r="S57" s="161" t="s">
        <v>862</v>
      </c>
      <c r="T57" s="120"/>
      <c r="U57" s="120"/>
      <c r="V57" s="120"/>
    </row>
    <row r="58" spans="1:22" x14ac:dyDescent="0.25">
      <c r="A58" s="307" t="s">
        <v>462</v>
      </c>
      <c r="B58" s="194" t="s">
        <v>461</v>
      </c>
      <c r="C58" s="194" t="s">
        <v>1856</v>
      </c>
      <c r="D58" s="194" t="s">
        <v>461</v>
      </c>
      <c r="E58" s="308" t="s">
        <v>2815</v>
      </c>
      <c r="G58" s="261" t="s">
        <v>1146</v>
      </c>
      <c r="H58" s="269" t="s">
        <v>2757</v>
      </c>
      <c r="I58" s="269" t="s">
        <v>1147</v>
      </c>
      <c r="J58" s="269" t="s">
        <v>1148</v>
      </c>
      <c r="K58" s="269" t="s">
        <v>1149</v>
      </c>
      <c r="L58" s="269" t="s">
        <v>2683</v>
      </c>
      <c r="M58" s="262" t="s">
        <v>1072</v>
      </c>
      <c r="N58" s="122"/>
      <c r="O58" s="131" t="s">
        <v>321</v>
      </c>
      <c r="P58" s="132" t="s">
        <v>706</v>
      </c>
      <c r="Q58" s="120"/>
      <c r="R58" s="160" t="s">
        <v>863</v>
      </c>
      <c r="S58" s="161" t="s">
        <v>864</v>
      </c>
      <c r="T58" s="120"/>
      <c r="U58" s="120"/>
      <c r="V58" s="120"/>
    </row>
    <row r="59" spans="1:22" x14ac:dyDescent="0.25">
      <c r="A59" s="307" t="s">
        <v>424</v>
      </c>
      <c r="B59" s="194" t="s">
        <v>423</v>
      </c>
      <c r="C59" s="194" t="s">
        <v>1856</v>
      </c>
      <c r="D59" s="194" t="s">
        <v>423</v>
      </c>
      <c r="E59" s="308" t="s">
        <v>2816</v>
      </c>
      <c r="G59" s="261" t="s">
        <v>1150</v>
      </c>
      <c r="H59" s="269" t="s">
        <v>1151</v>
      </c>
      <c r="I59" s="269" t="s">
        <v>1152</v>
      </c>
      <c r="J59" s="269" t="s">
        <v>1153</v>
      </c>
      <c r="K59" s="269" t="s">
        <v>1154</v>
      </c>
      <c r="L59" s="269" t="s">
        <v>2683</v>
      </c>
      <c r="M59" s="262" t="s">
        <v>1072</v>
      </c>
      <c r="N59" s="122"/>
      <c r="O59" s="131" t="s">
        <v>707</v>
      </c>
      <c r="P59" s="132" t="s">
        <v>709</v>
      </c>
      <c r="Q59" s="120"/>
      <c r="R59" s="160" t="s">
        <v>872</v>
      </c>
      <c r="S59" s="161" t="s">
        <v>873</v>
      </c>
      <c r="T59" s="120"/>
      <c r="U59" s="120"/>
      <c r="V59" s="120"/>
    </row>
    <row r="60" spans="1:22" x14ac:dyDescent="0.25">
      <c r="A60" s="307" t="s">
        <v>426</v>
      </c>
      <c r="B60" s="194" t="s">
        <v>425</v>
      </c>
      <c r="C60" s="194" t="s">
        <v>1856</v>
      </c>
      <c r="D60" s="194" t="s">
        <v>425</v>
      </c>
      <c r="E60" s="308" t="s">
        <v>2817</v>
      </c>
      <c r="G60" s="261" t="s">
        <v>343</v>
      </c>
      <c r="H60" s="269" t="s">
        <v>344</v>
      </c>
      <c r="I60" s="269" t="s">
        <v>345</v>
      </c>
      <c r="J60" s="269" t="s">
        <v>346</v>
      </c>
      <c r="K60" s="269" t="s">
        <v>347</v>
      </c>
      <c r="L60" s="269" t="s">
        <v>2683</v>
      </c>
      <c r="M60" s="262" t="s">
        <v>1072</v>
      </c>
      <c r="N60" s="122"/>
      <c r="O60" s="131" t="s">
        <v>708</v>
      </c>
      <c r="P60" s="132" t="s">
        <v>710</v>
      </c>
      <c r="Q60" s="120"/>
      <c r="R60" s="160" t="s">
        <v>865</v>
      </c>
      <c r="S60" s="161" t="s">
        <v>866</v>
      </c>
      <c r="T60" s="120"/>
      <c r="U60" s="120"/>
      <c r="V60" s="120"/>
    </row>
    <row r="61" spans="1:22" x14ac:dyDescent="0.25">
      <c r="A61" s="307" t="s">
        <v>493</v>
      </c>
      <c r="B61" s="194" t="s">
        <v>492</v>
      </c>
      <c r="C61" s="194" t="s">
        <v>1856</v>
      </c>
      <c r="D61" s="194" t="s">
        <v>492</v>
      </c>
      <c r="E61" s="308" t="s">
        <v>2818</v>
      </c>
      <c r="G61" s="261" t="s">
        <v>1155</v>
      </c>
      <c r="H61" s="269" t="s">
        <v>1156</v>
      </c>
      <c r="I61" s="269" t="s">
        <v>1157</v>
      </c>
      <c r="J61" s="269" t="s">
        <v>1158</v>
      </c>
      <c r="K61" s="269" t="s">
        <v>1159</v>
      </c>
      <c r="L61" s="269" t="s">
        <v>2683</v>
      </c>
      <c r="M61" s="262" t="s">
        <v>1072</v>
      </c>
      <c r="N61" s="122"/>
      <c r="O61" s="131" t="s">
        <v>711</v>
      </c>
      <c r="P61" s="132" t="s">
        <v>712</v>
      </c>
      <c r="Q61" s="120"/>
      <c r="R61" s="160" t="s">
        <v>867</v>
      </c>
      <c r="S61" s="161" t="s">
        <v>876</v>
      </c>
      <c r="T61" s="120"/>
      <c r="U61" s="120"/>
      <c r="V61" s="120"/>
    </row>
    <row r="62" spans="1:22" x14ac:dyDescent="0.25">
      <c r="A62" s="307" t="s">
        <v>443</v>
      </c>
      <c r="B62" s="194" t="s">
        <v>442</v>
      </c>
      <c r="C62" s="194" t="s">
        <v>1856</v>
      </c>
      <c r="D62" s="194" t="s">
        <v>442</v>
      </c>
      <c r="E62" s="308" t="s">
        <v>2819</v>
      </c>
      <c r="G62" s="261" t="s">
        <v>1160</v>
      </c>
      <c r="H62" s="269" t="s">
        <v>1161</v>
      </c>
      <c r="I62" s="269" t="s">
        <v>1162</v>
      </c>
      <c r="J62" s="269" t="s">
        <v>1163</v>
      </c>
      <c r="K62" s="269" t="s">
        <v>1164</v>
      </c>
      <c r="L62" s="269" t="s">
        <v>2683</v>
      </c>
      <c r="M62" s="262" t="s">
        <v>1072</v>
      </c>
      <c r="N62" s="122"/>
      <c r="O62" s="165" t="s">
        <v>632</v>
      </c>
      <c r="P62" s="166" t="s">
        <v>1035</v>
      </c>
      <c r="Q62" s="120"/>
      <c r="R62" s="160" t="s">
        <v>868</v>
      </c>
      <c r="S62" s="161" t="s">
        <v>869</v>
      </c>
      <c r="T62" s="120"/>
      <c r="U62" s="120"/>
      <c r="V62" s="120"/>
    </row>
    <row r="63" spans="1:22" x14ac:dyDescent="0.25">
      <c r="A63" s="307" t="s">
        <v>510</v>
      </c>
      <c r="B63" s="194" t="s">
        <v>509</v>
      </c>
      <c r="C63" s="194" t="s">
        <v>1856</v>
      </c>
      <c r="D63" s="194" t="s">
        <v>509</v>
      </c>
      <c r="E63" s="308" t="s">
        <v>2820</v>
      </c>
      <c r="G63" s="261" t="s">
        <v>1165</v>
      </c>
      <c r="H63" s="269" t="s">
        <v>1166</v>
      </c>
      <c r="I63" s="269" t="s">
        <v>1167</v>
      </c>
      <c r="J63" s="269" t="s">
        <v>1168</v>
      </c>
      <c r="K63" s="269" t="s">
        <v>1169</v>
      </c>
      <c r="L63" s="269" t="s">
        <v>2683</v>
      </c>
      <c r="M63" s="262" t="s">
        <v>1072</v>
      </c>
      <c r="N63" s="122"/>
      <c r="O63" s="122"/>
      <c r="P63" s="122"/>
      <c r="Q63" s="120"/>
      <c r="R63" s="160" t="s">
        <v>870</v>
      </c>
      <c r="S63" s="161" t="s">
        <v>877</v>
      </c>
      <c r="T63" s="120"/>
      <c r="U63" s="120"/>
      <c r="V63" s="120"/>
    </row>
    <row r="64" spans="1:22" x14ac:dyDescent="0.25">
      <c r="A64" s="307" t="s">
        <v>563</v>
      </c>
      <c r="B64" s="194" t="s">
        <v>562</v>
      </c>
      <c r="C64" s="194" t="s">
        <v>1856</v>
      </c>
      <c r="D64" s="194" t="s">
        <v>562</v>
      </c>
      <c r="E64" s="308" t="s">
        <v>2821</v>
      </c>
      <c r="G64" s="261" t="s">
        <v>331</v>
      </c>
      <c r="H64" s="269" t="s">
        <v>332</v>
      </c>
      <c r="I64" s="269" t="s">
        <v>333</v>
      </c>
      <c r="J64" s="269" t="s">
        <v>334</v>
      </c>
      <c r="K64" s="269" t="s">
        <v>335</v>
      </c>
      <c r="L64" s="269" t="s">
        <v>2683</v>
      </c>
      <c r="M64" s="262" t="s">
        <v>1072</v>
      </c>
      <c r="N64" s="122"/>
      <c r="O64" s="120"/>
      <c r="P64" s="120"/>
      <c r="Q64" s="120"/>
      <c r="R64" s="160" t="s">
        <v>871</v>
      </c>
      <c r="S64" s="161" t="s">
        <v>878</v>
      </c>
      <c r="T64" s="120"/>
      <c r="U64" s="120"/>
      <c r="V64" s="120"/>
    </row>
    <row r="65" spans="1:22" x14ac:dyDescent="0.25">
      <c r="A65" s="307" t="s">
        <v>497</v>
      </c>
      <c r="B65" s="194" t="s">
        <v>496</v>
      </c>
      <c r="C65" s="194" t="s">
        <v>1856</v>
      </c>
      <c r="D65" s="194" t="s">
        <v>496</v>
      </c>
      <c r="E65" s="308" t="s">
        <v>2822</v>
      </c>
      <c r="G65" s="261" t="s">
        <v>1170</v>
      </c>
      <c r="H65" s="269" t="s">
        <v>2758</v>
      </c>
      <c r="I65" s="269" t="s">
        <v>2686</v>
      </c>
      <c r="J65" s="269"/>
      <c r="K65" s="269"/>
      <c r="L65" s="269" t="s">
        <v>2683</v>
      </c>
      <c r="M65" s="262" t="s">
        <v>1072</v>
      </c>
      <c r="N65" s="302"/>
      <c r="O65" s="468" t="s">
        <v>921</v>
      </c>
      <c r="P65" s="468"/>
      <c r="Q65" s="120"/>
      <c r="R65" s="160" t="s">
        <v>874</v>
      </c>
      <c r="S65" s="161" t="s">
        <v>875</v>
      </c>
      <c r="T65" s="120"/>
      <c r="U65" s="120"/>
      <c r="V65" s="120"/>
    </row>
    <row r="66" spans="1:22" x14ac:dyDescent="0.25">
      <c r="A66" s="307" t="s">
        <v>2989</v>
      </c>
      <c r="B66" s="194" t="s">
        <v>2990</v>
      </c>
      <c r="C66" s="194" t="s">
        <v>1856</v>
      </c>
      <c r="D66" s="194" t="s">
        <v>2991</v>
      </c>
      <c r="E66" s="308" t="s">
        <v>2799</v>
      </c>
      <c r="G66" s="261" t="s">
        <v>1171</v>
      </c>
      <c r="H66" s="269" t="s">
        <v>1172</v>
      </c>
      <c r="I66" s="269" t="s">
        <v>1173</v>
      </c>
      <c r="J66" s="269" t="s">
        <v>1174</v>
      </c>
      <c r="K66" s="269" t="s">
        <v>1175</v>
      </c>
      <c r="L66" s="269" t="s">
        <v>2683</v>
      </c>
      <c r="M66" s="262" t="s">
        <v>1072</v>
      </c>
      <c r="N66" s="122"/>
      <c r="O66" s="125" t="s">
        <v>2747</v>
      </c>
      <c r="P66" s="127" t="s">
        <v>723</v>
      </c>
      <c r="Q66" s="119"/>
      <c r="R66" s="163" t="s">
        <v>633</v>
      </c>
      <c r="S66" s="164" t="s">
        <v>1035</v>
      </c>
      <c r="T66" s="120"/>
      <c r="U66" s="120"/>
      <c r="V66" s="120"/>
    </row>
    <row r="67" spans="1:22" x14ac:dyDescent="0.25">
      <c r="A67" s="307" t="s">
        <v>428</v>
      </c>
      <c r="B67" s="194" t="s">
        <v>427</v>
      </c>
      <c r="C67" s="194" t="s">
        <v>1856</v>
      </c>
      <c r="D67" s="194" t="s">
        <v>427</v>
      </c>
      <c r="E67" s="308" t="s">
        <v>2823</v>
      </c>
      <c r="G67" s="261" t="s">
        <v>1176</v>
      </c>
      <c r="H67" s="269" t="s">
        <v>1177</v>
      </c>
      <c r="I67" s="269" t="s">
        <v>1178</v>
      </c>
      <c r="J67" s="269" t="s">
        <v>1179</v>
      </c>
      <c r="K67" s="269" t="s">
        <v>1180</v>
      </c>
      <c r="L67" s="269" t="s">
        <v>2683</v>
      </c>
      <c r="M67" s="262" t="s">
        <v>1072</v>
      </c>
      <c r="N67" s="122"/>
      <c r="O67" s="131" t="s">
        <v>390</v>
      </c>
      <c r="P67" s="132" t="s">
        <v>17</v>
      </c>
      <c r="Q67" s="120"/>
      <c r="R67" s="120"/>
      <c r="S67" s="120"/>
      <c r="T67" s="120"/>
      <c r="U67" s="120"/>
      <c r="V67" s="120"/>
    </row>
    <row r="68" spans="1:22" x14ac:dyDescent="0.25">
      <c r="A68" s="307" t="s">
        <v>437</v>
      </c>
      <c r="B68" s="194" t="s">
        <v>436</v>
      </c>
      <c r="C68" s="194" t="s">
        <v>1856</v>
      </c>
      <c r="D68" s="194" t="s">
        <v>436</v>
      </c>
      <c r="E68" s="308" t="s">
        <v>2824</v>
      </c>
      <c r="G68" s="261" t="s">
        <v>1181</v>
      </c>
      <c r="H68" s="269" t="s">
        <v>2687</v>
      </c>
      <c r="I68" s="269" t="s">
        <v>1182</v>
      </c>
      <c r="J68" s="269"/>
      <c r="K68" s="269"/>
      <c r="L68" s="269" t="s">
        <v>2683</v>
      </c>
      <c r="M68" s="262" t="s">
        <v>1072</v>
      </c>
      <c r="N68" s="122"/>
      <c r="O68" s="131" t="s">
        <v>724</v>
      </c>
      <c r="P68" s="26" t="s">
        <v>736</v>
      </c>
      <c r="Q68" s="120"/>
      <c r="T68" s="120"/>
      <c r="U68" s="120"/>
      <c r="V68" s="120"/>
    </row>
    <row r="69" spans="1:22" x14ac:dyDescent="0.25">
      <c r="A69" s="307" t="s">
        <v>534</v>
      </c>
      <c r="B69" s="194" t="s">
        <v>533</v>
      </c>
      <c r="C69" s="194" t="s">
        <v>1856</v>
      </c>
      <c r="D69" s="194" t="s">
        <v>533</v>
      </c>
      <c r="E69" s="308" t="s">
        <v>2825</v>
      </c>
      <c r="G69" s="261" t="s">
        <v>1183</v>
      </c>
      <c r="H69" s="269" t="s">
        <v>1184</v>
      </c>
      <c r="I69" s="269" t="s">
        <v>1185</v>
      </c>
      <c r="J69" s="269" t="s">
        <v>1186</v>
      </c>
      <c r="K69" s="269" t="s">
        <v>1187</v>
      </c>
      <c r="L69" s="269" t="s">
        <v>2683</v>
      </c>
      <c r="M69" s="262" t="s">
        <v>1072</v>
      </c>
      <c r="N69" s="122"/>
      <c r="O69" s="131" t="s">
        <v>725</v>
      </c>
      <c r="P69" s="26" t="s">
        <v>737</v>
      </c>
      <c r="Q69" s="120"/>
      <c r="R69" s="468" t="s">
        <v>939</v>
      </c>
      <c r="S69" s="468"/>
      <c r="T69" s="120"/>
      <c r="U69" s="120"/>
      <c r="V69" s="120"/>
    </row>
    <row r="70" spans="1:22" x14ac:dyDescent="0.25">
      <c r="A70" s="307" t="s">
        <v>504</v>
      </c>
      <c r="B70" s="194" t="s">
        <v>503</v>
      </c>
      <c r="C70" s="194" t="s">
        <v>1856</v>
      </c>
      <c r="D70" s="194" t="s">
        <v>503</v>
      </c>
      <c r="E70" s="308" t="s">
        <v>2826</v>
      </c>
      <c r="G70" s="261" t="s">
        <v>1188</v>
      </c>
      <c r="H70" s="269" t="s">
        <v>1189</v>
      </c>
      <c r="I70" s="269" t="s">
        <v>1190</v>
      </c>
      <c r="J70" s="269" t="s">
        <v>1191</v>
      </c>
      <c r="K70" s="269" t="s">
        <v>1192</v>
      </c>
      <c r="L70" s="269" t="s">
        <v>2683</v>
      </c>
      <c r="M70" s="262" t="s">
        <v>1072</v>
      </c>
      <c r="N70" s="122"/>
      <c r="O70" s="131" t="s">
        <v>726</v>
      </c>
      <c r="P70" s="26" t="s">
        <v>738</v>
      </c>
      <c r="Q70" s="120"/>
      <c r="R70" s="125" t="s">
        <v>2738</v>
      </c>
      <c r="S70" s="127" t="s">
        <v>896</v>
      </c>
      <c r="T70" s="120"/>
      <c r="U70" s="120"/>
      <c r="V70" s="120"/>
    </row>
    <row r="71" spans="1:22" x14ac:dyDescent="0.25">
      <c r="A71" s="307" t="s">
        <v>2992</v>
      </c>
      <c r="B71" s="194" t="s">
        <v>489</v>
      </c>
      <c r="C71" s="194" t="s">
        <v>1856</v>
      </c>
      <c r="D71" s="194" t="s">
        <v>489</v>
      </c>
      <c r="E71" s="308" t="s">
        <v>2827</v>
      </c>
      <c r="G71" s="261" t="s">
        <v>1193</v>
      </c>
      <c r="H71" s="269" t="s">
        <v>1194</v>
      </c>
      <c r="I71" s="269" t="s">
        <v>1195</v>
      </c>
      <c r="J71" s="269" t="s">
        <v>1196</v>
      </c>
      <c r="K71" s="269" t="s">
        <v>1197</v>
      </c>
      <c r="L71" s="269" t="s">
        <v>2683</v>
      </c>
      <c r="M71" s="262" t="s">
        <v>1072</v>
      </c>
      <c r="N71" s="122"/>
      <c r="O71" s="131" t="s">
        <v>727</v>
      </c>
      <c r="P71" s="26" t="s">
        <v>739</v>
      </c>
      <c r="Q71" s="120"/>
      <c r="R71" s="167" t="s">
        <v>100</v>
      </c>
      <c r="S71" s="168" t="s">
        <v>17</v>
      </c>
      <c r="T71" s="120"/>
      <c r="U71" s="120"/>
      <c r="V71" s="120"/>
    </row>
    <row r="72" spans="1:22" x14ac:dyDescent="0.25">
      <c r="A72" s="307" t="s">
        <v>2993</v>
      </c>
      <c r="B72" s="194" t="s">
        <v>2994</v>
      </c>
      <c r="C72" s="194" t="s">
        <v>1856</v>
      </c>
      <c r="D72" s="194" t="s">
        <v>2995</v>
      </c>
      <c r="E72" s="308" t="s">
        <v>2799</v>
      </c>
      <c r="G72" s="261" t="s">
        <v>1198</v>
      </c>
      <c r="H72" s="269" t="s">
        <v>1199</v>
      </c>
      <c r="I72" s="269" t="s">
        <v>1200</v>
      </c>
      <c r="J72" s="269"/>
      <c r="K72" s="269"/>
      <c r="L72" s="269" t="s">
        <v>2683</v>
      </c>
      <c r="M72" s="262" t="s">
        <v>1072</v>
      </c>
      <c r="N72" s="122"/>
      <c r="O72" s="131" t="s">
        <v>391</v>
      </c>
      <c r="P72" s="26" t="s">
        <v>740</v>
      </c>
      <c r="Q72" s="120"/>
      <c r="R72" s="167" t="s">
        <v>102</v>
      </c>
      <c r="S72" s="168" t="s">
        <v>101</v>
      </c>
      <c r="T72" s="120"/>
      <c r="U72" s="120"/>
      <c r="V72" s="120"/>
    </row>
    <row r="73" spans="1:22" x14ac:dyDescent="0.25">
      <c r="A73" s="307" t="s">
        <v>465</v>
      </c>
      <c r="B73" s="194" t="s">
        <v>464</v>
      </c>
      <c r="C73" s="194" t="s">
        <v>1856</v>
      </c>
      <c r="D73" s="194" t="s">
        <v>464</v>
      </c>
      <c r="E73" s="308" t="s">
        <v>2828</v>
      </c>
      <c r="G73" s="261" t="s">
        <v>1201</v>
      </c>
      <c r="H73" s="269" t="s">
        <v>1202</v>
      </c>
      <c r="I73" s="269" t="s">
        <v>1203</v>
      </c>
      <c r="J73" s="269" t="s">
        <v>1204</v>
      </c>
      <c r="K73" s="269" t="s">
        <v>1205</v>
      </c>
      <c r="L73" s="269" t="s">
        <v>2683</v>
      </c>
      <c r="M73" s="262" t="s">
        <v>1072</v>
      </c>
      <c r="N73" s="122"/>
      <c r="O73" s="131" t="s">
        <v>728</v>
      </c>
      <c r="P73" s="26" t="s">
        <v>23</v>
      </c>
      <c r="Q73" s="120"/>
      <c r="R73" s="167" t="s">
        <v>894</v>
      </c>
      <c r="S73" s="168" t="s">
        <v>895</v>
      </c>
      <c r="T73" s="120"/>
      <c r="U73" s="120"/>
      <c r="V73" s="120"/>
    </row>
    <row r="74" spans="1:22" x14ac:dyDescent="0.25">
      <c r="A74" s="307" t="s">
        <v>453</v>
      </c>
      <c r="B74" s="194" t="s">
        <v>452</v>
      </c>
      <c r="C74" s="194" t="s">
        <v>1856</v>
      </c>
      <c r="D74" s="194" t="s">
        <v>452</v>
      </c>
      <c r="E74" s="308" t="s">
        <v>2829</v>
      </c>
      <c r="G74" s="261" t="s">
        <v>1206</v>
      </c>
      <c r="H74" s="269" t="s">
        <v>2759</v>
      </c>
      <c r="I74" s="269" t="s">
        <v>1207</v>
      </c>
      <c r="J74" s="269" t="s">
        <v>1208</v>
      </c>
      <c r="K74" s="269" t="s">
        <v>1209</v>
      </c>
      <c r="L74" s="269" t="s">
        <v>2683</v>
      </c>
      <c r="M74" s="262" t="s">
        <v>1072</v>
      </c>
      <c r="N74" s="122"/>
      <c r="O74" s="131" t="s">
        <v>19</v>
      </c>
      <c r="P74" s="26" t="s">
        <v>741</v>
      </c>
      <c r="Q74" s="120"/>
      <c r="R74" s="167" t="s">
        <v>897</v>
      </c>
      <c r="S74" s="168" t="s">
        <v>976</v>
      </c>
      <c r="T74" s="120"/>
      <c r="U74" s="120"/>
      <c r="V74" s="120"/>
    </row>
    <row r="75" spans="1:22" x14ac:dyDescent="0.25">
      <c r="A75" s="307" t="s">
        <v>430</v>
      </c>
      <c r="B75" s="194" t="s">
        <v>429</v>
      </c>
      <c r="C75" s="194" t="s">
        <v>1856</v>
      </c>
      <c r="D75" s="194" t="s">
        <v>429</v>
      </c>
      <c r="E75" s="308" t="s">
        <v>2830</v>
      </c>
      <c r="G75" s="261" t="s">
        <v>366</v>
      </c>
      <c r="H75" s="269" t="s">
        <v>367</v>
      </c>
      <c r="I75" s="269" t="s">
        <v>368</v>
      </c>
      <c r="J75" s="269" t="s">
        <v>369</v>
      </c>
      <c r="K75" s="269" t="s">
        <v>370</v>
      </c>
      <c r="L75" s="269" t="s">
        <v>2683</v>
      </c>
      <c r="M75" s="262" t="s">
        <v>1072</v>
      </c>
      <c r="N75" s="122"/>
      <c r="O75" s="131" t="s">
        <v>18</v>
      </c>
      <c r="P75" s="26" t="s">
        <v>742</v>
      </c>
      <c r="Q75" s="120"/>
      <c r="R75" s="167" t="s">
        <v>892</v>
      </c>
      <c r="S75" s="168" t="s">
        <v>893</v>
      </c>
      <c r="T75" s="120"/>
      <c r="U75" s="120"/>
      <c r="V75" s="120"/>
    </row>
    <row r="76" spans="1:22" x14ac:dyDescent="0.25">
      <c r="A76" s="307" t="s">
        <v>2996</v>
      </c>
      <c r="B76" s="194" t="s">
        <v>508</v>
      </c>
      <c r="C76" s="194" t="s">
        <v>1856</v>
      </c>
      <c r="D76" s="194" t="s">
        <v>508</v>
      </c>
      <c r="E76" s="308" t="s">
        <v>2831</v>
      </c>
      <c r="G76" s="261" t="s">
        <v>362</v>
      </c>
      <c r="H76" s="269" t="s">
        <v>363</v>
      </c>
      <c r="I76" s="269" t="s">
        <v>364</v>
      </c>
      <c r="J76" s="269" t="s">
        <v>1210</v>
      </c>
      <c r="K76" s="269" t="s">
        <v>365</v>
      </c>
      <c r="L76" s="269" t="s">
        <v>2683</v>
      </c>
      <c r="M76" s="262" t="s">
        <v>1072</v>
      </c>
      <c r="N76" s="122"/>
      <c r="O76" s="131" t="s">
        <v>729</v>
      </c>
      <c r="P76" s="26" t="s">
        <v>743</v>
      </c>
      <c r="Q76" s="120"/>
      <c r="R76" s="169" t="s">
        <v>890</v>
      </c>
      <c r="S76" s="170" t="s">
        <v>891</v>
      </c>
      <c r="T76" s="120"/>
      <c r="U76" s="120"/>
      <c r="V76" s="120"/>
    </row>
    <row r="77" spans="1:22" x14ac:dyDescent="0.25">
      <c r="A77" s="307" t="s">
        <v>1794</v>
      </c>
      <c r="B77" s="194" t="s">
        <v>382</v>
      </c>
      <c r="C77" s="194" t="s">
        <v>1856</v>
      </c>
      <c r="D77" s="194" t="s">
        <v>382</v>
      </c>
      <c r="E77" s="308" t="s">
        <v>2832</v>
      </c>
      <c r="G77" s="261" t="s">
        <v>358</v>
      </c>
      <c r="H77" s="269" t="s">
        <v>359</v>
      </c>
      <c r="I77" s="269" t="s">
        <v>360</v>
      </c>
      <c r="J77" s="269" t="s">
        <v>1211</v>
      </c>
      <c r="K77" s="269" t="s">
        <v>361</v>
      </c>
      <c r="L77" s="269" t="s">
        <v>2683</v>
      </c>
      <c r="M77" s="262" t="s">
        <v>1072</v>
      </c>
      <c r="N77" s="122"/>
      <c r="O77" s="131" t="s">
        <v>730</v>
      </c>
      <c r="P77" s="26" t="s">
        <v>744</v>
      </c>
      <c r="Q77" s="120"/>
      <c r="R77" s="120"/>
      <c r="S77" s="120"/>
      <c r="T77" s="120"/>
      <c r="U77" s="120"/>
      <c r="V77" s="120"/>
    </row>
    <row r="78" spans="1:22" x14ac:dyDescent="0.25">
      <c r="A78" s="307" t="s">
        <v>455</v>
      </c>
      <c r="B78" s="194" t="s">
        <v>454</v>
      </c>
      <c r="C78" s="194" t="s">
        <v>1856</v>
      </c>
      <c r="D78" s="194" t="s">
        <v>454</v>
      </c>
      <c r="E78" s="308" t="s">
        <v>2833</v>
      </c>
      <c r="G78" s="261" t="s">
        <v>321</v>
      </c>
      <c r="H78" s="269" t="s">
        <v>322</v>
      </c>
      <c r="I78" s="269" t="s">
        <v>323</v>
      </c>
      <c r="J78" s="269" t="s">
        <v>324</v>
      </c>
      <c r="K78" s="269" t="s">
        <v>325</v>
      </c>
      <c r="L78" s="269" t="s">
        <v>2683</v>
      </c>
      <c r="M78" s="262" t="s">
        <v>1072</v>
      </c>
      <c r="N78" s="122"/>
      <c r="O78" s="131" t="s">
        <v>731</v>
      </c>
      <c r="P78" s="26" t="s">
        <v>745</v>
      </c>
      <c r="Q78" s="120"/>
      <c r="T78" s="120"/>
      <c r="U78" s="120"/>
      <c r="V78" s="120"/>
    </row>
    <row r="79" spans="1:22" x14ac:dyDescent="0.25">
      <c r="A79" s="307" t="s">
        <v>431</v>
      </c>
      <c r="B79" s="194" t="s">
        <v>212</v>
      </c>
      <c r="C79" s="194" t="s">
        <v>1856</v>
      </c>
      <c r="D79" s="194" t="s">
        <v>212</v>
      </c>
      <c r="E79" s="308" t="s">
        <v>675</v>
      </c>
      <c r="G79" s="261" t="s">
        <v>371</v>
      </c>
      <c r="H79" s="269" t="s">
        <v>372</v>
      </c>
      <c r="I79" s="269" t="s">
        <v>373</v>
      </c>
      <c r="J79" s="269" t="s">
        <v>374</v>
      </c>
      <c r="K79" s="269" t="s">
        <v>375</v>
      </c>
      <c r="L79" s="269" t="s">
        <v>2683</v>
      </c>
      <c r="M79" s="270" t="s">
        <v>1082</v>
      </c>
      <c r="N79" s="122"/>
      <c r="O79" s="131" t="s">
        <v>732</v>
      </c>
      <c r="P79" s="26" t="s">
        <v>746</v>
      </c>
      <c r="Q79" s="120"/>
      <c r="R79" s="468" t="s">
        <v>931</v>
      </c>
      <c r="S79" s="468"/>
      <c r="T79" s="120"/>
      <c r="U79" s="120"/>
      <c r="V79" s="120"/>
    </row>
    <row r="80" spans="1:22" x14ac:dyDescent="0.25">
      <c r="A80" s="307" t="s">
        <v>2927</v>
      </c>
      <c r="B80" s="194" t="s">
        <v>432</v>
      </c>
      <c r="C80" s="194" t="s">
        <v>1856</v>
      </c>
      <c r="D80" s="194" t="s">
        <v>432</v>
      </c>
      <c r="E80" s="308" t="s">
        <v>2834</v>
      </c>
      <c r="G80" s="261" t="s">
        <v>301</v>
      </c>
      <c r="H80" s="269" t="s">
        <v>302</v>
      </c>
      <c r="I80" s="269" t="s">
        <v>303</v>
      </c>
      <c r="J80" s="269" t="s">
        <v>304</v>
      </c>
      <c r="K80" s="269" t="s">
        <v>305</v>
      </c>
      <c r="L80" s="269" t="s">
        <v>2683</v>
      </c>
      <c r="M80" s="270" t="s">
        <v>1082</v>
      </c>
      <c r="N80" s="122"/>
      <c r="O80" s="131" t="s">
        <v>733</v>
      </c>
      <c r="P80" s="26" t="s">
        <v>747</v>
      </c>
      <c r="Q80" s="120"/>
      <c r="R80" s="125" t="s">
        <v>2739</v>
      </c>
      <c r="S80" s="127" t="s">
        <v>928</v>
      </c>
      <c r="T80" s="120"/>
      <c r="U80" s="120"/>
      <c r="V80" s="120"/>
    </row>
    <row r="81" spans="1:22" x14ac:dyDescent="0.25">
      <c r="A81" s="307" t="s">
        <v>2997</v>
      </c>
      <c r="B81" s="194" t="s">
        <v>2998</v>
      </c>
      <c r="C81" s="194" t="s">
        <v>1856</v>
      </c>
      <c r="D81" s="194" t="s">
        <v>628</v>
      </c>
      <c r="E81" s="308" t="s">
        <v>2836</v>
      </c>
      <c r="G81" s="261" t="s">
        <v>1212</v>
      </c>
      <c r="H81" s="269" t="s">
        <v>1213</v>
      </c>
      <c r="I81" s="269" t="s">
        <v>1214</v>
      </c>
      <c r="J81" s="269" t="s">
        <v>1215</v>
      </c>
      <c r="K81" s="269" t="s">
        <v>1216</v>
      </c>
      <c r="L81" s="269" t="s">
        <v>2683</v>
      </c>
      <c r="M81" s="270" t="s">
        <v>1111</v>
      </c>
      <c r="N81" s="122"/>
      <c r="O81" s="131" t="s">
        <v>734</v>
      </c>
      <c r="P81" s="26" t="s">
        <v>748</v>
      </c>
      <c r="Q81" s="120"/>
      <c r="R81" s="130" t="s">
        <v>1044</v>
      </c>
      <c r="S81" s="26" t="s">
        <v>929</v>
      </c>
      <c r="T81" s="120"/>
      <c r="U81" s="120"/>
      <c r="V81" s="120"/>
    </row>
    <row r="82" spans="1:22" x14ac:dyDescent="0.25">
      <c r="A82" s="307" t="s">
        <v>2999</v>
      </c>
      <c r="B82" s="194" t="s">
        <v>3000</v>
      </c>
      <c r="C82" s="194" t="s">
        <v>1856</v>
      </c>
      <c r="D82" s="194" t="s">
        <v>629</v>
      </c>
      <c r="E82" s="308" t="s">
        <v>2837</v>
      </c>
      <c r="G82" s="261" t="s">
        <v>326</v>
      </c>
      <c r="H82" s="269" t="s">
        <v>327</v>
      </c>
      <c r="I82" s="269" t="s">
        <v>328</v>
      </c>
      <c r="J82" s="269" t="s">
        <v>329</v>
      </c>
      <c r="K82" s="269" t="s">
        <v>330</v>
      </c>
      <c r="L82" s="269" t="s">
        <v>2683</v>
      </c>
      <c r="M82" s="270" t="s">
        <v>1111</v>
      </c>
      <c r="N82" s="122"/>
      <c r="O82" s="131" t="s">
        <v>735</v>
      </c>
      <c r="P82" s="26" t="s">
        <v>749</v>
      </c>
      <c r="Q82" s="120"/>
      <c r="R82" s="130" t="s">
        <v>1045</v>
      </c>
      <c r="S82" s="26" t="s">
        <v>1046</v>
      </c>
      <c r="T82" s="120"/>
      <c r="U82" s="120"/>
      <c r="V82" s="120"/>
    </row>
    <row r="83" spans="1:22" x14ac:dyDescent="0.25">
      <c r="A83" s="307" t="s">
        <v>3001</v>
      </c>
      <c r="B83" s="194" t="s">
        <v>3002</v>
      </c>
      <c r="C83" s="194" t="s">
        <v>1856</v>
      </c>
      <c r="D83" s="194" t="s">
        <v>630</v>
      </c>
      <c r="E83" s="308" t="s">
        <v>2838</v>
      </c>
      <c r="G83" s="261" t="s">
        <v>353</v>
      </c>
      <c r="H83" s="269" t="s">
        <v>354</v>
      </c>
      <c r="I83" s="269" t="s">
        <v>355</v>
      </c>
      <c r="J83" s="269" t="s">
        <v>356</v>
      </c>
      <c r="K83" s="269" t="s">
        <v>357</v>
      </c>
      <c r="L83" s="269" t="s">
        <v>2683</v>
      </c>
      <c r="M83" s="270" t="s">
        <v>1111</v>
      </c>
      <c r="N83" s="122"/>
      <c r="O83" s="165" t="s">
        <v>632</v>
      </c>
      <c r="P83" s="166" t="s">
        <v>1035</v>
      </c>
      <c r="Q83" s="120"/>
      <c r="R83" s="130" t="s">
        <v>1047</v>
      </c>
      <c r="S83" s="26" t="s">
        <v>1048</v>
      </c>
      <c r="T83" s="120"/>
      <c r="U83" s="120"/>
      <c r="V83" s="120"/>
    </row>
    <row r="84" spans="1:22" x14ac:dyDescent="0.25">
      <c r="A84" s="307" t="s">
        <v>3003</v>
      </c>
      <c r="B84" s="194" t="s">
        <v>3004</v>
      </c>
      <c r="C84" s="194" t="s">
        <v>1856</v>
      </c>
      <c r="D84" s="194" t="s">
        <v>631</v>
      </c>
      <c r="E84" s="308" t="s">
        <v>2839</v>
      </c>
      <c r="G84" s="261" t="s">
        <v>376</v>
      </c>
      <c r="H84" s="269" t="s">
        <v>377</v>
      </c>
      <c r="I84" s="269" t="s">
        <v>378</v>
      </c>
      <c r="J84" s="269" t="s">
        <v>379</v>
      </c>
      <c r="K84" s="269" t="s">
        <v>380</v>
      </c>
      <c r="L84" s="269" t="s">
        <v>2683</v>
      </c>
      <c r="M84" s="270" t="s">
        <v>1111</v>
      </c>
      <c r="N84" s="122"/>
      <c r="O84" s="120"/>
      <c r="P84" s="120"/>
      <c r="Q84" s="120"/>
      <c r="R84" s="130" t="s">
        <v>1049</v>
      </c>
      <c r="S84" s="26" t="s">
        <v>1050</v>
      </c>
      <c r="T84" s="120"/>
      <c r="U84" s="120"/>
      <c r="V84" s="120"/>
    </row>
    <row r="85" spans="1:22" ht="12.6" thickBot="1" x14ac:dyDescent="0.3">
      <c r="A85" s="307" t="s">
        <v>433</v>
      </c>
      <c r="B85" s="194" t="s">
        <v>433</v>
      </c>
      <c r="C85" s="310" t="s">
        <v>1856</v>
      </c>
      <c r="D85" s="194" t="s">
        <v>433</v>
      </c>
      <c r="E85" s="308" t="s">
        <v>2835</v>
      </c>
      <c r="G85" s="261" t="s">
        <v>1217</v>
      </c>
      <c r="H85" s="269" t="s">
        <v>1218</v>
      </c>
      <c r="I85" s="269" t="s">
        <v>1219</v>
      </c>
      <c r="J85" s="269" t="s">
        <v>1220</v>
      </c>
      <c r="K85" s="269" t="s">
        <v>1221</v>
      </c>
      <c r="L85" s="269" t="s">
        <v>2683</v>
      </c>
      <c r="M85" s="270" t="s">
        <v>1111</v>
      </c>
      <c r="N85" s="122"/>
      <c r="O85" s="120"/>
      <c r="P85" s="120"/>
      <c r="Q85" s="120"/>
      <c r="R85" s="130" t="s">
        <v>1051</v>
      </c>
      <c r="S85" s="26" t="s">
        <v>1052</v>
      </c>
      <c r="T85" s="120"/>
      <c r="U85" s="120"/>
      <c r="V85" s="120"/>
    </row>
    <row r="86" spans="1:22" x14ac:dyDescent="0.25">
      <c r="A86" s="307" t="s">
        <v>457</v>
      </c>
      <c r="B86" s="194" t="s">
        <v>456</v>
      </c>
      <c r="C86" s="194" t="s">
        <v>1856</v>
      </c>
      <c r="D86" s="194" t="s">
        <v>456</v>
      </c>
      <c r="E86" s="308" t="s">
        <v>2840</v>
      </c>
      <c r="G86" s="307" t="s">
        <v>2688</v>
      </c>
      <c r="H86" s="314" t="s">
        <v>2689</v>
      </c>
      <c r="I86" s="314" t="s">
        <v>2690</v>
      </c>
      <c r="J86" s="314" t="s">
        <v>2691</v>
      </c>
      <c r="K86" s="314" t="s">
        <v>2692</v>
      </c>
      <c r="L86" s="312" t="s">
        <v>2683</v>
      </c>
      <c r="M86" s="315" t="s">
        <v>2693</v>
      </c>
      <c r="N86" s="122"/>
      <c r="O86" s="468" t="s">
        <v>2523</v>
      </c>
      <c r="P86" s="468"/>
      <c r="Q86" s="120"/>
      <c r="R86" s="130" t="s">
        <v>1053</v>
      </c>
      <c r="S86" s="26" t="s">
        <v>930</v>
      </c>
      <c r="T86" s="120"/>
      <c r="U86" s="120"/>
      <c r="V86" s="120"/>
    </row>
    <row r="87" spans="1:22" x14ac:dyDescent="0.25">
      <c r="A87" s="307" t="s">
        <v>439</v>
      </c>
      <c r="B87" s="194" t="s">
        <v>438</v>
      </c>
      <c r="C87" s="194" t="s">
        <v>1856</v>
      </c>
      <c r="D87" s="194" t="s">
        <v>438</v>
      </c>
      <c r="E87" s="308" t="s">
        <v>2842</v>
      </c>
      <c r="G87" s="261" t="s">
        <v>1084</v>
      </c>
      <c r="H87" s="269" t="s">
        <v>1085</v>
      </c>
      <c r="I87" s="269" t="s">
        <v>1086</v>
      </c>
      <c r="J87" s="269" t="s">
        <v>1087</v>
      </c>
      <c r="K87" s="269" t="s">
        <v>1088</v>
      </c>
      <c r="L87" s="269" t="s">
        <v>2694</v>
      </c>
      <c r="M87" s="262" t="s">
        <v>1072</v>
      </c>
      <c r="N87" s="122"/>
      <c r="O87" s="125" t="s">
        <v>2748</v>
      </c>
      <c r="P87" s="127" t="s">
        <v>751</v>
      </c>
      <c r="Q87" s="120"/>
      <c r="R87" s="130" t="s">
        <v>1054</v>
      </c>
      <c r="S87" s="26" t="s">
        <v>1055</v>
      </c>
      <c r="T87" s="120"/>
      <c r="U87" s="120"/>
      <c r="V87" s="120"/>
    </row>
    <row r="88" spans="1:22" x14ac:dyDescent="0.25">
      <c r="A88" s="307" t="s">
        <v>3005</v>
      </c>
      <c r="B88" s="194" t="s">
        <v>3006</v>
      </c>
      <c r="C88" s="194" t="s">
        <v>1856</v>
      </c>
      <c r="D88" s="194" t="s">
        <v>3007</v>
      </c>
      <c r="E88" s="308" t="s">
        <v>2799</v>
      </c>
      <c r="G88" s="261" t="s">
        <v>1094</v>
      </c>
      <c r="H88" s="269" t="s">
        <v>1095</v>
      </c>
      <c r="I88" s="269" t="s">
        <v>1096</v>
      </c>
      <c r="J88" s="269" t="s">
        <v>1097</v>
      </c>
      <c r="K88" s="269" t="s">
        <v>1098</v>
      </c>
      <c r="L88" s="269" t="s">
        <v>2694</v>
      </c>
      <c r="M88" s="262" t="s">
        <v>1072</v>
      </c>
      <c r="N88" s="122"/>
      <c r="O88" s="131" t="s">
        <v>67</v>
      </c>
      <c r="P88" s="132" t="s">
        <v>17</v>
      </c>
      <c r="Q88" s="120"/>
      <c r="R88" s="130" t="s">
        <v>1056</v>
      </c>
      <c r="S88" s="26" t="s">
        <v>1057</v>
      </c>
      <c r="T88" s="120"/>
      <c r="U88" s="120"/>
      <c r="V88" s="120"/>
    </row>
    <row r="89" spans="1:22" x14ac:dyDescent="0.25">
      <c r="A89" s="307" t="s">
        <v>598</v>
      </c>
      <c r="B89" s="194" t="s">
        <v>597</v>
      </c>
      <c r="C89" s="194" t="s">
        <v>1857</v>
      </c>
      <c r="D89" s="194" t="s">
        <v>597</v>
      </c>
      <c r="E89" s="308" t="s">
        <v>2843</v>
      </c>
      <c r="G89" s="261" t="s">
        <v>1222</v>
      </c>
      <c r="H89" s="269" t="s">
        <v>1223</v>
      </c>
      <c r="I89" s="269" t="s">
        <v>1224</v>
      </c>
      <c r="J89" s="269" t="s">
        <v>1225</v>
      </c>
      <c r="K89" s="269" t="s">
        <v>1226</v>
      </c>
      <c r="L89" s="269" t="s">
        <v>2694</v>
      </c>
      <c r="M89" s="262" t="s">
        <v>1072</v>
      </c>
      <c r="N89" s="122"/>
      <c r="O89" s="131" t="s">
        <v>1859</v>
      </c>
      <c r="P89" s="171" t="s">
        <v>1860</v>
      </c>
      <c r="Q89" s="120"/>
      <c r="R89" s="130" t="s">
        <v>1058</v>
      </c>
      <c r="S89" s="26" t="s">
        <v>947</v>
      </c>
      <c r="T89" s="120"/>
      <c r="U89" s="120"/>
      <c r="V89" s="120"/>
    </row>
    <row r="90" spans="1:22" x14ac:dyDescent="0.25">
      <c r="A90" s="307" t="s">
        <v>417</v>
      </c>
      <c r="B90" s="194" t="s">
        <v>416</v>
      </c>
      <c r="C90" s="194" t="s">
        <v>1857</v>
      </c>
      <c r="D90" s="194" t="s">
        <v>608</v>
      </c>
      <c r="E90" s="308" t="s">
        <v>2844</v>
      </c>
      <c r="G90" s="261" t="s">
        <v>1227</v>
      </c>
      <c r="H90" s="269" t="s">
        <v>1228</v>
      </c>
      <c r="I90" s="269" t="s">
        <v>1229</v>
      </c>
      <c r="J90" s="269" t="s">
        <v>1230</v>
      </c>
      <c r="K90" s="269" t="s">
        <v>1231</v>
      </c>
      <c r="L90" s="269" t="s">
        <v>2694</v>
      </c>
      <c r="M90" s="262" t="s">
        <v>1072</v>
      </c>
      <c r="N90" s="122"/>
      <c r="O90" s="131" t="s">
        <v>753</v>
      </c>
      <c r="P90" s="132" t="s">
        <v>754</v>
      </c>
      <c r="Q90" s="120"/>
      <c r="R90" s="130" t="s">
        <v>1059</v>
      </c>
      <c r="S90" s="26" t="s">
        <v>1060</v>
      </c>
      <c r="T90" s="120"/>
      <c r="U90" s="120"/>
      <c r="V90" s="120"/>
    </row>
    <row r="91" spans="1:22" ht="12.6" thickBot="1" x14ac:dyDescent="0.3">
      <c r="A91" s="307" t="s">
        <v>522</v>
      </c>
      <c r="B91" s="194" t="s">
        <v>521</v>
      </c>
      <c r="C91" s="310" t="s">
        <v>1857</v>
      </c>
      <c r="D91" s="194" t="s">
        <v>521</v>
      </c>
      <c r="E91" s="308" t="s">
        <v>2846</v>
      </c>
      <c r="G91" s="261" t="s">
        <v>1232</v>
      </c>
      <c r="H91" s="269" t="s">
        <v>1233</v>
      </c>
      <c r="I91" s="269" t="s">
        <v>1234</v>
      </c>
      <c r="J91" s="269" t="s">
        <v>1235</v>
      </c>
      <c r="K91" s="269" t="s">
        <v>1236</v>
      </c>
      <c r="L91" s="269" t="s">
        <v>2694</v>
      </c>
      <c r="M91" s="262" t="s">
        <v>1072</v>
      </c>
      <c r="N91" s="122"/>
      <c r="O91" s="131" t="s">
        <v>755</v>
      </c>
      <c r="P91" s="132" t="s">
        <v>756</v>
      </c>
      <c r="Q91" s="120"/>
      <c r="R91" s="130" t="s">
        <v>1061</v>
      </c>
      <c r="S91" s="26" t="s">
        <v>1062</v>
      </c>
      <c r="T91" s="120"/>
      <c r="U91" s="120"/>
      <c r="V91" s="120"/>
    </row>
    <row r="92" spans="1:22" x14ac:dyDescent="0.25">
      <c r="A92" s="307" t="s">
        <v>519</v>
      </c>
      <c r="B92" s="194" t="s">
        <v>518</v>
      </c>
      <c r="C92" s="194" t="s">
        <v>1857</v>
      </c>
      <c r="D92" s="194" t="s">
        <v>518</v>
      </c>
      <c r="E92" s="308" t="s">
        <v>2847</v>
      </c>
      <c r="G92" s="261" t="s">
        <v>383</v>
      </c>
      <c r="H92" s="269" t="s">
        <v>384</v>
      </c>
      <c r="I92" s="269" t="s">
        <v>385</v>
      </c>
      <c r="J92" s="269" t="s">
        <v>386</v>
      </c>
      <c r="K92" s="269" t="s">
        <v>387</v>
      </c>
      <c r="L92" s="269" t="s">
        <v>2694</v>
      </c>
      <c r="M92" s="262" t="s">
        <v>1072</v>
      </c>
      <c r="N92" s="122"/>
      <c r="O92" s="131" t="s">
        <v>757</v>
      </c>
      <c r="P92" s="132" t="s">
        <v>758</v>
      </c>
      <c r="Q92" s="120"/>
      <c r="R92" s="172" t="s">
        <v>633</v>
      </c>
      <c r="S92" s="173" t="s">
        <v>1035</v>
      </c>
      <c r="T92" s="120"/>
      <c r="U92" s="120"/>
      <c r="V92" s="120"/>
    </row>
    <row r="93" spans="1:22" x14ac:dyDescent="0.25">
      <c r="A93" s="307" t="s">
        <v>567</v>
      </c>
      <c r="B93" s="194" t="s">
        <v>566</v>
      </c>
      <c r="C93" s="194" t="s">
        <v>1857</v>
      </c>
      <c r="D93" s="194" t="s">
        <v>566</v>
      </c>
      <c r="E93" s="308" t="s">
        <v>2848</v>
      </c>
      <c r="G93" s="261" t="s">
        <v>1237</v>
      </c>
      <c r="H93" s="269" t="s">
        <v>1238</v>
      </c>
      <c r="I93" s="269" t="s">
        <v>1239</v>
      </c>
      <c r="J93" s="269" t="s">
        <v>1240</v>
      </c>
      <c r="K93" s="269" t="s">
        <v>1241</v>
      </c>
      <c r="L93" s="269" t="s">
        <v>2694</v>
      </c>
      <c r="M93" s="262" t="s">
        <v>1072</v>
      </c>
      <c r="N93" s="122"/>
      <c r="O93" s="131" t="s">
        <v>759</v>
      </c>
      <c r="P93" s="132" t="s">
        <v>760</v>
      </c>
      <c r="Q93" s="120"/>
      <c r="R93" s="120"/>
      <c r="S93" s="120"/>
      <c r="T93" s="120"/>
      <c r="U93" s="120"/>
      <c r="V93" s="120"/>
    </row>
    <row r="94" spans="1:22" x14ac:dyDescent="0.25">
      <c r="A94" s="307" t="s">
        <v>1796</v>
      </c>
      <c r="B94" s="194" t="s">
        <v>1795</v>
      </c>
      <c r="C94" s="194" t="s">
        <v>1858</v>
      </c>
      <c r="D94" s="194" t="s">
        <v>1795</v>
      </c>
      <c r="E94" s="308" t="s">
        <v>2849</v>
      </c>
      <c r="G94" s="261" t="s">
        <v>1242</v>
      </c>
      <c r="H94" s="269" t="s">
        <v>1243</v>
      </c>
      <c r="I94" s="269" t="s">
        <v>1244</v>
      </c>
      <c r="J94" s="269" t="s">
        <v>1245</v>
      </c>
      <c r="K94" s="269" t="s">
        <v>1246</v>
      </c>
      <c r="L94" s="269" t="s">
        <v>2694</v>
      </c>
      <c r="M94" s="262" t="s">
        <v>1072</v>
      </c>
      <c r="N94" s="122"/>
      <c r="O94" s="131" t="s">
        <v>761</v>
      </c>
      <c r="P94" s="132" t="s">
        <v>762</v>
      </c>
      <c r="Q94" s="120"/>
      <c r="T94" s="120"/>
      <c r="U94" s="120"/>
      <c r="V94" s="120"/>
    </row>
    <row r="95" spans="1:22" x14ac:dyDescent="0.25">
      <c r="A95" s="307" t="s">
        <v>557</v>
      </c>
      <c r="B95" s="194" t="s">
        <v>556</v>
      </c>
      <c r="C95" s="194" t="s">
        <v>1858</v>
      </c>
      <c r="D95" s="194" t="s">
        <v>556</v>
      </c>
      <c r="E95" s="308" t="s">
        <v>2850</v>
      </c>
      <c r="G95" s="261" t="s">
        <v>1247</v>
      </c>
      <c r="H95" s="269" t="s">
        <v>1248</v>
      </c>
      <c r="I95" s="269" t="s">
        <v>1249</v>
      </c>
      <c r="J95" s="269" t="s">
        <v>1250</v>
      </c>
      <c r="K95" s="269" t="s">
        <v>1251</v>
      </c>
      <c r="L95" s="269" t="s">
        <v>2694</v>
      </c>
      <c r="M95" s="262" t="s">
        <v>1072</v>
      </c>
      <c r="N95" s="122"/>
      <c r="O95" s="131" t="s">
        <v>763</v>
      </c>
      <c r="P95" s="132" t="s">
        <v>770</v>
      </c>
      <c r="Q95" s="120"/>
      <c r="R95" s="467" t="s">
        <v>934</v>
      </c>
      <c r="S95" s="467"/>
      <c r="T95" s="120"/>
      <c r="U95" s="120"/>
      <c r="V95" s="120"/>
    </row>
    <row r="96" spans="1:22" x14ac:dyDescent="0.25">
      <c r="A96" s="307" t="s">
        <v>512</v>
      </c>
      <c r="B96" s="194" t="s">
        <v>511</v>
      </c>
      <c r="C96" s="194" t="s">
        <v>1858</v>
      </c>
      <c r="D96" s="194" t="s">
        <v>511</v>
      </c>
      <c r="E96" s="308" t="s">
        <v>2851</v>
      </c>
      <c r="G96" s="261" t="s">
        <v>1252</v>
      </c>
      <c r="H96" s="269" t="s">
        <v>1253</v>
      </c>
      <c r="I96" s="269" t="s">
        <v>1254</v>
      </c>
      <c r="J96" s="269" t="s">
        <v>1255</v>
      </c>
      <c r="K96" s="269" t="s">
        <v>1256</v>
      </c>
      <c r="L96" s="269" t="s">
        <v>2694</v>
      </c>
      <c r="M96" s="262" t="s">
        <v>1072</v>
      </c>
      <c r="N96" s="122"/>
      <c r="O96" s="131" t="s">
        <v>764</v>
      </c>
      <c r="P96" s="132" t="s">
        <v>765</v>
      </c>
      <c r="Q96" s="120"/>
      <c r="R96" s="123" t="s">
        <v>2749</v>
      </c>
      <c r="S96" s="124" t="s">
        <v>0</v>
      </c>
      <c r="T96" s="120"/>
      <c r="U96" s="120"/>
      <c r="V96" s="120"/>
    </row>
    <row r="97" spans="1:22" x14ac:dyDescent="0.25">
      <c r="A97" s="307" t="s">
        <v>412</v>
      </c>
      <c r="B97" s="194" t="s">
        <v>411</v>
      </c>
      <c r="C97" s="194" t="s">
        <v>1858</v>
      </c>
      <c r="D97" s="194" t="s">
        <v>411</v>
      </c>
      <c r="E97" s="308" t="s">
        <v>2852</v>
      </c>
      <c r="G97" s="261" t="s">
        <v>1257</v>
      </c>
      <c r="H97" s="269" t="s">
        <v>1258</v>
      </c>
      <c r="I97" s="269" t="s">
        <v>1259</v>
      </c>
      <c r="J97" s="269" t="s">
        <v>1260</v>
      </c>
      <c r="K97" s="269" t="s">
        <v>1261</v>
      </c>
      <c r="L97" s="269" t="s">
        <v>2694</v>
      </c>
      <c r="M97" s="262" t="s">
        <v>1072</v>
      </c>
      <c r="N97" s="122"/>
      <c r="O97" s="131" t="s">
        <v>766</v>
      </c>
      <c r="P97" s="132" t="s">
        <v>767</v>
      </c>
      <c r="Q97" s="120"/>
      <c r="R97" s="160" t="s">
        <v>927</v>
      </c>
      <c r="S97" s="161" t="s">
        <v>17</v>
      </c>
      <c r="T97" s="120"/>
      <c r="U97" s="120"/>
      <c r="V97" s="120"/>
    </row>
    <row r="98" spans="1:22" x14ac:dyDescent="0.25">
      <c r="A98" s="307" t="s">
        <v>499</v>
      </c>
      <c r="B98" s="194" t="s">
        <v>498</v>
      </c>
      <c r="C98" s="194" t="s">
        <v>1858</v>
      </c>
      <c r="D98" s="194" t="s">
        <v>498</v>
      </c>
      <c r="E98" s="308" t="s">
        <v>2853</v>
      </c>
      <c r="G98" s="261" t="s">
        <v>1262</v>
      </c>
      <c r="H98" s="269" t="s">
        <v>1263</v>
      </c>
      <c r="I98" s="269" t="s">
        <v>1264</v>
      </c>
      <c r="J98" s="269" t="s">
        <v>1265</v>
      </c>
      <c r="K98" s="269" t="s">
        <v>1266</v>
      </c>
      <c r="L98" s="269" t="s">
        <v>2694</v>
      </c>
      <c r="M98" s="262" t="s">
        <v>1072</v>
      </c>
      <c r="N98" s="122"/>
      <c r="O98" s="131" t="s">
        <v>768</v>
      </c>
      <c r="P98" s="132" t="s">
        <v>769</v>
      </c>
      <c r="Q98" s="120"/>
      <c r="R98" s="160" t="s">
        <v>79</v>
      </c>
      <c r="S98" s="161" t="s">
        <v>80</v>
      </c>
      <c r="T98" s="120"/>
      <c r="U98" s="120"/>
      <c r="V98" s="120"/>
    </row>
    <row r="99" spans="1:22" x14ac:dyDescent="0.25">
      <c r="A99" s="307" t="s">
        <v>571</v>
      </c>
      <c r="B99" s="194" t="s">
        <v>570</v>
      </c>
      <c r="C99" s="194" t="s">
        <v>1858</v>
      </c>
      <c r="D99" s="194" t="s">
        <v>570</v>
      </c>
      <c r="E99" s="308" t="s">
        <v>2854</v>
      </c>
      <c r="G99" s="261" t="s">
        <v>1267</v>
      </c>
      <c r="H99" s="269" t="s">
        <v>1268</v>
      </c>
      <c r="I99" s="269" t="s">
        <v>1269</v>
      </c>
      <c r="J99" s="269" t="s">
        <v>1270</v>
      </c>
      <c r="K99" s="269" t="s">
        <v>1271</v>
      </c>
      <c r="L99" s="269" t="s">
        <v>2694</v>
      </c>
      <c r="M99" s="262" t="s">
        <v>1072</v>
      </c>
      <c r="N99" s="122"/>
      <c r="O99" s="165" t="s">
        <v>632</v>
      </c>
      <c r="P99" s="166" t="s">
        <v>1035</v>
      </c>
      <c r="Q99" s="120"/>
      <c r="R99" s="160" t="s">
        <v>81</v>
      </c>
      <c r="S99" s="161" t="s">
        <v>81</v>
      </c>
      <c r="T99" s="120"/>
      <c r="U99" s="120"/>
      <c r="V99" s="120"/>
    </row>
    <row r="100" spans="1:22" x14ac:dyDescent="0.25">
      <c r="A100" s="307" t="s">
        <v>565</v>
      </c>
      <c r="B100" s="194" t="s">
        <v>564</v>
      </c>
      <c r="C100" s="194" t="s">
        <v>1858</v>
      </c>
      <c r="D100" s="194" t="s">
        <v>564</v>
      </c>
      <c r="E100" s="308" t="s">
        <v>2855</v>
      </c>
      <c r="G100" s="261" t="s">
        <v>1272</v>
      </c>
      <c r="H100" s="269" t="s">
        <v>1273</v>
      </c>
      <c r="I100" s="269" t="s">
        <v>1274</v>
      </c>
      <c r="J100" s="269" t="s">
        <v>1275</v>
      </c>
      <c r="K100" s="269" t="s">
        <v>1274</v>
      </c>
      <c r="L100" s="269" t="s">
        <v>2694</v>
      </c>
      <c r="M100" s="262" t="s">
        <v>1072</v>
      </c>
      <c r="N100" s="122"/>
      <c r="O100" s="120"/>
      <c r="P100" s="120"/>
      <c r="Q100" s="120"/>
      <c r="R100" s="160" t="s">
        <v>82</v>
      </c>
      <c r="S100" s="161" t="s">
        <v>83</v>
      </c>
      <c r="T100" s="120"/>
      <c r="U100" s="120"/>
      <c r="V100" s="120"/>
    </row>
    <row r="101" spans="1:22" x14ac:dyDescent="0.25">
      <c r="A101" s="309" t="s">
        <v>530</v>
      </c>
      <c r="B101" s="194" t="s">
        <v>342</v>
      </c>
      <c r="C101" s="194" t="s">
        <v>1858</v>
      </c>
      <c r="D101" s="194" t="s">
        <v>342</v>
      </c>
      <c r="E101" s="308" t="s">
        <v>2856</v>
      </c>
      <c r="G101" s="261" t="s">
        <v>1276</v>
      </c>
      <c r="H101" s="269" t="s">
        <v>1277</v>
      </c>
      <c r="I101" s="269" t="s">
        <v>1278</v>
      </c>
      <c r="J101" s="269" t="s">
        <v>1279</v>
      </c>
      <c r="K101" s="269" t="s">
        <v>1280</v>
      </c>
      <c r="L101" s="269" t="s">
        <v>2694</v>
      </c>
      <c r="M101" s="262" t="s">
        <v>1072</v>
      </c>
      <c r="N101" s="122"/>
      <c r="O101" s="120"/>
      <c r="P101" s="120"/>
      <c r="Q101" s="120"/>
      <c r="R101" s="160" t="s">
        <v>84</v>
      </c>
      <c r="S101" s="161" t="s">
        <v>85</v>
      </c>
      <c r="T101" s="120"/>
      <c r="U101" s="120"/>
      <c r="V101" s="120"/>
    </row>
    <row r="102" spans="1:22" x14ac:dyDescent="0.25">
      <c r="A102" s="307" t="s">
        <v>477</v>
      </c>
      <c r="B102" s="194" t="s">
        <v>476</v>
      </c>
      <c r="C102" s="194" t="s">
        <v>1858</v>
      </c>
      <c r="D102" s="194" t="s">
        <v>476</v>
      </c>
      <c r="E102" s="308" t="s">
        <v>2857</v>
      </c>
      <c r="G102" s="261" t="s">
        <v>1281</v>
      </c>
      <c r="H102" s="269" t="s">
        <v>1282</v>
      </c>
      <c r="I102" s="269" t="s">
        <v>1283</v>
      </c>
      <c r="J102" s="269" t="s">
        <v>1284</v>
      </c>
      <c r="K102" s="269" t="s">
        <v>1285</v>
      </c>
      <c r="L102" s="269" t="s">
        <v>2694</v>
      </c>
      <c r="M102" s="262" t="s">
        <v>1072</v>
      </c>
      <c r="N102" s="122"/>
      <c r="O102" s="468" t="s">
        <v>2524</v>
      </c>
      <c r="P102" s="468"/>
      <c r="Q102" s="120"/>
      <c r="R102" s="160" t="s">
        <v>86</v>
      </c>
      <c r="S102" s="161" t="s">
        <v>87</v>
      </c>
      <c r="T102" s="120"/>
      <c r="U102" s="120"/>
      <c r="V102" s="120"/>
    </row>
    <row r="103" spans="1:22" x14ac:dyDescent="0.25">
      <c r="A103" s="307" t="s">
        <v>2703</v>
      </c>
      <c r="B103" s="194" t="s">
        <v>2702</v>
      </c>
      <c r="C103" s="194" t="s">
        <v>1858</v>
      </c>
      <c r="D103" s="194" t="s">
        <v>2702</v>
      </c>
      <c r="E103" s="308" t="s">
        <v>2858</v>
      </c>
      <c r="G103" s="261" t="s">
        <v>1286</v>
      </c>
      <c r="H103" s="269" t="s">
        <v>1287</v>
      </c>
      <c r="I103" s="269" t="s">
        <v>1288</v>
      </c>
      <c r="J103" s="269" t="s">
        <v>1289</v>
      </c>
      <c r="K103" s="269" t="s">
        <v>1290</v>
      </c>
      <c r="L103" s="269" t="s">
        <v>2694</v>
      </c>
      <c r="M103" s="262" t="s">
        <v>1072</v>
      </c>
      <c r="N103" s="122"/>
      <c r="O103" s="125" t="s">
        <v>2746</v>
      </c>
      <c r="P103" s="127" t="s">
        <v>771</v>
      </c>
      <c r="Q103" s="120"/>
      <c r="R103" s="160" t="s">
        <v>88</v>
      </c>
      <c r="S103" s="161" t="s">
        <v>89</v>
      </c>
      <c r="T103" s="120"/>
      <c r="U103" s="120"/>
      <c r="V103" s="120"/>
    </row>
    <row r="104" spans="1:22" x14ac:dyDescent="0.25">
      <c r="A104" s="307" t="s">
        <v>1798</v>
      </c>
      <c r="B104" s="194" t="s">
        <v>1797</v>
      </c>
      <c r="C104" s="194" t="s">
        <v>1858</v>
      </c>
      <c r="D104" s="194" t="s">
        <v>1797</v>
      </c>
      <c r="E104" s="308" t="s">
        <v>2859</v>
      </c>
      <c r="G104" s="261" t="s">
        <v>1291</v>
      </c>
      <c r="H104" s="269" t="s">
        <v>1292</v>
      </c>
      <c r="I104" s="269" t="s">
        <v>1293</v>
      </c>
      <c r="J104" s="269" t="s">
        <v>1294</v>
      </c>
      <c r="K104" s="269" t="s">
        <v>1295</v>
      </c>
      <c r="L104" s="269" t="s">
        <v>2694</v>
      </c>
      <c r="M104" s="262" t="s">
        <v>1072</v>
      </c>
      <c r="N104" s="122"/>
      <c r="O104" s="131" t="s">
        <v>390</v>
      </c>
      <c r="P104" s="132" t="s">
        <v>17</v>
      </c>
      <c r="Q104" s="120"/>
      <c r="R104" s="160" t="s">
        <v>90</v>
      </c>
      <c r="S104" s="161" t="s">
        <v>91</v>
      </c>
      <c r="T104" s="120"/>
      <c r="U104" s="120"/>
      <c r="V104" s="120"/>
    </row>
    <row r="105" spans="1:22" x14ac:dyDescent="0.25">
      <c r="A105" s="307" t="s">
        <v>2705</v>
      </c>
      <c r="B105" s="194" t="s">
        <v>2704</v>
      </c>
      <c r="C105" s="194" t="s">
        <v>1858</v>
      </c>
      <c r="D105" s="194" t="s">
        <v>2704</v>
      </c>
      <c r="E105" s="308" t="s">
        <v>2860</v>
      </c>
      <c r="G105" s="261" t="s">
        <v>1296</v>
      </c>
      <c r="H105" s="269" t="s">
        <v>1297</v>
      </c>
      <c r="I105" s="269" t="s">
        <v>1298</v>
      </c>
      <c r="J105" s="269" t="s">
        <v>1299</v>
      </c>
      <c r="K105" s="269" t="s">
        <v>1300</v>
      </c>
      <c r="L105" s="269" t="s">
        <v>2694</v>
      </c>
      <c r="M105" s="262" t="s">
        <v>1072</v>
      </c>
      <c r="N105" s="122"/>
      <c r="O105" s="131" t="s">
        <v>725</v>
      </c>
      <c r="P105" s="132" t="s">
        <v>778</v>
      </c>
      <c r="Q105" s="120"/>
      <c r="R105" s="160" t="s">
        <v>92</v>
      </c>
      <c r="S105" s="161" t="s">
        <v>93</v>
      </c>
      <c r="T105" s="120"/>
      <c r="U105" s="120"/>
      <c r="V105" s="120"/>
    </row>
    <row r="106" spans="1:22" x14ac:dyDescent="0.25">
      <c r="A106" s="307" t="s">
        <v>536</v>
      </c>
      <c r="B106" s="194" t="s">
        <v>535</v>
      </c>
      <c r="C106" s="194" t="s">
        <v>1858</v>
      </c>
      <c r="D106" s="194" t="s">
        <v>535</v>
      </c>
      <c r="E106" s="308" t="s">
        <v>2861</v>
      </c>
      <c r="G106" s="261" t="s">
        <v>1301</v>
      </c>
      <c r="H106" s="269" t="s">
        <v>1302</v>
      </c>
      <c r="I106" s="269" t="s">
        <v>1303</v>
      </c>
      <c r="J106" s="269" t="s">
        <v>1304</v>
      </c>
      <c r="K106" s="269" t="s">
        <v>1305</v>
      </c>
      <c r="L106" s="269" t="s">
        <v>2694</v>
      </c>
      <c r="M106" s="262" t="s">
        <v>1072</v>
      </c>
      <c r="N106" s="122"/>
      <c r="O106" s="131" t="s">
        <v>773</v>
      </c>
      <c r="P106" s="132" t="s">
        <v>779</v>
      </c>
      <c r="Q106" s="120"/>
      <c r="R106" s="160" t="s">
        <v>94</v>
      </c>
      <c r="S106" s="161" t="s">
        <v>95</v>
      </c>
      <c r="T106" s="120"/>
      <c r="U106" s="120"/>
      <c r="V106" s="120"/>
    </row>
    <row r="107" spans="1:22" x14ac:dyDescent="0.25">
      <c r="A107" s="307" t="s">
        <v>495</v>
      </c>
      <c r="B107" s="194" t="s">
        <v>494</v>
      </c>
      <c r="C107" s="194" t="s">
        <v>1858</v>
      </c>
      <c r="D107" s="194" t="s">
        <v>494</v>
      </c>
      <c r="E107" s="308" t="s">
        <v>2862</v>
      </c>
      <c r="G107" s="261" t="s">
        <v>1306</v>
      </c>
      <c r="H107" s="269" t="s">
        <v>1307</v>
      </c>
      <c r="I107" s="269" t="s">
        <v>1308</v>
      </c>
      <c r="J107" s="269" t="s">
        <v>1309</v>
      </c>
      <c r="K107" s="269" t="s">
        <v>1310</v>
      </c>
      <c r="L107" s="269" t="s">
        <v>2694</v>
      </c>
      <c r="M107" s="262" t="s">
        <v>1072</v>
      </c>
      <c r="N107" s="122"/>
      <c r="O107" s="131" t="s">
        <v>781</v>
      </c>
      <c r="P107" s="132" t="s">
        <v>782</v>
      </c>
      <c r="Q107" s="120"/>
      <c r="R107" s="160" t="s">
        <v>96</v>
      </c>
      <c r="S107" s="161" t="s">
        <v>97</v>
      </c>
      <c r="T107" s="120"/>
      <c r="U107" s="120"/>
      <c r="V107" s="120"/>
    </row>
    <row r="108" spans="1:22" x14ac:dyDescent="0.25">
      <c r="A108" s="307" t="s">
        <v>487</v>
      </c>
      <c r="B108" s="194" t="s">
        <v>486</v>
      </c>
      <c r="C108" s="194" t="s">
        <v>1858</v>
      </c>
      <c r="D108" s="194" t="s">
        <v>486</v>
      </c>
      <c r="E108" s="308" t="s">
        <v>2863</v>
      </c>
      <c r="G108" s="261" t="s">
        <v>1311</v>
      </c>
      <c r="H108" s="269" t="s">
        <v>1312</v>
      </c>
      <c r="I108" s="269" t="s">
        <v>1313</v>
      </c>
      <c r="J108" s="269" t="s">
        <v>1314</v>
      </c>
      <c r="K108" s="269" t="s">
        <v>1312</v>
      </c>
      <c r="L108" s="269" t="s">
        <v>2694</v>
      </c>
      <c r="M108" s="262" t="s">
        <v>1072</v>
      </c>
      <c r="N108" s="122"/>
      <c r="O108" s="131" t="s">
        <v>391</v>
      </c>
      <c r="P108" s="132" t="s">
        <v>777</v>
      </c>
      <c r="Q108" s="120"/>
      <c r="R108" s="163" t="s">
        <v>932</v>
      </c>
      <c r="S108" s="164" t="s">
        <v>1035</v>
      </c>
      <c r="T108" s="120"/>
      <c r="U108" s="120"/>
      <c r="V108" s="120"/>
    </row>
    <row r="109" spans="1:22" x14ac:dyDescent="0.25">
      <c r="A109" s="307" t="s">
        <v>561</v>
      </c>
      <c r="B109" s="194" t="s">
        <v>560</v>
      </c>
      <c r="C109" s="194" t="s">
        <v>1858</v>
      </c>
      <c r="D109" s="194" t="s">
        <v>560</v>
      </c>
      <c r="E109" s="308" t="s">
        <v>2864</v>
      </c>
      <c r="G109" s="261" t="s">
        <v>1315</v>
      </c>
      <c r="H109" s="269" t="s">
        <v>1316</v>
      </c>
      <c r="I109" s="269" t="s">
        <v>1317</v>
      </c>
      <c r="J109" s="269" t="s">
        <v>1318</v>
      </c>
      <c r="K109" s="269" t="s">
        <v>1319</v>
      </c>
      <c r="L109" s="269" t="s">
        <v>2694</v>
      </c>
      <c r="M109" s="262" t="s">
        <v>1072</v>
      </c>
      <c r="N109" s="122"/>
      <c r="O109" s="131" t="s">
        <v>775</v>
      </c>
      <c r="P109" s="132" t="s">
        <v>780</v>
      </c>
      <c r="Q109" s="120"/>
      <c r="R109" s="120"/>
      <c r="S109" s="120"/>
      <c r="T109" s="120"/>
      <c r="U109" s="120"/>
      <c r="V109" s="120"/>
    </row>
    <row r="110" spans="1:22" x14ac:dyDescent="0.25">
      <c r="A110" s="307" t="s">
        <v>471</v>
      </c>
      <c r="B110" s="194" t="s">
        <v>470</v>
      </c>
      <c r="C110" s="194" t="s">
        <v>1857</v>
      </c>
      <c r="D110" s="194" t="s">
        <v>470</v>
      </c>
      <c r="E110" s="308" t="s">
        <v>2845</v>
      </c>
      <c r="G110" s="261" t="s">
        <v>1320</v>
      </c>
      <c r="H110" s="269" t="s">
        <v>1321</v>
      </c>
      <c r="I110" s="269" t="s">
        <v>1322</v>
      </c>
      <c r="J110" s="269" t="s">
        <v>1323</v>
      </c>
      <c r="K110" s="269" t="s">
        <v>1324</v>
      </c>
      <c r="L110" s="269" t="s">
        <v>2694</v>
      </c>
      <c r="M110" s="262" t="s">
        <v>1072</v>
      </c>
      <c r="N110" s="122"/>
      <c r="O110" s="131" t="s">
        <v>776</v>
      </c>
      <c r="P110" s="132" t="s">
        <v>783</v>
      </c>
      <c r="Q110" s="120"/>
      <c r="R110" s="120"/>
      <c r="S110" s="120"/>
      <c r="T110" s="120"/>
      <c r="U110" s="120"/>
      <c r="V110" s="120"/>
    </row>
    <row r="111" spans="1:22" x14ac:dyDescent="0.25">
      <c r="A111" s="307" t="s">
        <v>481</v>
      </c>
      <c r="B111" s="194" t="s">
        <v>480</v>
      </c>
      <c r="C111" s="194" t="s">
        <v>1858</v>
      </c>
      <c r="D111" s="194" t="s">
        <v>480</v>
      </c>
      <c r="E111" s="308" t="s">
        <v>2865</v>
      </c>
      <c r="G111" s="261" t="s">
        <v>1325</v>
      </c>
      <c r="H111" s="269" t="s">
        <v>1326</v>
      </c>
      <c r="I111" s="269" t="s">
        <v>1327</v>
      </c>
      <c r="J111" s="269" t="s">
        <v>1328</v>
      </c>
      <c r="K111" s="269" t="s">
        <v>1329</v>
      </c>
      <c r="L111" s="269" t="s">
        <v>2694</v>
      </c>
      <c r="M111" s="262" t="s">
        <v>1072</v>
      </c>
      <c r="N111" s="122"/>
      <c r="O111" s="165" t="s">
        <v>632</v>
      </c>
      <c r="P111" s="166" t="s">
        <v>1035</v>
      </c>
      <c r="Q111" s="120"/>
      <c r="R111" s="120"/>
      <c r="S111" s="120"/>
      <c r="T111" s="120"/>
      <c r="U111" s="120"/>
      <c r="V111" s="120"/>
    </row>
    <row r="112" spans="1:22" x14ac:dyDescent="0.25">
      <c r="A112" s="307" t="s">
        <v>596</v>
      </c>
      <c r="B112" s="194" t="s">
        <v>595</v>
      </c>
      <c r="C112" s="194" t="s">
        <v>1858</v>
      </c>
      <c r="D112" s="194" t="s">
        <v>595</v>
      </c>
      <c r="E112" s="308" t="s">
        <v>2866</v>
      </c>
      <c r="G112" s="261" t="s">
        <v>1330</v>
      </c>
      <c r="H112" s="269" t="s">
        <v>1331</v>
      </c>
      <c r="I112" s="269" t="s">
        <v>1332</v>
      </c>
      <c r="J112" s="269" t="s">
        <v>1333</v>
      </c>
      <c r="K112" s="269" t="s">
        <v>1333</v>
      </c>
      <c r="L112" s="269" t="s">
        <v>2694</v>
      </c>
      <c r="M112" s="262" t="s">
        <v>1072</v>
      </c>
      <c r="N112" s="122"/>
      <c r="O112" s="120"/>
      <c r="P112" s="120"/>
      <c r="Q112" s="120"/>
      <c r="R112" s="469" t="s">
        <v>400</v>
      </c>
      <c r="S112" s="469"/>
      <c r="T112" s="120"/>
      <c r="U112" s="120"/>
      <c r="V112" s="120"/>
    </row>
    <row r="113" spans="1:22" x14ac:dyDescent="0.25">
      <c r="A113" s="307" t="s">
        <v>419</v>
      </c>
      <c r="B113" s="194" t="s">
        <v>418</v>
      </c>
      <c r="C113" s="194" t="s">
        <v>1858</v>
      </c>
      <c r="D113" s="194" t="s">
        <v>418</v>
      </c>
      <c r="E113" s="308" t="s">
        <v>2867</v>
      </c>
      <c r="G113" s="261" t="s">
        <v>1334</v>
      </c>
      <c r="H113" s="269" t="s">
        <v>1335</v>
      </c>
      <c r="I113" s="269" t="s">
        <v>1336</v>
      </c>
      <c r="J113" s="269" t="s">
        <v>1337</v>
      </c>
      <c r="K113" s="269" t="s">
        <v>1338</v>
      </c>
      <c r="L113" s="269" t="s">
        <v>2694</v>
      </c>
      <c r="M113" s="262" t="s">
        <v>1072</v>
      </c>
      <c r="N113" s="122"/>
      <c r="O113" s="120"/>
      <c r="P113" s="120"/>
      <c r="Q113" s="120"/>
      <c r="R113" s="123" t="s">
        <v>2750</v>
      </c>
      <c r="S113" s="124" t="s">
        <v>389</v>
      </c>
      <c r="T113" s="120"/>
      <c r="U113" s="120"/>
      <c r="V113" s="120"/>
    </row>
    <row r="114" spans="1:22" x14ac:dyDescent="0.25">
      <c r="A114" s="307" t="s">
        <v>2707</v>
      </c>
      <c r="B114" s="194" t="s">
        <v>2706</v>
      </c>
      <c r="C114" s="194" t="s">
        <v>1858</v>
      </c>
      <c r="D114" s="194" t="s">
        <v>2706</v>
      </c>
      <c r="E114" s="308" t="s">
        <v>2868</v>
      </c>
      <c r="G114" s="261" t="s">
        <v>1339</v>
      </c>
      <c r="H114" s="269" t="s">
        <v>1340</v>
      </c>
      <c r="I114" s="269" t="s">
        <v>1341</v>
      </c>
      <c r="J114" s="269" t="s">
        <v>1340</v>
      </c>
      <c r="K114" s="269" t="s">
        <v>1340</v>
      </c>
      <c r="L114" s="269" t="s">
        <v>2694</v>
      </c>
      <c r="M114" s="262" t="s">
        <v>1072</v>
      </c>
      <c r="N114" s="122"/>
      <c r="O114" s="468" t="s">
        <v>2525</v>
      </c>
      <c r="P114" s="468"/>
      <c r="Q114" s="120"/>
      <c r="R114" s="128" t="s">
        <v>390</v>
      </c>
      <c r="S114" s="129" t="s">
        <v>17</v>
      </c>
      <c r="T114" s="120"/>
      <c r="U114" s="120"/>
      <c r="V114" s="120"/>
    </row>
    <row r="115" spans="1:22" x14ac:dyDescent="0.25">
      <c r="A115" s="307" t="s">
        <v>516</v>
      </c>
      <c r="B115" s="194" t="s">
        <v>515</v>
      </c>
      <c r="C115" s="194" t="s">
        <v>1858</v>
      </c>
      <c r="D115" s="194" t="s">
        <v>515</v>
      </c>
      <c r="E115" s="308" t="s">
        <v>2869</v>
      </c>
      <c r="G115" s="261" t="s">
        <v>1342</v>
      </c>
      <c r="H115" s="269" t="s">
        <v>1343</v>
      </c>
      <c r="I115" s="269" t="s">
        <v>1344</v>
      </c>
      <c r="J115" s="269"/>
      <c r="K115" s="269"/>
      <c r="L115" s="269" t="s">
        <v>2694</v>
      </c>
      <c r="M115" s="262" t="s">
        <v>1072</v>
      </c>
      <c r="N115" s="122"/>
      <c r="O115" s="125" t="s">
        <v>2745</v>
      </c>
      <c r="P115" s="127" t="s">
        <v>784</v>
      </c>
      <c r="Q115" s="120"/>
      <c r="R115" s="128" t="s">
        <v>391</v>
      </c>
      <c r="S115" s="129" t="s">
        <v>392</v>
      </c>
      <c r="T115" s="120"/>
      <c r="U115" s="120"/>
      <c r="V115" s="120"/>
    </row>
    <row r="116" spans="1:22" x14ac:dyDescent="0.25">
      <c r="A116" s="307" t="s">
        <v>447</v>
      </c>
      <c r="B116" s="194" t="s">
        <v>446</v>
      </c>
      <c r="C116" s="194" t="s">
        <v>1858</v>
      </c>
      <c r="D116" s="194" t="s">
        <v>446</v>
      </c>
      <c r="E116" s="308" t="s">
        <v>2870</v>
      </c>
      <c r="G116" s="261" t="s">
        <v>1345</v>
      </c>
      <c r="H116" s="269" t="s">
        <v>1346</v>
      </c>
      <c r="I116" s="269" t="s">
        <v>1347</v>
      </c>
      <c r="J116" s="269" t="s">
        <v>1348</v>
      </c>
      <c r="K116" s="269" t="s">
        <v>1349</v>
      </c>
      <c r="L116" s="269" t="s">
        <v>2694</v>
      </c>
      <c r="M116" s="262" t="s">
        <v>1072</v>
      </c>
      <c r="N116" s="122"/>
      <c r="O116" s="131" t="s">
        <v>16</v>
      </c>
      <c r="P116" s="132" t="s">
        <v>17</v>
      </c>
      <c r="Q116" s="120"/>
      <c r="R116" s="128" t="s">
        <v>393</v>
      </c>
      <c r="S116" s="129" t="s">
        <v>394</v>
      </c>
      <c r="T116" s="120"/>
      <c r="U116" s="120"/>
      <c r="V116" s="120"/>
    </row>
    <row r="117" spans="1:22" x14ac:dyDescent="0.25">
      <c r="A117" s="307" t="s">
        <v>569</v>
      </c>
      <c r="B117" s="194" t="s">
        <v>568</v>
      </c>
      <c r="C117" s="194" t="s">
        <v>1858</v>
      </c>
      <c r="D117" s="194" t="s">
        <v>568</v>
      </c>
      <c r="E117" s="308" t="s">
        <v>2871</v>
      </c>
      <c r="G117" s="261" t="s">
        <v>1350</v>
      </c>
      <c r="H117" s="269" t="s">
        <v>1351</v>
      </c>
      <c r="I117" s="269" t="s">
        <v>1352</v>
      </c>
      <c r="J117" s="269"/>
      <c r="K117" s="269" t="s">
        <v>1353</v>
      </c>
      <c r="L117" s="269" t="s">
        <v>2694</v>
      </c>
      <c r="M117" s="262" t="s">
        <v>1072</v>
      </c>
      <c r="N117" s="122"/>
      <c r="O117" s="131" t="s">
        <v>788</v>
      </c>
      <c r="P117" s="132" t="s">
        <v>785</v>
      </c>
      <c r="Q117" s="120"/>
      <c r="R117" s="140" t="s">
        <v>395</v>
      </c>
      <c r="S117" s="141" t="s">
        <v>396</v>
      </c>
      <c r="T117" s="120"/>
      <c r="U117" s="120"/>
      <c r="V117" s="120"/>
    </row>
    <row r="118" spans="1:22" x14ac:dyDescent="0.25">
      <c r="A118" s="307" t="s">
        <v>538</v>
      </c>
      <c r="B118" s="194" t="s">
        <v>537</v>
      </c>
      <c r="C118" s="194" t="s">
        <v>1858</v>
      </c>
      <c r="D118" s="194" t="s">
        <v>537</v>
      </c>
      <c r="E118" s="308" t="s">
        <v>2872</v>
      </c>
      <c r="G118" s="261" t="s">
        <v>1354</v>
      </c>
      <c r="H118" s="269" t="s">
        <v>1355</v>
      </c>
      <c r="I118" s="269" t="s">
        <v>1356</v>
      </c>
      <c r="J118" s="269" t="s">
        <v>1357</v>
      </c>
      <c r="K118" s="269" t="s">
        <v>1358</v>
      </c>
      <c r="L118" s="269" t="s">
        <v>2694</v>
      </c>
      <c r="M118" s="262" t="s">
        <v>1072</v>
      </c>
      <c r="N118" s="122"/>
      <c r="O118" s="131" t="s">
        <v>790</v>
      </c>
      <c r="P118" s="132" t="s">
        <v>789</v>
      </c>
      <c r="Q118" s="120"/>
      <c r="R118" s="122"/>
      <c r="S118" s="122"/>
      <c r="T118" s="120"/>
      <c r="U118" s="120"/>
      <c r="V118" s="120"/>
    </row>
    <row r="119" spans="1:22" x14ac:dyDescent="0.25">
      <c r="A119" s="307" t="s">
        <v>532</v>
      </c>
      <c r="B119" s="194" t="s">
        <v>531</v>
      </c>
      <c r="C119" s="194" t="s">
        <v>1858</v>
      </c>
      <c r="D119" s="194" t="s">
        <v>531</v>
      </c>
      <c r="E119" s="308" t="s">
        <v>2873</v>
      </c>
      <c r="G119" s="261" t="s">
        <v>1359</v>
      </c>
      <c r="H119" s="269" t="s">
        <v>1360</v>
      </c>
      <c r="I119" s="269" t="s">
        <v>1361</v>
      </c>
      <c r="J119" s="269" t="s">
        <v>1362</v>
      </c>
      <c r="K119" s="269" t="s">
        <v>1363</v>
      </c>
      <c r="L119" s="269" t="s">
        <v>2694</v>
      </c>
      <c r="M119" s="262" t="s">
        <v>1072</v>
      </c>
      <c r="N119" s="122"/>
      <c r="O119" s="131" t="s">
        <v>752</v>
      </c>
      <c r="P119" s="132" t="s">
        <v>786</v>
      </c>
      <c r="Q119" s="120"/>
      <c r="R119" s="120"/>
      <c r="S119" s="120"/>
      <c r="T119" s="120"/>
      <c r="U119" s="120"/>
      <c r="V119" s="120"/>
    </row>
    <row r="120" spans="1:22" x14ac:dyDescent="0.25">
      <c r="A120" s="307" t="s">
        <v>573</v>
      </c>
      <c r="B120" s="194" t="s">
        <v>572</v>
      </c>
      <c r="C120" s="194" t="s">
        <v>1858</v>
      </c>
      <c r="D120" s="194" t="s">
        <v>572</v>
      </c>
      <c r="E120" s="308" t="s">
        <v>2874</v>
      </c>
      <c r="G120" s="261" t="s">
        <v>1364</v>
      </c>
      <c r="H120" s="269" t="s">
        <v>1365</v>
      </c>
      <c r="I120" s="269" t="s">
        <v>1366</v>
      </c>
      <c r="J120" s="269" t="s">
        <v>1367</v>
      </c>
      <c r="K120" s="269" t="s">
        <v>1368</v>
      </c>
      <c r="L120" s="269" t="s">
        <v>2694</v>
      </c>
      <c r="M120" s="262" t="s">
        <v>1072</v>
      </c>
      <c r="N120" s="122"/>
      <c r="O120" s="165" t="s">
        <v>787</v>
      </c>
      <c r="P120" s="166" t="s">
        <v>1035</v>
      </c>
      <c r="Q120" s="120"/>
      <c r="R120" s="469" t="s">
        <v>401</v>
      </c>
      <c r="S120" s="469"/>
      <c r="T120" s="120"/>
      <c r="U120" s="120"/>
      <c r="V120" s="120"/>
    </row>
    <row r="121" spans="1:22" x14ac:dyDescent="0.25">
      <c r="A121" s="307" t="s">
        <v>524</v>
      </c>
      <c r="B121" s="194" t="s">
        <v>523</v>
      </c>
      <c r="C121" s="194" t="s">
        <v>1858</v>
      </c>
      <c r="D121" s="194" t="s">
        <v>523</v>
      </c>
      <c r="E121" s="308" t="s">
        <v>2875</v>
      </c>
      <c r="G121" s="261" t="s">
        <v>1369</v>
      </c>
      <c r="H121" s="269" t="s">
        <v>1370</v>
      </c>
      <c r="I121" s="269" t="s">
        <v>1371</v>
      </c>
      <c r="J121" s="269" t="s">
        <v>1372</v>
      </c>
      <c r="K121" s="269" t="s">
        <v>1373</v>
      </c>
      <c r="L121" s="269" t="s">
        <v>2694</v>
      </c>
      <c r="M121" s="270" t="s">
        <v>1111</v>
      </c>
      <c r="N121" s="122"/>
      <c r="O121" s="122"/>
      <c r="P121" s="122"/>
      <c r="Q121" s="120"/>
      <c r="R121" s="145" t="s">
        <v>2751</v>
      </c>
      <c r="S121" s="146" t="s">
        <v>7</v>
      </c>
      <c r="T121" s="120"/>
      <c r="U121" s="120"/>
      <c r="V121" s="120"/>
    </row>
    <row r="122" spans="1:22" x14ac:dyDescent="0.25">
      <c r="A122" s="307" t="s">
        <v>3008</v>
      </c>
      <c r="B122" s="194" t="s">
        <v>3009</v>
      </c>
      <c r="C122" s="194" t="s">
        <v>1858</v>
      </c>
      <c r="D122" s="194" t="s">
        <v>3009</v>
      </c>
      <c r="E122" s="308" t="s">
        <v>3010</v>
      </c>
      <c r="G122" s="261" t="s">
        <v>1374</v>
      </c>
      <c r="H122" s="269" t="s">
        <v>1375</v>
      </c>
      <c r="I122" s="269" t="s">
        <v>1376</v>
      </c>
      <c r="J122" s="269" t="s">
        <v>1377</v>
      </c>
      <c r="K122" s="269" t="s">
        <v>1378</v>
      </c>
      <c r="L122" s="269" t="s">
        <v>2694</v>
      </c>
      <c r="M122" s="270" t="s">
        <v>1111</v>
      </c>
      <c r="N122" s="122"/>
      <c r="O122" s="120"/>
      <c r="P122" s="120"/>
      <c r="Q122" s="120"/>
      <c r="R122" s="151" t="s">
        <v>68</v>
      </c>
      <c r="S122" s="28" t="s">
        <v>794</v>
      </c>
      <c r="T122" s="120"/>
      <c r="U122" s="120"/>
      <c r="V122" s="120"/>
    </row>
    <row r="123" spans="1:22" x14ac:dyDescent="0.25">
      <c r="A123" s="307" t="s">
        <v>575</v>
      </c>
      <c r="B123" s="194" t="s">
        <v>574</v>
      </c>
      <c r="C123" s="194" t="s">
        <v>1858</v>
      </c>
      <c r="D123" s="194" t="s">
        <v>574</v>
      </c>
      <c r="E123" s="308" t="s">
        <v>2876</v>
      </c>
      <c r="G123" s="261" t="s">
        <v>1379</v>
      </c>
      <c r="H123" s="269" t="s">
        <v>1380</v>
      </c>
      <c r="I123" s="269" t="s">
        <v>1381</v>
      </c>
      <c r="J123" s="269" t="s">
        <v>1382</v>
      </c>
      <c r="K123" s="269" t="s">
        <v>1383</v>
      </c>
      <c r="L123" s="265" t="s">
        <v>2694</v>
      </c>
      <c r="M123" s="271" t="s">
        <v>1111</v>
      </c>
      <c r="N123" s="122"/>
      <c r="O123" s="468" t="s">
        <v>2526</v>
      </c>
      <c r="P123" s="468"/>
      <c r="Q123" s="120"/>
      <c r="R123" s="151" t="s">
        <v>69</v>
      </c>
      <c r="S123" s="28" t="s">
        <v>70</v>
      </c>
      <c r="T123" s="120"/>
      <c r="U123" s="120"/>
      <c r="V123" s="120"/>
    </row>
    <row r="124" spans="1:22" x14ac:dyDescent="0.25">
      <c r="A124" s="309" t="s">
        <v>1800</v>
      </c>
      <c r="B124" s="194" t="s">
        <v>1799</v>
      </c>
      <c r="C124" s="194" t="s">
        <v>1858</v>
      </c>
      <c r="D124" s="194" t="s">
        <v>1799</v>
      </c>
      <c r="E124" s="308" t="s">
        <v>2877</v>
      </c>
      <c r="G124" s="261" t="s">
        <v>1751</v>
      </c>
      <c r="H124" s="269" t="s">
        <v>1752</v>
      </c>
      <c r="I124" s="269" t="s">
        <v>1753</v>
      </c>
      <c r="J124" s="269" t="s">
        <v>1754</v>
      </c>
      <c r="K124" s="269" t="s">
        <v>1755</v>
      </c>
      <c r="L124" s="269" t="s">
        <v>2695</v>
      </c>
      <c r="M124" s="262" t="s">
        <v>1072</v>
      </c>
      <c r="N124" s="122"/>
      <c r="O124" s="125" t="s">
        <v>2744</v>
      </c>
      <c r="P124" s="127" t="s">
        <v>791</v>
      </c>
      <c r="Q124" s="120"/>
      <c r="R124" s="151" t="s">
        <v>71</v>
      </c>
      <c r="S124" s="28" t="s">
        <v>795</v>
      </c>
      <c r="T124" s="120"/>
      <c r="U124" s="120"/>
      <c r="V124" s="120"/>
    </row>
    <row r="125" spans="1:22" x14ac:dyDescent="0.25">
      <c r="A125" s="309" t="s">
        <v>546</v>
      </c>
      <c r="B125" s="194" t="s">
        <v>545</v>
      </c>
      <c r="C125" s="194" t="s">
        <v>1858</v>
      </c>
      <c r="D125" s="194" t="s">
        <v>545</v>
      </c>
      <c r="E125" s="308" t="s">
        <v>2878</v>
      </c>
      <c r="G125" s="261" t="s">
        <v>1756</v>
      </c>
      <c r="H125" s="269" t="s">
        <v>1757</v>
      </c>
      <c r="I125" s="269" t="s">
        <v>1758</v>
      </c>
      <c r="J125" s="269" t="s">
        <v>1759</v>
      </c>
      <c r="K125" s="269" t="s">
        <v>1760</v>
      </c>
      <c r="L125" s="269" t="s">
        <v>2695</v>
      </c>
      <c r="M125" s="262" t="s">
        <v>1072</v>
      </c>
      <c r="N125" s="122"/>
      <c r="O125" s="131" t="s">
        <v>67</v>
      </c>
      <c r="P125" s="132" t="s">
        <v>17</v>
      </c>
      <c r="Q125" s="120"/>
      <c r="R125" s="151" t="s">
        <v>72</v>
      </c>
      <c r="S125" s="28" t="s">
        <v>73</v>
      </c>
      <c r="T125" s="120"/>
      <c r="U125" s="120"/>
      <c r="V125" s="120"/>
    </row>
    <row r="126" spans="1:22" x14ac:dyDescent="0.25">
      <c r="A126" s="307" t="s">
        <v>577</v>
      </c>
      <c r="B126" s="194" t="s">
        <v>576</v>
      </c>
      <c r="C126" s="194" t="s">
        <v>1858</v>
      </c>
      <c r="D126" s="194" t="s">
        <v>576</v>
      </c>
      <c r="E126" s="308" t="s">
        <v>22</v>
      </c>
      <c r="G126" s="261" t="s">
        <v>1761</v>
      </c>
      <c r="H126" s="269" t="s">
        <v>1762</v>
      </c>
      <c r="I126" s="269" t="s">
        <v>1763</v>
      </c>
      <c r="J126" s="269" t="s">
        <v>1764</v>
      </c>
      <c r="K126" s="269" t="s">
        <v>1765</v>
      </c>
      <c r="L126" s="269" t="s">
        <v>2695</v>
      </c>
      <c r="M126" s="262" t="s">
        <v>1072</v>
      </c>
      <c r="N126" s="122"/>
      <c r="O126" s="131" t="s">
        <v>725</v>
      </c>
      <c r="P126" s="132" t="s">
        <v>792</v>
      </c>
      <c r="Q126" s="120"/>
      <c r="R126" s="151" t="s">
        <v>74</v>
      </c>
      <c r="S126" s="28" t="s">
        <v>796</v>
      </c>
      <c r="T126" s="120"/>
      <c r="U126" s="120"/>
      <c r="V126" s="120"/>
    </row>
    <row r="127" spans="1:22" x14ac:dyDescent="0.25">
      <c r="A127" s="307" t="s">
        <v>1801</v>
      </c>
      <c r="B127" s="194" t="s">
        <v>549</v>
      </c>
      <c r="C127" s="194" t="s">
        <v>1858</v>
      </c>
      <c r="D127" s="194" t="s">
        <v>549</v>
      </c>
      <c r="E127" s="308" t="s">
        <v>2879</v>
      </c>
      <c r="G127" s="261" t="s">
        <v>1766</v>
      </c>
      <c r="H127" s="269" t="s">
        <v>1767</v>
      </c>
      <c r="I127" s="269" t="s">
        <v>1768</v>
      </c>
      <c r="J127" s="269" t="s">
        <v>1769</v>
      </c>
      <c r="K127" s="269" t="s">
        <v>1770</v>
      </c>
      <c r="L127" s="269" t="s">
        <v>2695</v>
      </c>
      <c r="M127" s="262" t="s">
        <v>1072</v>
      </c>
      <c r="N127" s="122"/>
      <c r="O127" s="131" t="s">
        <v>773</v>
      </c>
      <c r="P127" s="132" t="s">
        <v>774</v>
      </c>
      <c r="Q127" s="120"/>
      <c r="R127" s="151" t="s">
        <v>75</v>
      </c>
      <c r="S127" s="28" t="s">
        <v>76</v>
      </c>
      <c r="T127" s="120"/>
      <c r="U127" s="120"/>
      <c r="V127" s="120"/>
    </row>
    <row r="128" spans="1:22" x14ac:dyDescent="0.25">
      <c r="A128" s="307" t="s">
        <v>2709</v>
      </c>
      <c r="B128" s="194" t="s">
        <v>2708</v>
      </c>
      <c r="C128" s="194" t="s">
        <v>1858</v>
      </c>
      <c r="D128" s="194" t="s">
        <v>2708</v>
      </c>
      <c r="E128" s="308" t="s">
        <v>2880</v>
      </c>
      <c r="G128" s="261" t="s">
        <v>1771</v>
      </c>
      <c r="H128" s="269" t="s">
        <v>1772</v>
      </c>
      <c r="I128" s="269" t="s">
        <v>1773</v>
      </c>
      <c r="J128" s="269" t="s">
        <v>1774</v>
      </c>
      <c r="K128" s="269" t="s">
        <v>1775</v>
      </c>
      <c r="L128" s="269" t="s">
        <v>2695</v>
      </c>
      <c r="M128" s="262" t="s">
        <v>1072</v>
      </c>
      <c r="N128" s="122"/>
      <c r="O128" s="131" t="s">
        <v>391</v>
      </c>
      <c r="P128" s="132" t="s">
        <v>772</v>
      </c>
      <c r="Q128" s="120"/>
      <c r="R128" s="156" t="s">
        <v>77</v>
      </c>
      <c r="S128" s="157" t="s">
        <v>78</v>
      </c>
      <c r="T128" s="120"/>
      <c r="U128" s="120"/>
      <c r="V128" s="120"/>
    </row>
    <row r="129" spans="1:22" x14ac:dyDescent="0.25">
      <c r="A129" s="307" t="s">
        <v>449</v>
      </c>
      <c r="B129" s="194" t="s">
        <v>448</v>
      </c>
      <c r="C129" s="194" t="s">
        <v>1858</v>
      </c>
      <c r="D129" s="194" t="s">
        <v>448</v>
      </c>
      <c r="E129" s="308" t="s">
        <v>2884</v>
      </c>
      <c r="G129" s="261" t="s">
        <v>1776</v>
      </c>
      <c r="H129" s="269" t="s">
        <v>1777</v>
      </c>
      <c r="I129" s="269" t="s">
        <v>1778</v>
      </c>
      <c r="J129" s="269" t="s">
        <v>1779</v>
      </c>
      <c r="K129" s="269" t="s">
        <v>1780</v>
      </c>
      <c r="L129" s="269" t="s">
        <v>2695</v>
      </c>
      <c r="M129" s="262" t="s">
        <v>1072</v>
      </c>
      <c r="N129" s="122"/>
      <c r="O129" s="131" t="s">
        <v>793</v>
      </c>
      <c r="P129" s="132" t="s">
        <v>2530</v>
      </c>
      <c r="Q129" s="120"/>
      <c r="R129" s="120"/>
      <c r="S129" s="120"/>
      <c r="T129" s="120"/>
      <c r="U129" s="120"/>
      <c r="V129" s="120"/>
    </row>
    <row r="130" spans="1:22" x14ac:dyDescent="0.25">
      <c r="A130" s="307" t="s">
        <v>514</v>
      </c>
      <c r="B130" s="194" t="s">
        <v>513</v>
      </c>
      <c r="C130" s="194" t="s">
        <v>1858</v>
      </c>
      <c r="D130" s="194" t="s">
        <v>513</v>
      </c>
      <c r="E130" s="308" t="s">
        <v>2885</v>
      </c>
      <c r="G130" s="261" t="s">
        <v>1781</v>
      </c>
      <c r="H130" s="269" t="s">
        <v>1782</v>
      </c>
      <c r="I130" s="269" t="s">
        <v>1783</v>
      </c>
      <c r="J130" s="269" t="s">
        <v>1784</v>
      </c>
      <c r="K130" s="269" t="s">
        <v>1785</v>
      </c>
      <c r="L130" s="265" t="s">
        <v>2695</v>
      </c>
      <c r="M130" s="271" t="s">
        <v>1111</v>
      </c>
      <c r="N130" s="122"/>
      <c r="O130" s="165" t="s">
        <v>632</v>
      </c>
      <c r="P130" s="166" t="s">
        <v>1035</v>
      </c>
      <c r="Q130" s="120"/>
      <c r="R130" s="120"/>
      <c r="S130" s="120"/>
      <c r="T130" s="120"/>
      <c r="U130" s="120"/>
      <c r="V130" s="120"/>
    </row>
    <row r="131" spans="1:22" x14ac:dyDescent="0.25">
      <c r="A131" s="307" t="s">
        <v>604</v>
      </c>
      <c r="B131" s="194" t="s">
        <v>603</v>
      </c>
      <c r="C131" s="194" t="s">
        <v>1858</v>
      </c>
      <c r="D131" s="194" t="s">
        <v>603</v>
      </c>
      <c r="E131" s="308" t="s">
        <v>2886</v>
      </c>
      <c r="G131" s="261" t="s">
        <v>1616</v>
      </c>
      <c r="H131" s="269" t="s">
        <v>1617</v>
      </c>
      <c r="I131" s="269" t="s">
        <v>1618</v>
      </c>
      <c r="J131" s="269" t="s">
        <v>1619</v>
      </c>
      <c r="K131" s="269" t="s">
        <v>1620</v>
      </c>
      <c r="L131" s="269" t="s">
        <v>2696</v>
      </c>
      <c r="M131" s="262" t="s">
        <v>1072</v>
      </c>
      <c r="N131" s="122"/>
      <c r="O131" s="120"/>
      <c r="P131" s="120"/>
      <c r="Q131" s="120"/>
      <c r="R131" s="120"/>
      <c r="S131" s="120"/>
      <c r="T131" s="120"/>
      <c r="U131" s="120"/>
      <c r="V131" s="120"/>
    </row>
    <row r="132" spans="1:22" x14ac:dyDescent="0.25">
      <c r="A132" s="307" t="s">
        <v>579</v>
      </c>
      <c r="B132" s="194" t="s">
        <v>578</v>
      </c>
      <c r="C132" s="194" t="s">
        <v>1858</v>
      </c>
      <c r="D132" s="194" t="s">
        <v>578</v>
      </c>
      <c r="E132" s="308" t="s">
        <v>2887</v>
      </c>
      <c r="G132" s="261" t="s">
        <v>1527</v>
      </c>
      <c r="H132" s="269" t="s">
        <v>1528</v>
      </c>
      <c r="I132" s="269" t="s">
        <v>1529</v>
      </c>
      <c r="J132" s="269" t="s">
        <v>1530</v>
      </c>
      <c r="K132" s="269" t="s">
        <v>1531</v>
      </c>
      <c r="L132" s="269" t="s">
        <v>2696</v>
      </c>
      <c r="M132" s="262" t="s">
        <v>1072</v>
      </c>
      <c r="N132" s="122"/>
      <c r="O132" s="120"/>
      <c r="P132" s="120"/>
      <c r="Q132" s="120"/>
      <c r="R132" s="120"/>
      <c r="S132" s="120"/>
      <c r="T132" s="120"/>
      <c r="U132" s="120"/>
      <c r="V132" s="120"/>
    </row>
    <row r="133" spans="1:22" x14ac:dyDescent="0.25">
      <c r="A133" s="307" t="s">
        <v>1803</v>
      </c>
      <c r="B133" s="194" t="s">
        <v>1802</v>
      </c>
      <c r="C133" s="194" t="s">
        <v>1858</v>
      </c>
      <c r="D133" s="194" t="s">
        <v>1802</v>
      </c>
      <c r="E133" s="308" t="s">
        <v>2888</v>
      </c>
      <c r="G133" s="261" t="s">
        <v>1626</v>
      </c>
      <c r="H133" s="269" t="s">
        <v>1627</v>
      </c>
      <c r="I133" s="269" t="s">
        <v>1628</v>
      </c>
      <c r="J133" s="269" t="s">
        <v>1629</v>
      </c>
      <c r="K133" s="269" t="s">
        <v>1630</v>
      </c>
      <c r="L133" s="269" t="s">
        <v>2696</v>
      </c>
      <c r="M133" s="262" t="s">
        <v>1072</v>
      </c>
      <c r="N133" s="122"/>
      <c r="O133" s="468" t="s">
        <v>2527</v>
      </c>
      <c r="P133" s="468"/>
      <c r="Q133" s="120"/>
      <c r="R133" s="120"/>
      <c r="S133" s="120"/>
      <c r="T133" s="120"/>
      <c r="U133" s="120"/>
      <c r="V133" s="120"/>
    </row>
    <row r="134" spans="1:22" x14ac:dyDescent="0.25">
      <c r="A134" s="307" t="s">
        <v>451</v>
      </c>
      <c r="B134" s="194" t="s">
        <v>450</v>
      </c>
      <c r="C134" s="194" t="s">
        <v>1858</v>
      </c>
      <c r="D134" s="194" t="s">
        <v>450</v>
      </c>
      <c r="E134" s="308" t="s">
        <v>2889</v>
      </c>
      <c r="G134" s="261" t="s">
        <v>1631</v>
      </c>
      <c r="H134" s="269" t="s">
        <v>1632</v>
      </c>
      <c r="I134" s="269" t="s">
        <v>1633</v>
      </c>
      <c r="J134" s="269" t="s">
        <v>1634</v>
      </c>
      <c r="K134" s="269" t="s">
        <v>1635</v>
      </c>
      <c r="L134" s="269" t="s">
        <v>2696</v>
      </c>
      <c r="M134" s="262" t="s">
        <v>1072</v>
      </c>
      <c r="N134" s="122"/>
      <c r="O134" s="125" t="s">
        <v>2743</v>
      </c>
      <c r="P134" s="127" t="s">
        <v>797</v>
      </c>
      <c r="Q134" s="120"/>
      <c r="R134" s="120"/>
      <c r="S134" s="120"/>
      <c r="T134" s="120"/>
      <c r="U134" s="120"/>
      <c r="V134" s="120"/>
    </row>
    <row r="135" spans="1:22" x14ac:dyDescent="0.25">
      <c r="A135" s="307" t="s">
        <v>1805</v>
      </c>
      <c r="B135" s="194" t="s">
        <v>1804</v>
      </c>
      <c r="C135" s="194" t="s">
        <v>1858</v>
      </c>
      <c r="D135" s="194" t="s">
        <v>1804</v>
      </c>
      <c r="E135" s="308" t="s">
        <v>2890</v>
      </c>
      <c r="G135" s="261" t="s">
        <v>1656</v>
      </c>
      <c r="H135" s="269" t="s">
        <v>1657</v>
      </c>
      <c r="I135" s="269" t="s">
        <v>1658</v>
      </c>
      <c r="J135" s="269" t="s">
        <v>1659</v>
      </c>
      <c r="K135" s="269" t="s">
        <v>1660</v>
      </c>
      <c r="L135" s="269" t="s">
        <v>2696</v>
      </c>
      <c r="M135" s="262" t="s">
        <v>1072</v>
      </c>
      <c r="N135" s="122"/>
      <c r="O135" s="131" t="s">
        <v>390</v>
      </c>
      <c r="P135" s="132" t="s">
        <v>115</v>
      </c>
      <c r="Q135" s="120"/>
      <c r="R135" s="120"/>
      <c r="S135" s="120"/>
      <c r="T135" s="120"/>
      <c r="U135" s="120"/>
      <c r="V135" s="120"/>
    </row>
    <row r="136" spans="1:22" x14ac:dyDescent="0.25">
      <c r="A136" s="307" t="s">
        <v>551</v>
      </c>
      <c r="B136" s="194" t="s">
        <v>550</v>
      </c>
      <c r="C136" s="194" t="s">
        <v>1858</v>
      </c>
      <c r="D136" s="194" t="s">
        <v>550</v>
      </c>
      <c r="E136" s="308" t="s">
        <v>2891</v>
      </c>
      <c r="G136" s="261" t="s">
        <v>1666</v>
      </c>
      <c r="H136" s="269" t="s">
        <v>1667</v>
      </c>
      <c r="I136" s="269" t="s">
        <v>1668</v>
      </c>
      <c r="J136" s="269" t="s">
        <v>1669</v>
      </c>
      <c r="K136" s="269" t="s">
        <v>1670</v>
      </c>
      <c r="L136" s="269" t="s">
        <v>2696</v>
      </c>
      <c r="M136" s="262" t="s">
        <v>1072</v>
      </c>
      <c r="N136" s="122"/>
      <c r="O136" s="131" t="s">
        <v>729</v>
      </c>
      <c r="P136" s="132" t="s">
        <v>798</v>
      </c>
      <c r="Q136" s="120"/>
      <c r="R136" s="120"/>
      <c r="S136" s="120"/>
      <c r="T136" s="120"/>
      <c r="U136" s="120"/>
      <c r="V136" s="120"/>
    </row>
    <row r="137" spans="1:22" x14ac:dyDescent="0.25">
      <c r="A137" s="307" t="s">
        <v>581</v>
      </c>
      <c r="B137" s="194" t="s">
        <v>580</v>
      </c>
      <c r="C137" s="194" t="s">
        <v>1858</v>
      </c>
      <c r="D137" s="194" t="s">
        <v>580</v>
      </c>
      <c r="E137" s="308" t="s">
        <v>2892</v>
      </c>
      <c r="G137" s="261" t="s">
        <v>1661</v>
      </c>
      <c r="H137" s="269" t="s">
        <v>1662</v>
      </c>
      <c r="I137" s="269" t="s">
        <v>1663</v>
      </c>
      <c r="J137" s="269" t="s">
        <v>1664</v>
      </c>
      <c r="K137" s="269" t="s">
        <v>1665</v>
      </c>
      <c r="L137" s="269" t="s">
        <v>2696</v>
      </c>
      <c r="M137" s="262" t="s">
        <v>1072</v>
      </c>
      <c r="N137" s="122"/>
      <c r="O137" s="131" t="s">
        <v>391</v>
      </c>
      <c r="P137" s="132" t="s">
        <v>799</v>
      </c>
      <c r="Q137" s="120"/>
      <c r="R137" s="120"/>
      <c r="S137" s="120"/>
      <c r="T137" s="120"/>
      <c r="U137" s="120"/>
      <c r="V137" s="120"/>
    </row>
    <row r="138" spans="1:22" x14ac:dyDescent="0.25">
      <c r="A138" s="309" t="s">
        <v>1807</v>
      </c>
      <c r="B138" s="194" t="s">
        <v>1806</v>
      </c>
      <c r="C138" s="194" t="s">
        <v>1858</v>
      </c>
      <c r="D138" s="194" t="s">
        <v>1806</v>
      </c>
      <c r="E138" s="308" t="s">
        <v>2893</v>
      </c>
      <c r="G138" s="261" t="s">
        <v>1532</v>
      </c>
      <c r="H138" s="269" t="s">
        <v>1533</v>
      </c>
      <c r="I138" s="269" t="s">
        <v>1534</v>
      </c>
      <c r="J138" s="269" t="s">
        <v>1535</v>
      </c>
      <c r="K138" s="269" t="s">
        <v>1536</v>
      </c>
      <c r="L138" s="269" t="s">
        <v>2696</v>
      </c>
      <c r="M138" s="262" t="s">
        <v>1072</v>
      </c>
      <c r="N138" s="122"/>
      <c r="O138" s="152" t="s">
        <v>724</v>
      </c>
      <c r="P138" s="154" t="s">
        <v>800</v>
      </c>
      <c r="Q138" s="120"/>
      <c r="R138" s="120"/>
      <c r="S138" s="120"/>
      <c r="T138" s="120"/>
      <c r="U138" s="120"/>
      <c r="V138" s="120"/>
    </row>
    <row r="139" spans="1:22" x14ac:dyDescent="0.25">
      <c r="A139" s="307" t="s">
        <v>544</v>
      </c>
      <c r="B139" s="194" t="s">
        <v>543</v>
      </c>
      <c r="C139" s="194" t="s">
        <v>1858</v>
      </c>
      <c r="D139" s="194" t="s">
        <v>543</v>
      </c>
      <c r="E139" s="308" t="s">
        <v>2894</v>
      </c>
      <c r="G139" s="261" t="s">
        <v>1537</v>
      </c>
      <c r="H139" s="269" t="s">
        <v>1538</v>
      </c>
      <c r="I139" s="269" t="s">
        <v>1539</v>
      </c>
      <c r="J139" s="269" t="s">
        <v>1540</v>
      </c>
      <c r="K139" s="269" t="s">
        <v>1541</v>
      </c>
      <c r="L139" s="269" t="s">
        <v>2696</v>
      </c>
      <c r="M139" s="262" t="s">
        <v>1072</v>
      </c>
      <c r="N139" s="122"/>
      <c r="O139" s="120"/>
      <c r="P139" s="120"/>
      <c r="Q139" s="120"/>
      <c r="R139" s="120"/>
      <c r="S139" s="120"/>
      <c r="T139" s="120"/>
      <c r="U139" s="120"/>
      <c r="V139" s="120"/>
    </row>
    <row r="140" spans="1:22" x14ac:dyDescent="0.25">
      <c r="A140" s="307" t="s">
        <v>594</v>
      </c>
      <c r="B140" s="194" t="s">
        <v>593</v>
      </c>
      <c r="C140" s="194" t="s">
        <v>1858</v>
      </c>
      <c r="D140" s="194" t="s">
        <v>593</v>
      </c>
      <c r="E140" s="308" t="s">
        <v>2895</v>
      </c>
      <c r="G140" s="261" t="s">
        <v>1676</v>
      </c>
      <c r="H140" s="269" t="s">
        <v>1677</v>
      </c>
      <c r="I140" s="269" t="s">
        <v>1678</v>
      </c>
      <c r="J140" s="269" t="s">
        <v>1679</v>
      </c>
      <c r="K140" s="269" t="s">
        <v>1680</v>
      </c>
      <c r="L140" s="269" t="s">
        <v>2696</v>
      </c>
      <c r="M140" s="262" t="s">
        <v>1072</v>
      </c>
      <c r="N140" s="122"/>
      <c r="O140" s="120"/>
      <c r="P140" s="120"/>
      <c r="Q140" s="120"/>
      <c r="R140" s="120"/>
      <c r="S140" s="120"/>
      <c r="T140" s="120"/>
      <c r="U140" s="120"/>
      <c r="V140" s="120"/>
    </row>
    <row r="141" spans="1:22" x14ac:dyDescent="0.25">
      <c r="A141" s="307" t="s">
        <v>2711</v>
      </c>
      <c r="B141" s="194" t="s">
        <v>2710</v>
      </c>
      <c r="C141" s="194" t="s">
        <v>1858</v>
      </c>
      <c r="D141" s="194" t="s">
        <v>2710</v>
      </c>
      <c r="E141" s="308" t="s">
        <v>2896</v>
      </c>
      <c r="G141" s="261" t="s">
        <v>1542</v>
      </c>
      <c r="H141" s="269" t="s">
        <v>1543</v>
      </c>
      <c r="I141" s="269" t="s">
        <v>1544</v>
      </c>
      <c r="J141" s="269" t="s">
        <v>1545</v>
      </c>
      <c r="K141" s="269" t="s">
        <v>1546</v>
      </c>
      <c r="L141" s="269" t="s">
        <v>2696</v>
      </c>
      <c r="M141" s="262" t="s">
        <v>1072</v>
      </c>
      <c r="N141" s="122"/>
      <c r="O141" s="467" t="s">
        <v>2528</v>
      </c>
      <c r="P141" s="467"/>
      <c r="Q141" s="120"/>
      <c r="R141" s="120"/>
      <c r="S141" s="120"/>
      <c r="T141" s="120"/>
      <c r="U141" s="120"/>
      <c r="V141" s="120"/>
    </row>
    <row r="142" spans="1:22" x14ac:dyDescent="0.25">
      <c r="A142" s="307" t="s">
        <v>1809</v>
      </c>
      <c r="B142" s="194" t="s">
        <v>1808</v>
      </c>
      <c r="C142" s="194" t="s">
        <v>1858</v>
      </c>
      <c r="D142" s="194" t="s">
        <v>1808</v>
      </c>
      <c r="E142" s="308" t="s">
        <v>2897</v>
      </c>
      <c r="G142" s="261" t="s">
        <v>619</v>
      </c>
      <c r="H142" s="269" t="s">
        <v>1547</v>
      </c>
      <c r="I142" s="269" t="s">
        <v>1548</v>
      </c>
      <c r="J142" s="269" t="s">
        <v>1549</v>
      </c>
      <c r="K142" s="269" t="s">
        <v>1550</v>
      </c>
      <c r="L142" s="269" t="s">
        <v>2696</v>
      </c>
      <c r="M142" s="262" t="s">
        <v>1072</v>
      </c>
      <c r="N142" s="122"/>
      <c r="O142" s="20" t="s">
        <v>2049</v>
      </c>
      <c r="P142" s="21" t="s">
        <v>2092</v>
      </c>
      <c r="Q142" s="120"/>
      <c r="R142" s="120"/>
      <c r="S142" s="120"/>
      <c r="T142" s="120"/>
      <c r="U142" s="120"/>
      <c r="V142" s="120"/>
    </row>
    <row r="143" spans="1:22" x14ac:dyDescent="0.25">
      <c r="A143" s="309" t="s">
        <v>1811</v>
      </c>
      <c r="B143" s="194" t="s">
        <v>1810</v>
      </c>
      <c r="C143" s="194" t="s">
        <v>1858</v>
      </c>
      <c r="D143" s="194" t="s">
        <v>1810</v>
      </c>
      <c r="E143" s="308" t="s">
        <v>2898</v>
      </c>
      <c r="G143" s="261" t="s">
        <v>1551</v>
      </c>
      <c r="H143" s="269" t="s">
        <v>1552</v>
      </c>
      <c r="I143" s="269" t="s">
        <v>1553</v>
      </c>
      <c r="J143" s="269" t="s">
        <v>1554</v>
      </c>
      <c r="K143" s="269" t="s">
        <v>1555</v>
      </c>
      <c r="L143" s="269" t="s">
        <v>2696</v>
      </c>
      <c r="M143" s="262" t="s">
        <v>1072</v>
      </c>
      <c r="N143" s="122"/>
      <c r="O143" s="22" t="s">
        <v>2093</v>
      </c>
      <c r="P143" s="23" t="s">
        <v>2094</v>
      </c>
      <c r="Q143" s="120"/>
      <c r="R143" s="120"/>
      <c r="S143" s="120"/>
      <c r="T143" s="120"/>
      <c r="U143" s="120"/>
      <c r="V143" s="120"/>
    </row>
    <row r="144" spans="1:22" x14ac:dyDescent="0.25">
      <c r="A144" s="307" t="s">
        <v>1813</v>
      </c>
      <c r="B144" s="194" t="s">
        <v>1812</v>
      </c>
      <c r="C144" s="194" t="s">
        <v>1858</v>
      </c>
      <c r="D144" s="194" t="s">
        <v>1812</v>
      </c>
      <c r="E144" s="308" t="s">
        <v>2899</v>
      </c>
      <c r="G144" s="261" t="s">
        <v>1556</v>
      </c>
      <c r="H144" s="269" t="s">
        <v>1557</v>
      </c>
      <c r="I144" s="269" t="s">
        <v>1558</v>
      </c>
      <c r="J144" s="269" t="s">
        <v>1559</v>
      </c>
      <c r="K144" s="269" t="s">
        <v>1560</v>
      </c>
      <c r="L144" s="269" t="s">
        <v>2696</v>
      </c>
      <c r="M144" s="262" t="s">
        <v>1072</v>
      </c>
      <c r="N144" s="122"/>
      <c r="O144" s="24" t="s">
        <v>2087</v>
      </c>
      <c r="P144" s="25" t="s">
        <v>2095</v>
      </c>
      <c r="Q144" s="120"/>
      <c r="R144" s="120"/>
      <c r="S144" s="120"/>
      <c r="T144" s="120"/>
      <c r="U144" s="120"/>
      <c r="V144" s="120"/>
    </row>
    <row r="145" spans="1:22" x14ac:dyDescent="0.25">
      <c r="A145" s="307" t="s">
        <v>592</v>
      </c>
      <c r="B145" s="194" t="s">
        <v>591</v>
      </c>
      <c r="C145" s="194" t="s">
        <v>1858</v>
      </c>
      <c r="D145" s="194" t="s">
        <v>591</v>
      </c>
      <c r="E145" s="308" t="s">
        <v>2900</v>
      </c>
      <c r="G145" s="261" t="s">
        <v>1561</v>
      </c>
      <c r="H145" s="269" t="s">
        <v>1562</v>
      </c>
      <c r="I145" s="269" t="s">
        <v>1563</v>
      </c>
      <c r="J145" s="269" t="s">
        <v>1564</v>
      </c>
      <c r="K145" s="269" t="s">
        <v>1565</v>
      </c>
      <c r="L145" s="269" t="s">
        <v>2696</v>
      </c>
      <c r="M145" s="262" t="s">
        <v>1072</v>
      </c>
      <c r="N145" s="122"/>
      <c r="Q145" s="120"/>
      <c r="R145" s="120"/>
      <c r="S145" s="120"/>
      <c r="T145" s="120"/>
      <c r="U145" s="120"/>
      <c r="V145" s="120"/>
    </row>
    <row r="146" spans="1:22" x14ac:dyDescent="0.25">
      <c r="A146" s="307" t="s">
        <v>3011</v>
      </c>
      <c r="B146" s="194" t="s">
        <v>2712</v>
      </c>
      <c r="C146" s="194" t="s">
        <v>1858</v>
      </c>
      <c r="D146" s="194" t="s">
        <v>2712</v>
      </c>
      <c r="E146" s="308" t="s">
        <v>2901</v>
      </c>
      <c r="G146" s="261" t="s">
        <v>1686</v>
      </c>
      <c r="H146" s="269" t="s">
        <v>1687</v>
      </c>
      <c r="I146" s="269" t="s">
        <v>1688</v>
      </c>
      <c r="J146" s="269" t="s">
        <v>1689</v>
      </c>
      <c r="K146" s="269" t="s">
        <v>1690</v>
      </c>
      <c r="L146" s="269" t="s">
        <v>2696</v>
      </c>
      <c r="M146" s="262" t="s">
        <v>1072</v>
      </c>
      <c r="N146" s="122"/>
      <c r="Q146" s="120"/>
      <c r="R146" s="120"/>
      <c r="S146" s="120"/>
      <c r="T146" s="120"/>
      <c r="U146" s="120"/>
      <c r="V146" s="120"/>
    </row>
    <row r="147" spans="1:22" x14ac:dyDescent="0.25">
      <c r="A147" s="307" t="s">
        <v>590</v>
      </c>
      <c r="B147" s="194" t="s">
        <v>589</v>
      </c>
      <c r="C147" s="194" t="s">
        <v>1858</v>
      </c>
      <c r="D147" s="194" t="s">
        <v>589</v>
      </c>
      <c r="E147" s="308" t="s">
        <v>2902</v>
      </c>
      <c r="G147" s="261" t="s">
        <v>1681</v>
      </c>
      <c r="H147" s="269" t="s">
        <v>1682</v>
      </c>
      <c r="I147" s="269" t="s">
        <v>1683</v>
      </c>
      <c r="J147" s="269" t="s">
        <v>1684</v>
      </c>
      <c r="K147" s="269" t="s">
        <v>1685</v>
      </c>
      <c r="L147" s="269" t="s">
        <v>2696</v>
      </c>
      <c r="M147" s="262" t="s">
        <v>1072</v>
      </c>
      <c r="N147" s="122"/>
      <c r="O147" s="467" t="s">
        <v>2529</v>
      </c>
      <c r="P147" s="467"/>
      <c r="Q147" s="120"/>
      <c r="R147" s="120"/>
      <c r="S147" s="120"/>
      <c r="T147" s="120"/>
      <c r="U147" s="120"/>
      <c r="V147" s="120"/>
    </row>
    <row r="148" spans="1:22" x14ac:dyDescent="0.25">
      <c r="A148" s="307" t="s">
        <v>600</v>
      </c>
      <c r="B148" s="194" t="s">
        <v>599</v>
      </c>
      <c r="C148" s="194" t="s">
        <v>1858</v>
      </c>
      <c r="D148" s="194" t="s">
        <v>599</v>
      </c>
      <c r="E148" s="308" t="s">
        <v>2903</v>
      </c>
      <c r="G148" s="261" t="s">
        <v>1566</v>
      </c>
      <c r="H148" s="269" t="s">
        <v>1567</v>
      </c>
      <c r="I148" s="269" t="s">
        <v>1568</v>
      </c>
      <c r="J148" s="269" t="s">
        <v>1569</v>
      </c>
      <c r="K148" s="269" t="s">
        <v>1570</v>
      </c>
      <c r="L148" s="269" t="s">
        <v>2696</v>
      </c>
      <c r="M148" s="262" t="s">
        <v>1072</v>
      </c>
      <c r="N148" s="122"/>
      <c r="O148" s="20" t="s">
        <v>2088</v>
      </c>
      <c r="P148" s="21" t="s">
        <v>2089</v>
      </c>
      <c r="Q148" s="260" t="s">
        <v>2720</v>
      </c>
      <c r="R148" s="120"/>
      <c r="S148" s="120"/>
      <c r="T148" s="120"/>
      <c r="U148" s="120"/>
      <c r="V148" s="120"/>
    </row>
    <row r="149" spans="1:22" x14ac:dyDescent="0.25">
      <c r="A149" s="307" t="s">
        <v>1814</v>
      </c>
      <c r="B149" s="194" t="s">
        <v>539</v>
      </c>
      <c r="C149" s="194" t="s">
        <v>1858</v>
      </c>
      <c r="D149" s="194" t="s">
        <v>539</v>
      </c>
      <c r="E149" s="308" t="s">
        <v>116</v>
      </c>
      <c r="G149" s="261" t="s">
        <v>1571</v>
      </c>
      <c r="H149" s="269" t="s">
        <v>1572</v>
      </c>
      <c r="I149" s="269" t="s">
        <v>1573</v>
      </c>
      <c r="J149" s="269" t="s">
        <v>1574</v>
      </c>
      <c r="K149" s="269" t="s">
        <v>1575</v>
      </c>
      <c r="L149" s="269" t="s">
        <v>2696</v>
      </c>
      <c r="M149" s="262" t="s">
        <v>1072</v>
      </c>
      <c r="N149" s="122"/>
      <c r="O149" s="261" t="s">
        <v>2721</v>
      </c>
      <c r="P149" s="262" t="s">
        <v>2722</v>
      </c>
      <c r="Q149" s="260" t="s">
        <v>2723</v>
      </c>
      <c r="R149" s="120"/>
      <c r="S149" s="120"/>
      <c r="T149" s="120"/>
      <c r="U149" s="120"/>
      <c r="V149" s="120"/>
    </row>
    <row r="150" spans="1:22" x14ac:dyDescent="0.25">
      <c r="A150" s="307" t="s">
        <v>583</v>
      </c>
      <c r="B150" s="194" t="s">
        <v>582</v>
      </c>
      <c r="C150" s="194" t="s">
        <v>1858</v>
      </c>
      <c r="D150" s="194" t="s">
        <v>582</v>
      </c>
      <c r="E150" s="308" t="s">
        <v>2904</v>
      </c>
      <c r="G150" s="261" t="s">
        <v>1576</v>
      </c>
      <c r="H150" s="269" t="s">
        <v>1577</v>
      </c>
      <c r="I150" s="269" t="s">
        <v>1578</v>
      </c>
      <c r="J150" s="269" t="s">
        <v>1579</v>
      </c>
      <c r="K150" s="269" t="s">
        <v>1580</v>
      </c>
      <c r="L150" s="269" t="s">
        <v>2696</v>
      </c>
      <c r="M150" s="262" t="s">
        <v>1072</v>
      </c>
      <c r="N150" s="122"/>
      <c r="O150" s="261" t="s">
        <v>2724</v>
      </c>
      <c r="P150" s="262" t="s">
        <v>2725</v>
      </c>
      <c r="Q150" s="260" t="s">
        <v>2726</v>
      </c>
      <c r="R150" s="120"/>
      <c r="S150" s="120"/>
      <c r="T150" s="120"/>
      <c r="U150" s="120"/>
      <c r="V150" s="120"/>
    </row>
    <row r="151" spans="1:22" x14ac:dyDescent="0.25">
      <c r="A151" s="307" t="s">
        <v>1816</v>
      </c>
      <c r="B151" s="194" t="s">
        <v>1815</v>
      </c>
      <c r="C151" s="194" t="s">
        <v>1858</v>
      </c>
      <c r="D151" s="194" t="s">
        <v>1815</v>
      </c>
      <c r="E151" s="308" t="s">
        <v>2905</v>
      </c>
      <c r="G151" s="261" t="s">
        <v>1671</v>
      </c>
      <c r="H151" s="269" t="s">
        <v>1672</v>
      </c>
      <c r="I151" s="269" t="s">
        <v>1673</v>
      </c>
      <c r="J151" s="269" t="s">
        <v>1674</v>
      </c>
      <c r="K151" s="269" t="s">
        <v>1675</v>
      </c>
      <c r="L151" s="269" t="s">
        <v>2696</v>
      </c>
      <c r="M151" s="262" t="s">
        <v>1072</v>
      </c>
      <c r="N151" s="122"/>
      <c r="O151" s="261" t="s">
        <v>2090</v>
      </c>
      <c r="P151" s="262" t="s">
        <v>2727</v>
      </c>
      <c r="Q151" s="260" t="s">
        <v>2728</v>
      </c>
      <c r="R151" s="120"/>
      <c r="S151" s="120"/>
      <c r="T151" s="120"/>
      <c r="U151" s="120"/>
      <c r="V151" s="120"/>
    </row>
    <row r="152" spans="1:22" x14ac:dyDescent="0.25">
      <c r="A152" s="307" t="s">
        <v>606</v>
      </c>
      <c r="B152" s="194" t="s">
        <v>605</v>
      </c>
      <c r="C152" s="194" t="s">
        <v>1858</v>
      </c>
      <c r="D152" s="194" t="s">
        <v>605</v>
      </c>
      <c r="E152" s="308" t="s">
        <v>2906</v>
      </c>
      <c r="G152" s="261" t="s">
        <v>1721</v>
      </c>
      <c r="H152" s="269" t="s">
        <v>1722</v>
      </c>
      <c r="I152" s="269" t="s">
        <v>1723</v>
      </c>
      <c r="J152" s="269" t="s">
        <v>1724</v>
      </c>
      <c r="K152" s="269" t="s">
        <v>1725</v>
      </c>
      <c r="L152" s="269" t="s">
        <v>2696</v>
      </c>
      <c r="M152" s="262" t="s">
        <v>1072</v>
      </c>
      <c r="N152" s="122"/>
      <c r="O152" s="263" t="s">
        <v>2091</v>
      </c>
      <c r="P152" s="264" t="s">
        <v>2729</v>
      </c>
      <c r="Q152" s="260" t="s">
        <v>2730</v>
      </c>
      <c r="R152" s="120"/>
      <c r="S152" s="120"/>
      <c r="T152" s="120"/>
      <c r="U152" s="120"/>
      <c r="V152" s="120"/>
    </row>
    <row r="153" spans="1:22" x14ac:dyDescent="0.25">
      <c r="A153" s="307" t="s">
        <v>467</v>
      </c>
      <c r="B153" s="194" t="s">
        <v>466</v>
      </c>
      <c r="C153" s="194" t="s">
        <v>1858</v>
      </c>
      <c r="D153" s="194" t="s">
        <v>466</v>
      </c>
      <c r="E153" s="308" t="s">
        <v>2907</v>
      </c>
      <c r="G153" s="261" t="s">
        <v>1716</v>
      </c>
      <c r="H153" s="269" t="s">
        <v>1717</v>
      </c>
      <c r="I153" s="269" t="s">
        <v>1718</v>
      </c>
      <c r="J153" s="269" t="s">
        <v>1719</v>
      </c>
      <c r="K153" s="269" t="s">
        <v>1720</v>
      </c>
      <c r="L153" s="269" t="s">
        <v>2696</v>
      </c>
      <c r="M153" s="262" t="s">
        <v>1072</v>
      </c>
      <c r="N153" s="122"/>
      <c r="Q153" s="120"/>
      <c r="R153" s="120"/>
      <c r="S153" s="120"/>
      <c r="T153" s="120"/>
      <c r="U153" s="120"/>
      <c r="V153" s="120"/>
    </row>
    <row r="154" spans="1:22" x14ac:dyDescent="0.25">
      <c r="A154" s="307" t="s">
        <v>2881</v>
      </c>
      <c r="B154" s="194" t="s">
        <v>2882</v>
      </c>
      <c r="C154" s="194" t="s">
        <v>1858</v>
      </c>
      <c r="D154" s="194" t="s">
        <v>2882</v>
      </c>
      <c r="E154" s="308" t="s">
        <v>2883</v>
      </c>
      <c r="G154" s="261" t="s">
        <v>1726</v>
      </c>
      <c r="H154" s="269" t="s">
        <v>1727</v>
      </c>
      <c r="I154" s="269" t="s">
        <v>1728</v>
      </c>
      <c r="J154" s="269" t="s">
        <v>1729</v>
      </c>
      <c r="K154" s="269" t="s">
        <v>1730</v>
      </c>
      <c r="L154" s="269" t="s">
        <v>2696</v>
      </c>
      <c r="M154" s="262" t="s">
        <v>1072</v>
      </c>
      <c r="N154" s="122"/>
      <c r="Q154" s="120"/>
      <c r="R154" s="120"/>
      <c r="S154" s="120"/>
      <c r="T154" s="120"/>
      <c r="U154" s="120"/>
      <c r="V154" s="120"/>
    </row>
    <row r="155" spans="1:22" x14ac:dyDescent="0.25">
      <c r="A155" s="307" t="s">
        <v>542</v>
      </c>
      <c r="B155" s="194" t="s">
        <v>541</v>
      </c>
      <c r="C155" s="194" t="s">
        <v>1858</v>
      </c>
      <c r="D155" s="194" t="s">
        <v>541</v>
      </c>
      <c r="E155" s="308" t="s">
        <v>2908</v>
      </c>
      <c r="G155" s="261" t="s">
        <v>1691</v>
      </c>
      <c r="H155" s="269" t="s">
        <v>1692</v>
      </c>
      <c r="I155" s="269" t="s">
        <v>1693</v>
      </c>
      <c r="J155" s="269" t="s">
        <v>1694</v>
      </c>
      <c r="K155" s="269" t="s">
        <v>1695</v>
      </c>
      <c r="L155" s="269" t="s">
        <v>2696</v>
      </c>
      <c r="M155" s="262" t="s">
        <v>1072</v>
      </c>
      <c r="N155" s="122"/>
      <c r="Q155" s="120"/>
      <c r="R155" s="120"/>
      <c r="S155" s="120"/>
      <c r="T155" s="120"/>
      <c r="U155" s="120"/>
      <c r="V155" s="120"/>
    </row>
    <row r="156" spans="1:22" x14ac:dyDescent="0.25">
      <c r="A156" s="307" t="s">
        <v>1818</v>
      </c>
      <c r="B156" s="194" t="s">
        <v>1817</v>
      </c>
      <c r="C156" s="194" t="s">
        <v>1858</v>
      </c>
      <c r="D156" s="194" t="s">
        <v>1817</v>
      </c>
      <c r="E156" s="308" t="s">
        <v>2909</v>
      </c>
      <c r="G156" s="261" t="s">
        <v>1696</v>
      </c>
      <c r="H156" s="269" t="s">
        <v>1697</v>
      </c>
      <c r="I156" s="269" t="s">
        <v>1698</v>
      </c>
      <c r="J156" s="269" t="s">
        <v>1699</v>
      </c>
      <c r="K156" s="269" t="s">
        <v>1700</v>
      </c>
      <c r="L156" s="269" t="s">
        <v>2696</v>
      </c>
      <c r="M156" s="262" t="s">
        <v>1072</v>
      </c>
      <c r="N156" s="122"/>
      <c r="Q156" s="120"/>
      <c r="R156" s="120"/>
      <c r="S156" s="120"/>
      <c r="T156" s="120"/>
      <c r="U156" s="120"/>
      <c r="V156" s="120"/>
    </row>
    <row r="157" spans="1:22" x14ac:dyDescent="0.25">
      <c r="A157" s="307" t="s">
        <v>3012</v>
      </c>
      <c r="B157" s="194" t="s">
        <v>3013</v>
      </c>
      <c r="C157" s="194" t="s">
        <v>1858</v>
      </c>
      <c r="D157" s="194" t="s">
        <v>3013</v>
      </c>
      <c r="E157" s="308" t="s">
        <v>3014</v>
      </c>
      <c r="G157" s="261" t="s">
        <v>1581</v>
      </c>
      <c r="H157" s="269" t="s">
        <v>1582</v>
      </c>
      <c r="I157" s="269" t="s">
        <v>1583</v>
      </c>
      <c r="J157" s="269" t="s">
        <v>1584</v>
      </c>
      <c r="K157" s="269" t="s">
        <v>1585</v>
      </c>
      <c r="L157" s="269" t="s">
        <v>2696</v>
      </c>
      <c r="M157" s="262" t="s">
        <v>1072</v>
      </c>
      <c r="N157" s="122"/>
      <c r="Q157" s="120"/>
      <c r="R157" s="120"/>
      <c r="S157" s="120"/>
      <c r="T157" s="120"/>
      <c r="U157" s="120"/>
      <c r="V157" s="120"/>
    </row>
    <row r="158" spans="1:22" x14ac:dyDescent="0.25">
      <c r="A158" s="307" t="s">
        <v>1819</v>
      </c>
      <c r="B158" s="194" t="s">
        <v>383</v>
      </c>
      <c r="C158" s="194" t="s">
        <v>1858</v>
      </c>
      <c r="D158" s="194" t="s">
        <v>383</v>
      </c>
      <c r="E158" s="308" t="s">
        <v>2910</v>
      </c>
      <c r="G158" s="261" t="s">
        <v>1586</v>
      </c>
      <c r="H158" s="269" t="s">
        <v>1587</v>
      </c>
      <c r="I158" s="269" t="s">
        <v>1588</v>
      </c>
      <c r="J158" s="269" t="s">
        <v>1589</v>
      </c>
      <c r="K158" s="269" t="s">
        <v>1590</v>
      </c>
      <c r="L158" s="269" t="s">
        <v>2696</v>
      </c>
      <c r="M158" s="262" t="s">
        <v>1072</v>
      </c>
      <c r="N158" s="122"/>
      <c r="Q158" s="120"/>
      <c r="R158" s="120"/>
      <c r="S158" s="120"/>
      <c r="T158" s="120"/>
      <c r="U158" s="120"/>
      <c r="V158" s="120"/>
    </row>
    <row r="159" spans="1:22" x14ac:dyDescent="0.25">
      <c r="A159" s="307" t="s">
        <v>1821</v>
      </c>
      <c r="B159" s="194" t="s">
        <v>1820</v>
      </c>
      <c r="C159" s="194" t="s">
        <v>1858</v>
      </c>
      <c r="D159" s="194" t="s">
        <v>1820</v>
      </c>
      <c r="E159" s="308" t="s">
        <v>2911</v>
      </c>
      <c r="G159" s="261" t="s">
        <v>1591</v>
      </c>
      <c r="H159" s="269" t="s">
        <v>1592</v>
      </c>
      <c r="I159" s="269" t="s">
        <v>1593</v>
      </c>
      <c r="J159" s="269" t="s">
        <v>1594</v>
      </c>
      <c r="K159" s="269" t="s">
        <v>1595</v>
      </c>
      <c r="L159" s="269" t="s">
        <v>2696</v>
      </c>
      <c r="M159" s="262" t="s">
        <v>1072</v>
      </c>
      <c r="N159" s="122"/>
      <c r="Q159" s="120"/>
      <c r="R159" s="120"/>
      <c r="S159" s="120"/>
      <c r="T159" s="120"/>
      <c r="U159" s="120"/>
      <c r="V159" s="120"/>
    </row>
    <row r="160" spans="1:22" x14ac:dyDescent="0.25">
      <c r="A160" s="307" t="s">
        <v>540</v>
      </c>
      <c r="B160" s="194" t="s">
        <v>336</v>
      </c>
      <c r="C160" s="194" t="s">
        <v>1858</v>
      </c>
      <c r="D160" s="194" t="s">
        <v>336</v>
      </c>
      <c r="E160" s="308" t="s">
        <v>2912</v>
      </c>
      <c r="G160" s="261" t="s">
        <v>1701</v>
      </c>
      <c r="H160" s="269" t="s">
        <v>1702</v>
      </c>
      <c r="I160" s="269" t="s">
        <v>1703</v>
      </c>
      <c r="J160" s="269" t="s">
        <v>1704</v>
      </c>
      <c r="K160" s="269" t="s">
        <v>1705</v>
      </c>
      <c r="L160" s="269" t="s">
        <v>2696</v>
      </c>
      <c r="M160" s="262" t="s">
        <v>1072</v>
      </c>
      <c r="N160" s="122"/>
      <c r="Q160" s="120"/>
      <c r="R160" s="120"/>
      <c r="S160" s="120"/>
      <c r="T160" s="120"/>
      <c r="U160" s="120"/>
      <c r="V160" s="120"/>
    </row>
    <row r="161" spans="1:22" x14ac:dyDescent="0.25">
      <c r="A161" s="307" t="s">
        <v>588</v>
      </c>
      <c r="B161" s="194" t="s">
        <v>587</v>
      </c>
      <c r="C161" s="194" t="s">
        <v>1858</v>
      </c>
      <c r="D161" s="194" t="s">
        <v>587</v>
      </c>
      <c r="E161" s="308" t="s">
        <v>2913</v>
      </c>
      <c r="G161" s="261" t="s">
        <v>1706</v>
      </c>
      <c r="H161" s="269" t="s">
        <v>1707</v>
      </c>
      <c r="I161" s="269" t="s">
        <v>1708</v>
      </c>
      <c r="J161" s="269" t="s">
        <v>1709</v>
      </c>
      <c r="K161" s="269" t="s">
        <v>1710</v>
      </c>
      <c r="L161" s="269" t="s">
        <v>2696</v>
      </c>
      <c r="M161" s="262" t="s">
        <v>1072</v>
      </c>
      <c r="N161" s="122"/>
      <c r="Q161" s="120"/>
      <c r="R161" s="120"/>
      <c r="S161" s="120"/>
      <c r="T161" s="120"/>
      <c r="U161" s="120"/>
      <c r="V161" s="120"/>
    </row>
    <row r="162" spans="1:22" x14ac:dyDescent="0.25">
      <c r="A162" s="307" t="s">
        <v>1823</v>
      </c>
      <c r="B162" s="194" t="s">
        <v>1822</v>
      </c>
      <c r="C162" s="194" t="s">
        <v>1858</v>
      </c>
      <c r="D162" s="194" t="s">
        <v>1822</v>
      </c>
      <c r="E162" s="308" t="s">
        <v>2914</v>
      </c>
      <c r="G162" s="261" t="s">
        <v>1731</v>
      </c>
      <c r="H162" s="269" t="s">
        <v>1732</v>
      </c>
      <c r="I162" s="269" t="s">
        <v>1733</v>
      </c>
      <c r="J162" s="269" t="s">
        <v>1734</v>
      </c>
      <c r="K162" s="269" t="s">
        <v>1735</v>
      </c>
      <c r="L162" s="269" t="s">
        <v>2696</v>
      </c>
      <c r="M162" s="262" t="s">
        <v>1072</v>
      </c>
      <c r="N162" s="122"/>
      <c r="Q162" s="120"/>
      <c r="R162" s="120"/>
      <c r="S162" s="120"/>
      <c r="T162" s="120"/>
      <c r="U162" s="120"/>
      <c r="V162" s="120"/>
    </row>
    <row r="163" spans="1:22" x14ac:dyDescent="0.25">
      <c r="A163" s="307" t="s">
        <v>585</v>
      </c>
      <c r="B163" s="194" t="s">
        <v>584</v>
      </c>
      <c r="C163" s="194" t="s">
        <v>1858</v>
      </c>
      <c r="D163" s="194" t="s">
        <v>584</v>
      </c>
      <c r="E163" s="308" t="s">
        <v>2915</v>
      </c>
      <c r="G163" s="261" t="s">
        <v>1711</v>
      </c>
      <c r="H163" s="269" t="s">
        <v>1712</v>
      </c>
      <c r="I163" s="269" t="s">
        <v>1713</v>
      </c>
      <c r="J163" s="269" t="s">
        <v>1714</v>
      </c>
      <c r="K163" s="269" t="s">
        <v>1715</v>
      </c>
      <c r="L163" s="269" t="s">
        <v>2696</v>
      </c>
      <c r="M163" s="262" t="s">
        <v>1072</v>
      </c>
      <c r="N163" s="122"/>
      <c r="Q163" s="120"/>
      <c r="R163" s="120"/>
      <c r="S163" s="120"/>
      <c r="T163" s="120"/>
      <c r="U163" s="120"/>
      <c r="V163" s="120"/>
    </row>
    <row r="164" spans="1:22" x14ac:dyDescent="0.25">
      <c r="A164" s="307" t="s">
        <v>3015</v>
      </c>
      <c r="B164" s="194" t="s">
        <v>488</v>
      </c>
      <c r="C164" s="194" t="s">
        <v>1858</v>
      </c>
      <c r="D164" s="194" t="s">
        <v>488</v>
      </c>
      <c r="E164" s="308" t="s">
        <v>2916</v>
      </c>
      <c r="G164" s="261" t="s">
        <v>1596</v>
      </c>
      <c r="H164" s="269" t="s">
        <v>1597</v>
      </c>
      <c r="I164" s="269" t="s">
        <v>1598</v>
      </c>
      <c r="J164" s="269" t="s">
        <v>1599</v>
      </c>
      <c r="K164" s="269" t="s">
        <v>1600</v>
      </c>
      <c r="L164" s="269" t="s">
        <v>2696</v>
      </c>
      <c r="M164" s="262" t="s">
        <v>1072</v>
      </c>
      <c r="N164" s="119"/>
      <c r="Q164" s="120"/>
      <c r="R164" s="120"/>
      <c r="S164" s="120"/>
      <c r="T164" s="120"/>
      <c r="U164" s="120"/>
      <c r="V164" s="120"/>
    </row>
    <row r="165" spans="1:22" x14ac:dyDescent="0.25">
      <c r="A165" s="307" t="s">
        <v>1825</v>
      </c>
      <c r="B165" s="194" t="s">
        <v>1824</v>
      </c>
      <c r="C165" s="194" t="s">
        <v>1858</v>
      </c>
      <c r="D165" s="194" t="s">
        <v>1824</v>
      </c>
      <c r="E165" s="308" t="s">
        <v>2917</v>
      </c>
      <c r="G165" s="261" t="s">
        <v>1601</v>
      </c>
      <c r="H165" s="269" t="s">
        <v>1602</v>
      </c>
      <c r="I165" s="269" t="s">
        <v>1603</v>
      </c>
      <c r="J165" s="269" t="s">
        <v>1604</v>
      </c>
      <c r="K165" s="269" t="s">
        <v>1605</v>
      </c>
      <c r="L165" s="269" t="s">
        <v>2696</v>
      </c>
      <c r="M165" s="262" t="s">
        <v>1072</v>
      </c>
      <c r="N165" s="119"/>
      <c r="Q165" s="120"/>
      <c r="R165" s="120"/>
      <c r="S165" s="120"/>
      <c r="T165" s="120"/>
      <c r="U165" s="120"/>
      <c r="V165" s="120"/>
    </row>
    <row r="166" spans="1:22" x14ac:dyDescent="0.25">
      <c r="A166" s="307" t="s">
        <v>1827</v>
      </c>
      <c r="B166" s="194" t="s">
        <v>1826</v>
      </c>
      <c r="C166" s="194" t="s">
        <v>1858</v>
      </c>
      <c r="D166" s="194" t="s">
        <v>1826</v>
      </c>
      <c r="E166" s="308" t="s">
        <v>2918</v>
      </c>
      <c r="G166" s="261" t="s">
        <v>1606</v>
      </c>
      <c r="H166" s="269" t="s">
        <v>1607</v>
      </c>
      <c r="I166" s="269" t="s">
        <v>1608</v>
      </c>
      <c r="J166" s="269" t="s">
        <v>1609</v>
      </c>
      <c r="K166" s="269" t="s">
        <v>1610</v>
      </c>
      <c r="L166" s="269" t="s">
        <v>2696</v>
      </c>
      <c r="M166" s="262" t="s">
        <v>1072</v>
      </c>
      <c r="N166" s="119"/>
      <c r="Q166" s="120"/>
      <c r="R166" s="120"/>
      <c r="S166" s="120"/>
      <c r="T166" s="120"/>
      <c r="U166" s="120"/>
      <c r="V166" s="120"/>
    </row>
    <row r="167" spans="1:22" x14ac:dyDescent="0.25">
      <c r="A167" s="307" t="s">
        <v>559</v>
      </c>
      <c r="B167" s="194" t="s">
        <v>558</v>
      </c>
      <c r="C167" s="194" t="s">
        <v>1858</v>
      </c>
      <c r="D167" s="194" t="s">
        <v>558</v>
      </c>
      <c r="E167" s="308" t="s">
        <v>2919</v>
      </c>
      <c r="G167" s="261" t="s">
        <v>1611</v>
      </c>
      <c r="H167" s="269" t="s">
        <v>1612</v>
      </c>
      <c r="I167" s="269" t="s">
        <v>1613</v>
      </c>
      <c r="J167" s="269" t="s">
        <v>1614</v>
      </c>
      <c r="K167" s="269" t="s">
        <v>1615</v>
      </c>
      <c r="L167" s="269" t="s">
        <v>2696</v>
      </c>
      <c r="M167" s="262" t="s">
        <v>1072</v>
      </c>
      <c r="N167" s="119"/>
      <c r="Q167" s="120"/>
      <c r="R167" s="120"/>
      <c r="S167" s="120"/>
      <c r="T167" s="120"/>
      <c r="U167" s="120"/>
      <c r="V167" s="120"/>
    </row>
    <row r="168" spans="1:22" x14ac:dyDescent="0.25">
      <c r="A168" s="307" t="s">
        <v>485</v>
      </c>
      <c r="B168" s="194" t="s">
        <v>484</v>
      </c>
      <c r="C168" s="194" t="s">
        <v>1858</v>
      </c>
      <c r="D168" s="194" t="s">
        <v>484</v>
      </c>
      <c r="E168" s="308" t="s">
        <v>2920</v>
      </c>
      <c r="G168" s="261" t="s">
        <v>1621</v>
      </c>
      <c r="H168" s="269" t="s">
        <v>1622</v>
      </c>
      <c r="I168" s="269" t="s">
        <v>1623</v>
      </c>
      <c r="J168" s="269" t="s">
        <v>1624</v>
      </c>
      <c r="K168" s="269" t="s">
        <v>1625</v>
      </c>
      <c r="L168" s="269" t="s">
        <v>2696</v>
      </c>
      <c r="M168" s="262" t="s">
        <v>1072</v>
      </c>
      <c r="N168" s="122"/>
      <c r="Q168" s="120"/>
      <c r="T168" s="120"/>
      <c r="U168" s="120"/>
      <c r="V168" s="120"/>
    </row>
    <row r="169" spans="1:22" x14ac:dyDescent="0.25">
      <c r="A169" s="307" t="s">
        <v>602</v>
      </c>
      <c r="B169" s="194" t="s">
        <v>601</v>
      </c>
      <c r="C169" s="194" t="s">
        <v>1858</v>
      </c>
      <c r="D169" s="194" t="s">
        <v>601</v>
      </c>
      <c r="E169" s="308" t="s">
        <v>2921</v>
      </c>
      <c r="G169" s="261" t="s">
        <v>1736</v>
      </c>
      <c r="H169" s="269" t="s">
        <v>1737</v>
      </c>
      <c r="I169" s="269" t="s">
        <v>1738</v>
      </c>
      <c r="J169" s="269" t="s">
        <v>1739</v>
      </c>
      <c r="K169" s="269" t="s">
        <v>1740</v>
      </c>
      <c r="L169" s="269" t="s">
        <v>2696</v>
      </c>
      <c r="M169" s="262" t="s">
        <v>1072</v>
      </c>
      <c r="N169" s="122"/>
      <c r="Q169" s="120"/>
      <c r="T169" s="120"/>
      <c r="U169" s="120"/>
      <c r="V169" s="120"/>
    </row>
    <row r="170" spans="1:22" x14ac:dyDescent="0.25">
      <c r="A170" s="307" t="s">
        <v>1829</v>
      </c>
      <c r="B170" s="194" t="s">
        <v>1828</v>
      </c>
      <c r="C170" s="194" t="s">
        <v>1858</v>
      </c>
      <c r="D170" s="194" t="s">
        <v>1828</v>
      </c>
      <c r="E170" s="308" t="s">
        <v>2922</v>
      </c>
      <c r="G170" s="261" t="s">
        <v>1641</v>
      </c>
      <c r="H170" s="269" t="s">
        <v>1642</v>
      </c>
      <c r="I170" s="269" t="s">
        <v>1643</v>
      </c>
      <c r="J170" s="269" t="s">
        <v>1644</v>
      </c>
      <c r="K170" s="269" t="s">
        <v>1645</v>
      </c>
      <c r="L170" s="269" t="s">
        <v>2696</v>
      </c>
      <c r="M170" s="262" t="s">
        <v>1072</v>
      </c>
    </row>
    <row r="171" spans="1:22" x14ac:dyDescent="0.25">
      <c r="A171" s="307" t="s">
        <v>459</v>
      </c>
      <c r="B171" s="194" t="s">
        <v>458</v>
      </c>
      <c r="C171" s="194" t="s">
        <v>1858</v>
      </c>
      <c r="D171" s="194" t="s">
        <v>458</v>
      </c>
      <c r="E171" s="308" t="s">
        <v>2923</v>
      </c>
      <c r="G171" s="261" t="s">
        <v>1636</v>
      </c>
      <c r="H171" s="269" t="s">
        <v>1637</v>
      </c>
      <c r="I171" s="269" t="s">
        <v>1638</v>
      </c>
      <c r="J171" s="269" t="s">
        <v>1639</v>
      </c>
      <c r="K171" s="269" t="s">
        <v>1640</v>
      </c>
      <c r="L171" s="269" t="s">
        <v>2696</v>
      </c>
      <c r="M171" s="262" t="s">
        <v>1072</v>
      </c>
    </row>
    <row r="172" spans="1:22" x14ac:dyDescent="0.25">
      <c r="A172" s="307" t="s">
        <v>507</v>
      </c>
      <c r="B172" s="194" t="s">
        <v>506</v>
      </c>
      <c r="C172" s="194" t="s">
        <v>1858</v>
      </c>
      <c r="D172" s="194" t="s">
        <v>506</v>
      </c>
      <c r="E172" s="308" t="s">
        <v>2924</v>
      </c>
      <c r="G172" s="261" t="s">
        <v>1646</v>
      </c>
      <c r="H172" s="269" t="s">
        <v>1647</v>
      </c>
      <c r="I172" s="269" t="s">
        <v>1648</v>
      </c>
      <c r="J172" s="269" t="s">
        <v>1649</v>
      </c>
      <c r="K172" s="269" t="s">
        <v>1650</v>
      </c>
      <c r="L172" s="269" t="s">
        <v>2696</v>
      </c>
      <c r="M172" s="262" t="s">
        <v>1072</v>
      </c>
    </row>
    <row r="173" spans="1:22" x14ac:dyDescent="0.25">
      <c r="A173" s="307" t="s">
        <v>1831</v>
      </c>
      <c r="B173" s="194" t="s">
        <v>1830</v>
      </c>
      <c r="C173" s="194" t="s">
        <v>1858</v>
      </c>
      <c r="D173" s="194" t="s">
        <v>1830</v>
      </c>
      <c r="E173" s="308" t="s">
        <v>2925</v>
      </c>
      <c r="G173" s="261" t="s">
        <v>1651</v>
      </c>
      <c r="H173" s="269" t="s">
        <v>1652</v>
      </c>
      <c r="I173" s="269" t="s">
        <v>1653</v>
      </c>
      <c r="J173" s="269" t="s">
        <v>1654</v>
      </c>
      <c r="K173" s="269" t="s">
        <v>1655</v>
      </c>
      <c r="L173" s="269" t="s">
        <v>2696</v>
      </c>
      <c r="M173" s="262" t="s">
        <v>1072</v>
      </c>
    </row>
    <row r="174" spans="1:22" x14ac:dyDescent="0.25">
      <c r="A174" s="307" t="s">
        <v>548</v>
      </c>
      <c r="B174" s="194" t="s">
        <v>547</v>
      </c>
      <c r="C174" s="194" t="s">
        <v>1858</v>
      </c>
      <c r="D174" s="194" t="s">
        <v>547</v>
      </c>
      <c r="E174" s="308" t="s">
        <v>2841</v>
      </c>
      <c r="G174" s="261" t="s">
        <v>1741</v>
      </c>
      <c r="H174" s="269" t="s">
        <v>1742</v>
      </c>
      <c r="I174" s="269" t="s">
        <v>1743</v>
      </c>
      <c r="J174" s="269" t="s">
        <v>1744</v>
      </c>
      <c r="K174" s="269" t="s">
        <v>1745</v>
      </c>
      <c r="L174" s="269" t="s">
        <v>2696</v>
      </c>
      <c r="M174" s="262" t="s">
        <v>1072</v>
      </c>
    </row>
    <row r="175" spans="1:22" x14ac:dyDescent="0.25">
      <c r="A175" s="311" t="s">
        <v>1832</v>
      </c>
      <c r="B175" s="312" t="s">
        <v>586</v>
      </c>
      <c r="C175" s="312" t="s">
        <v>1858</v>
      </c>
      <c r="D175" s="312" t="s">
        <v>586</v>
      </c>
      <c r="E175" s="313" t="s">
        <v>2926</v>
      </c>
      <c r="G175" s="261" t="s">
        <v>1746</v>
      </c>
      <c r="H175" s="269" t="s">
        <v>1747</v>
      </c>
      <c r="I175" s="269" t="s">
        <v>1748</v>
      </c>
      <c r="J175" s="269" t="s">
        <v>1749</v>
      </c>
      <c r="K175" s="269" t="s">
        <v>1750</v>
      </c>
      <c r="L175" s="265" t="s">
        <v>2696</v>
      </c>
      <c r="M175" s="271" t="s">
        <v>1111</v>
      </c>
    </row>
    <row r="176" spans="1:22" x14ac:dyDescent="0.25">
      <c r="G176" s="261" t="s">
        <v>1384</v>
      </c>
      <c r="H176" s="269" t="s">
        <v>1385</v>
      </c>
      <c r="I176" s="269" t="s">
        <v>1386</v>
      </c>
      <c r="J176" s="269" t="s">
        <v>1387</v>
      </c>
      <c r="K176" s="269" t="s">
        <v>1388</v>
      </c>
      <c r="L176" s="269" t="s">
        <v>2697</v>
      </c>
      <c r="M176" s="262" t="s">
        <v>1072</v>
      </c>
    </row>
    <row r="177" spans="7:13" x14ac:dyDescent="0.25">
      <c r="G177" s="261" t="s">
        <v>1389</v>
      </c>
      <c r="H177" s="269" t="s">
        <v>1390</v>
      </c>
      <c r="I177" s="269" t="s">
        <v>1391</v>
      </c>
      <c r="J177" s="269" t="s">
        <v>1392</v>
      </c>
      <c r="K177" s="269" t="s">
        <v>1393</v>
      </c>
      <c r="L177" s="269" t="s">
        <v>2697</v>
      </c>
      <c r="M177" s="262" t="s">
        <v>1072</v>
      </c>
    </row>
    <row r="178" spans="7:13" x14ac:dyDescent="0.25">
      <c r="G178" s="261" t="s">
        <v>1394</v>
      </c>
      <c r="H178" s="269" t="s">
        <v>1395</v>
      </c>
      <c r="I178" s="269" t="s">
        <v>1396</v>
      </c>
      <c r="J178" s="269" t="s">
        <v>1397</v>
      </c>
      <c r="K178" s="269" t="s">
        <v>1398</v>
      </c>
      <c r="L178" s="269" t="s">
        <v>2697</v>
      </c>
      <c r="M178" s="262" t="s">
        <v>1072</v>
      </c>
    </row>
    <row r="179" spans="7:13" x14ac:dyDescent="0.25">
      <c r="G179" s="261" t="s">
        <v>1399</v>
      </c>
      <c r="H179" s="269" t="s">
        <v>1400</v>
      </c>
      <c r="I179" s="269" t="s">
        <v>1401</v>
      </c>
      <c r="J179" s="269" t="s">
        <v>1402</v>
      </c>
      <c r="K179" s="269" t="s">
        <v>1403</v>
      </c>
      <c r="L179" s="269" t="s">
        <v>2697</v>
      </c>
      <c r="M179" s="262" t="s">
        <v>1072</v>
      </c>
    </row>
    <row r="180" spans="7:13" x14ac:dyDescent="0.25">
      <c r="G180" s="261" t="s">
        <v>1404</v>
      </c>
      <c r="H180" s="269" t="s">
        <v>1405</v>
      </c>
      <c r="I180" s="269" t="s">
        <v>1406</v>
      </c>
      <c r="J180" s="269" t="s">
        <v>1407</v>
      </c>
      <c r="K180" s="269" t="s">
        <v>1408</v>
      </c>
      <c r="L180" s="269" t="s">
        <v>2697</v>
      </c>
      <c r="M180" s="262" t="s">
        <v>1072</v>
      </c>
    </row>
    <row r="181" spans="7:13" x14ac:dyDescent="0.25">
      <c r="G181" s="261" t="s">
        <v>1409</v>
      </c>
      <c r="H181" s="269" t="s">
        <v>1410</v>
      </c>
      <c r="I181" s="269" t="s">
        <v>1411</v>
      </c>
      <c r="J181" s="269" t="s">
        <v>1412</v>
      </c>
      <c r="K181" s="269" t="s">
        <v>1413</v>
      </c>
      <c r="L181" s="269" t="s">
        <v>2697</v>
      </c>
      <c r="M181" s="262" t="s">
        <v>1072</v>
      </c>
    </row>
    <row r="182" spans="7:13" x14ac:dyDescent="0.25">
      <c r="G182" s="261" t="s">
        <v>1414</v>
      </c>
      <c r="H182" s="269" t="s">
        <v>1415</v>
      </c>
      <c r="I182" s="269" t="s">
        <v>1416</v>
      </c>
      <c r="J182" s="269" t="s">
        <v>1417</v>
      </c>
      <c r="K182" s="269" t="s">
        <v>1418</v>
      </c>
      <c r="L182" s="269" t="s">
        <v>2697</v>
      </c>
      <c r="M182" s="262" t="s">
        <v>1072</v>
      </c>
    </row>
    <row r="183" spans="7:13" x14ac:dyDescent="0.25">
      <c r="G183" s="261" t="s">
        <v>1419</v>
      </c>
      <c r="H183" s="269" t="s">
        <v>1420</v>
      </c>
      <c r="I183" s="269" t="s">
        <v>1421</v>
      </c>
      <c r="J183" s="269" t="s">
        <v>1422</v>
      </c>
      <c r="K183" s="269" t="s">
        <v>1423</v>
      </c>
      <c r="L183" s="269" t="s">
        <v>2697</v>
      </c>
      <c r="M183" s="262" t="s">
        <v>1072</v>
      </c>
    </row>
    <row r="184" spans="7:13" x14ac:dyDescent="0.25">
      <c r="G184" s="261" t="s">
        <v>1424</v>
      </c>
      <c r="H184" s="269" t="s">
        <v>1425</v>
      </c>
      <c r="I184" s="269" t="s">
        <v>1426</v>
      </c>
      <c r="J184" s="269" t="s">
        <v>1427</v>
      </c>
      <c r="K184" s="269" t="s">
        <v>1428</v>
      </c>
      <c r="L184" s="269" t="s">
        <v>2697</v>
      </c>
      <c r="M184" s="262" t="s">
        <v>1072</v>
      </c>
    </row>
    <row r="185" spans="7:13" x14ac:dyDescent="0.25">
      <c r="G185" s="261" t="s">
        <v>1429</v>
      </c>
      <c r="H185" s="269" t="s">
        <v>1430</v>
      </c>
      <c r="I185" s="269" t="s">
        <v>1431</v>
      </c>
      <c r="J185" s="269" t="s">
        <v>1432</v>
      </c>
      <c r="K185" s="269" t="s">
        <v>1433</v>
      </c>
      <c r="L185" s="269" t="s">
        <v>2697</v>
      </c>
      <c r="M185" s="262" t="s">
        <v>1072</v>
      </c>
    </row>
    <row r="186" spans="7:13" x14ac:dyDescent="0.25">
      <c r="G186" s="261" t="s">
        <v>1434</v>
      </c>
      <c r="H186" s="269" t="s">
        <v>1435</v>
      </c>
      <c r="I186" s="269" t="s">
        <v>1436</v>
      </c>
      <c r="J186" s="269" t="s">
        <v>1437</v>
      </c>
      <c r="K186" s="269" t="s">
        <v>1438</v>
      </c>
      <c r="L186" s="269" t="s">
        <v>2697</v>
      </c>
      <c r="M186" s="262" t="s">
        <v>1072</v>
      </c>
    </row>
    <row r="187" spans="7:13" x14ac:dyDescent="0.25">
      <c r="G187" s="261" t="s">
        <v>1439</v>
      </c>
      <c r="H187" s="269" t="s">
        <v>1440</v>
      </c>
      <c r="I187" s="269" t="s">
        <v>1441</v>
      </c>
      <c r="J187" s="269" t="s">
        <v>1442</v>
      </c>
      <c r="K187" s="269" t="s">
        <v>1443</v>
      </c>
      <c r="L187" s="269" t="s">
        <v>2697</v>
      </c>
      <c r="M187" s="262" t="s">
        <v>1072</v>
      </c>
    </row>
    <row r="188" spans="7:13" x14ac:dyDescent="0.25">
      <c r="G188" s="261" t="s">
        <v>1444</v>
      </c>
      <c r="H188" s="269" t="s">
        <v>1445</v>
      </c>
      <c r="I188" s="269" t="s">
        <v>1446</v>
      </c>
      <c r="J188" s="269" t="s">
        <v>1447</v>
      </c>
      <c r="K188" s="269" t="s">
        <v>1448</v>
      </c>
      <c r="L188" s="269" t="s">
        <v>2697</v>
      </c>
      <c r="M188" s="262" t="s">
        <v>1072</v>
      </c>
    </row>
    <row r="189" spans="7:13" x14ac:dyDescent="0.25">
      <c r="G189" s="261" t="s">
        <v>1449</v>
      </c>
      <c r="H189" s="269" t="s">
        <v>1450</v>
      </c>
      <c r="I189" s="269" t="s">
        <v>1451</v>
      </c>
      <c r="J189" s="269" t="s">
        <v>1452</v>
      </c>
      <c r="K189" s="269" t="s">
        <v>1453</v>
      </c>
      <c r="L189" s="269" t="s">
        <v>2697</v>
      </c>
      <c r="M189" s="262" t="s">
        <v>1072</v>
      </c>
    </row>
    <row r="190" spans="7:13" x14ac:dyDescent="0.25">
      <c r="G190" s="261" t="s">
        <v>1454</v>
      </c>
      <c r="H190" s="269" t="s">
        <v>1455</v>
      </c>
      <c r="I190" s="269" t="s">
        <v>1456</v>
      </c>
      <c r="J190" s="269" t="s">
        <v>1457</v>
      </c>
      <c r="K190" s="269" t="s">
        <v>1458</v>
      </c>
      <c r="L190" s="269" t="s">
        <v>2697</v>
      </c>
      <c r="M190" s="262" t="s">
        <v>1072</v>
      </c>
    </row>
    <row r="191" spans="7:13" x14ac:dyDescent="0.25">
      <c r="G191" s="261" t="s">
        <v>1459</v>
      </c>
      <c r="H191" s="269" t="s">
        <v>1460</v>
      </c>
      <c r="I191" s="269" t="s">
        <v>1461</v>
      </c>
      <c r="J191" s="269" t="s">
        <v>1462</v>
      </c>
      <c r="K191" s="269" t="s">
        <v>1463</v>
      </c>
      <c r="L191" s="269" t="s">
        <v>2697</v>
      </c>
      <c r="M191" s="262" t="s">
        <v>1072</v>
      </c>
    </row>
    <row r="192" spans="7:13" x14ac:dyDescent="0.25">
      <c r="G192" s="261" t="s">
        <v>1464</v>
      </c>
      <c r="H192" s="269" t="s">
        <v>1465</v>
      </c>
      <c r="I192" s="269" t="s">
        <v>1466</v>
      </c>
      <c r="J192" s="269" t="s">
        <v>1467</v>
      </c>
      <c r="K192" s="269" t="s">
        <v>1468</v>
      </c>
      <c r="L192" s="269" t="s">
        <v>2697</v>
      </c>
      <c r="M192" s="262" t="s">
        <v>1072</v>
      </c>
    </row>
    <row r="193" spans="1:16" x14ac:dyDescent="0.25">
      <c r="G193" s="261" t="s">
        <v>1469</v>
      </c>
      <c r="H193" s="269" t="s">
        <v>1470</v>
      </c>
      <c r="I193" s="269" t="s">
        <v>1471</v>
      </c>
      <c r="J193" s="269" t="s">
        <v>1472</v>
      </c>
      <c r="K193" s="269" t="s">
        <v>1473</v>
      </c>
      <c r="L193" s="269" t="s">
        <v>2697</v>
      </c>
      <c r="M193" s="262" t="s">
        <v>1072</v>
      </c>
    </row>
    <row r="194" spans="1:16" x14ac:dyDescent="0.25">
      <c r="G194" s="261" t="s">
        <v>1474</v>
      </c>
      <c r="H194" s="269" t="s">
        <v>1475</v>
      </c>
      <c r="I194" s="269" t="s">
        <v>1476</v>
      </c>
      <c r="J194" s="269" t="s">
        <v>1477</v>
      </c>
      <c r="K194" s="269" t="s">
        <v>1478</v>
      </c>
      <c r="L194" s="269" t="s">
        <v>2697</v>
      </c>
      <c r="M194" s="262" t="s">
        <v>1072</v>
      </c>
    </row>
    <row r="195" spans="1:16" x14ac:dyDescent="0.25">
      <c r="G195" s="261" t="s">
        <v>1479</v>
      </c>
      <c r="H195" s="269" t="s">
        <v>1480</v>
      </c>
      <c r="I195" s="269" t="s">
        <v>1481</v>
      </c>
      <c r="J195" s="269" t="s">
        <v>1482</v>
      </c>
      <c r="K195" s="269" t="s">
        <v>1483</v>
      </c>
      <c r="L195" s="269" t="s">
        <v>2697</v>
      </c>
      <c r="M195" s="262" t="s">
        <v>1072</v>
      </c>
    </row>
    <row r="196" spans="1:16" x14ac:dyDescent="0.25">
      <c r="G196" s="261" t="s">
        <v>1484</v>
      </c>
      <c r="H196" s="269" t="s">
        <v>1485</v>
      </c>
      <c r="I196" s="269" t="s">
        <v>1486</v>
      </c>
      <c r="J196" s="269" t="s">
        <v>1487</v>
      </c>
      <c r="K196" s="269" t="s">
        <v>1488</v>
      </c>
      <c r="L196" s="269" t="s">
        <v>2697</v>
      </c>
      <c r="M196" s="262" t="s">
        <v>1072</v>
      </c>
    </row>
    <row r="197" spans="1:16" x14ac:dyDescent="0.25">
      <c r="G197" s="261" t="s">
        <v>1489</v>
      </c>
      <c r="H197" s="269" t="s">
        <v>1490</v>
      </c>
      <c r="I197" s="269" t="s">
        <v>1491</v>
      </c>
      <c r="J197" s="269" t="s">
        <v>1492</v>
      </c>
      <c r="K197" s="269" t="s">
        <v>1493</v>
      </c>
      <c r="L197" s="269" t="s">
        <v>2697</v>
      </c>
      <c r="M197" s="262" t="s">
        <v>1072</v>
      </c>
    </row>
    <row r="198" spans="1:16" x14ac:dyDescent="0.25">
      <c r="G198" s="261" t="s">
        <v>1494</v>
      </c>
      <c r="H198" s="269" t="s">
        <v>1495</v>
      </c>
      <c r="I198" s="269" t="s">
        <v>1496</v>
      </c>
      <c r="J198" s="269" t="s">
        <v>1497</v>
      </c>
      <c r="K198" s="269" t="s">
        <v>1498</v>
      </c>
      <c r="L198" s="269" t="s">
        <v>2697</v>
      </c>
      <c r="M198" s="262" t="s">
        <v>1072</v>
      </c>
    </row>
    <row r="199" spans="1:16" x14ac:dyDescent="0.25">
      <c r="G199" s="261" t="s">
        <v>1499</v>
      </c>
      <c r="H199" s="269" t="s">
        <v>1500</v>
      </c>
      <c r="I199" s="269" t="s">
        <v>1501</v>
      </c>
      <c r="J199" s="269" t="s">
        <v>1502</v>
      </c>
      <c r="K199" s="269" t="s">
        <v>1503</v>
      </c>
      <c r="L199" s="269" t="s">
        <v>2697</v>
      </c>
      <c r="M199" s="262" t="s">
        <v>1072</v>
      </c>
    </row>
    <row r="200" spans="1:16" x14ac:dyDescent="0.25">
      <c r="G200" s="261" t="s">
        <v>1504</v>
      </c>
      <c r="H200" s="269" t="s">
        <v>1505</v>
      </c>
      <c r="I200" s="269" t="s">
        <v>1506</v>
      </c>
      <c r="J200" s="269" t="s">
        <v>1507</v>
      </c>
      <c r="K200" s="269" t="s">
        <v>1508</v>
      </c>
      <c r="L200" s="269" t="s">
        <v>2697</v>
      </c>
      <c r="M200" s="262" t="s">
        <v>1072</v>
      </c>
    </row>
    <row r="201" spans="1:16" x14ac:dyDescent="0.25">
      <c r="G201" s="261" t="s">
        <v>1509</v>
      </c>
      <c r="H201" s="269" t="s">
        <v>1510</v>
      </c>
      <c r="I201" s="269" t="s">
        <v>1511</v>
      </c>
      <c r="J201" s="269" t="s">
        <v>1512</v>
      </c>
      <c r="K201" s="269" t="s">
        <v>1513</v>
      </c>
      <c r="L201" s="269" t="s">
        <v>2697</v>
      </c>
      <c r="M201" s="262" t="s">
        <v>1072</v>
      </c>
    </row>
    <row r="202" spans="1:16" x14ac:dyDescent="0.25">
      <c r="G202" s="261" t="s">
        <v>1514</v>
      </c>
      <c r="H202" s="269" t="s">
        <v>1515</v>
      </c>
      <c r="I202" s="269" t="s">
        <v>1516</v>
      </c>
      <c r="J202" s="269" t="s">
        <v>1517</v>
      </c>
      <c r="K202" s="269" t="s">
        <v>1518</v>
      </c>
      <c r="L202" s="269" t="s">
        <v>2697</v>
      </c>
      <c r="M202" s="270" t="s">
        <v>1082</v>
      </c>
    </row>
    <row r="203" spans="1:16" ht="13.2" x14ac:dyDescent="0.25">
      <c r="G203" s="261" t="s">
        <v>1519</v>
      </c>
      <c r="H203" s="269" t="s">
        <v>1520</v>
      </c>
      <c r="I203" s="269" t="s">
        <v>1521</v>
      </c>
      <c r="J203" s="269"/>
      <c r="K203" s="269"/>
      <c r="L203" s="269" t="s">
        <v>2697</v>
      </c>
      <c r="M203" s="270" t="s">
        <v>1082</v>
      </c>
      <c r="O203" s="316"/>
      <c r="P203" s="316"/>
    </row>
    <row r="204" spans="1:16" ht="13.2" x14ac:dyDescent="0.25">
      <c r="G204" s="263" t="s">
        <v>1522</v>
      </c>
      <c r="H204" s="265" t="s">
        <v>1523</v>
      </c>
      <c r="I204" s="265" t="s">
        <v>1524</v>
      </c>
      <c r="J204" s="265" t="s">
        <v>1525</v>
      </c>
      <c r="K204" s="265" t="s">
        <v>1526</v>
      </c>
      <c r="L204" s="265" t="s">
        <v>2697</v>
      </c>
      <c r="M204" s="271" t="s">
        <v>1111</v>
      </c>
      <c r="O204" s="316"/>
      <c r="P204" s="316"/>
    </row>
    <row r="205" spans="1:16" s="316" customFormat="1" ht="13.2" x14ac:dyDescent="0.25">
      <c r="A205" s="121"/>
      <c r="B205" s="121"/>
      <c r="C205" s="121"/>
      <c r="D205" s="121"/>
      <c r="E205" s="121"/>
    </row>
    <row r="206" spans="1:16" s="316" customFormat="1" ht="13.2" x14ac:dyDescent="0.25">
      <c r="A206" s="121"/>
      <c r="B206" s="121"/>
      <c r="C206" s="121"/>
      <c r="D206" s="121"/>
      <c r="E206" s="121"/>
    </row>
    <row r="207" spans="1:16" s="316" customFormat="1" ht="13.2" x14ac:dyDescent="0.25">
      <c r="A207" s="121"/>
      <c r="B207" s="121"/>
      <c r="C207" s="121"/>
      <c r="D207" s="121"/>
      <c r="E207" s="121"/>
    </row>
    <row r="208" spans="1:16" s="316" customFormat="1" ht="13.2" x14ac:dyDescent="0.25">
      <c r="A208" s="121"/>
      <c r="B208" s="121"/>
      <c r="C208" s="121"/>
      <c r="D208" s="121"/>
      <c r="E208" s="121"/>
    </row>
    <row r="209" spans="1:5" s="316" customFormat="1" ht="13.2" x14ac:dyDescent="0.25">
      <c r="A209" s="121"/>
      <c r="B209" s="121"/>
      <c r="C209" s="121"/>
      <c r="D209" s="121"/>
      <c r="E209" s="121"/>
    </row>
    <row r="210" spans="1:5" s="316" customFormat="1" ht="13.2" x14ac:dyDescent="0.25">
      <c r="A210" s="121"/>
      <c r="B210" s="121"/>
      <c r="C210" s="121"/>
      <c r="D210" s="121"/>
      <c r="E210" s="121"/>
    </row>
    <row r="211" spans="1:5" s="316" customFormat="1" ht="13.2" x14ac:dyDescent="0.25"/>
    <row r="212" spans="1:5" s="316" customFormat="1" ht="13.2" x14ac:dyDescent="0.25"/>
    <row r="213" spans="1:5" s="316" customFormat="1" ht="13.2" x14ac:dyDescent="0.25"/>
    <row r="214" spans="1:5" s="316" customFormat="1" ht="13.2" x14ac:dyDescent="0.25"/>
    <row r="215" spans="1:5" s="316" customFormat="1" ht="13.2" x14ac:dyDescent="0.25"/>
    <row r="216" spans="1:5" s="316" customFormat="1" ht="13.2" x14ac:dyDescent="0.25"/>
    <row r="217" spans="1:5" s="316" customFormat="1" ht="13.2" x14ac:dyDescent="0.25"/>
    <row r="218" spans="1:5" s="316" customFormat="1" ht="13.2" x14ac:dyDescent="0.25"/>
    <row r="219" spans="1:5" s="316" customFormat="1" ht="13.2" x14ac:dyDescent="0.25"/>
    <row r="220" spans="1:5" s="316" customFormat="1" ht="13.2" x14ac:dyDescent="0.25"/>
    <row r="221" spans="1:5" s="316" customFormat="1" ht="13.2" x14ac:dyDescent="0.25"/>
    <row r="222" spans="1:5" s="316" customFormat="1" ht="13.2" x14ac:dyDescent="0.25"/>
    <row r="223" spans="1:5" s="316" customFormat="1" ht="13.2" x14ac:dyDescent="0.25"/>
    <row r="224" spans="1:5" s="316" customFormat="1" ht="13.2" x14ac:dyDescent="0.25"/>
    <row r="225" spans="1:16" s="316" customFormat="1" ht="13.2" x14ac:dyDescent="0.25"/>
    <row r="226" spans="1:16" s="316" customFormat="1" ht="13.2" x14ac:dyDescent="0.25"/>
    <row r="227" spans="1:16" s="316" customFormat="1" ht="13.2" x14ac:dyDescent="0.25"/>
    <row r="228" spans="1:16" s="316" customFormat="1" ht="13.2" x14ac:dyDescent="0.25"/>
    <row r="229" spans="1:16" s="316" customFormat="1" ht="13.2" x14ac:dyDescent="0.25"/>
    <row r="230" spans="1:16" s="316" customFormat="1" ht="13.2" x14ac:dyDescent="0.25"/>
    <row r="231" spans="1:16" s="316" customFormat="1" ht="13.2" x14ac:dyDescent="0.25"/>
    <row r="232" spans="1:16" s="316" customFormat="1" ht="13.2" x14ac:dyDescent="0.25"/>
    <row r="233" spans="1:16" s="316" customFormat="1" ht="13.2" x14ac:dyDescent="0.25"/>
    <row r="234" spans="1:16" s="316" customFormat="1" ht="13.2" x14ac:dyDescent="0.25"/>
    <row r="235" spans="1:16" s="316" customFormat="1" ht="13.2" x14ac:dyDescent="0.25"/>
    <row r="236" spans="1:16" s="316" customFormat="1" ht="13.2" x14ac:dyDescent="0.25"/>
    <row r="237" spans="1:16" s="316" customFormat="1" ht="13.2" x14ac:dyDescent="0.25"/>
    <row r="238" spans="1:16" s="316" customFormat="1" ht="13.2" x14ac:dyDescent="0.25">
      <c r="O238" s="121"/>
      <c r="P238" s="121"/>
    </row>
    <row r="239" spans="1:16" s="316" customFormat="1" ht="13.2" x14ac:dyDescent="0.25">
      <c r="O239" s="121"/>
      <c r="P239" s="121"/>
    </row>
    <row r="240" spans="1:16" ht="13.2" x14ac:dyDescent="0.25">
      <c r="A240" s="316"/>
      <c r="B240" s="316"/>
      <c r="C240" s="316"/>
      <c r="D240" s="316"/>
      <c r="E240" s="316"/>
    </row>
    <row r="241" spans="1:5" ht="13.2" x14ac:dyDescent="0.25">
      <c r="A241" s="316"/>
      <c r="B241" s="316"/>
      <c r="C241" s="316"/>
      <c r="D241" s="316"/>
      <c r="E241" s="316"/>
    </row>
    <row r="242" spans="1:5" ht="13.2" x14ac:dyDescent="0.25">
      <c r="A242" s="316"/>
      <c r="B242" s="316"/>
      <c r="C242" s="316"/>
      <c r="D242" s="316"/>
      <c r="E242" s="316"/>
    </row>
    <row r="243" spans="1:5" ht="13.2" x14ac:dyDescent="0.25">
      <c r="A243" s="316"/>
      <c r="B243" s="316"/>
      <c r="C243" s="316"/>
      <c r="D243" s="316"/>
      <c r="E243" s="316"/>
    </row>
    <row r="244" spans="1:5" ht="13.2" x14ac:dyDescent="0.25">
      <c r="A244" s="316"/>
      <c r="B244" s="316"/>
      <c r="C244" s="316"/>
      <c r="D244" s="316"/>
      <c r="E244" s="316"/>
    </row>
    <row r="245" spans="1:5" ht="13.2" x14ac:dyDescent="0.25">
      <c r="A245" s="316"/>
      <c r="B245" s="316"/>
      <c r="C245" s="316"/>
      <c r="D245" s="316"/>
      <c r="E245" s="316"/>
    </row>
  </sheetData>
  <sheetProtection algorithmName="SHA-512" hashValue="wuFxzXtQQc8ZrTrmKsG7TQ1MxLaKgYgyf0zf1hyXxCJSXfK75NjhlnYpBXA3U2fl+Z0n6Iaxgwz2fXccs6Qo+g==" saltValue="ZfEBlUtCrQaODnT1QKwcHg==" spinCount="100000" sheet="1" objects="1" scenarios="1" formatCells="0" autoFilter="0"/>
  <autoFilter ref="G2:M204" xr:uid="{D8D4BE88-25E7-4285-8DE0-704A780E3A81}"/>
  <mergeCells count="24">
    <mergeCell ref="A1:D1"/>
    <mergeCell ref="R120:S120"/>
    <mergeCell ref="O50:P50"/>
    <mergeCell ref="G1:K1"/>
    <mergeCell ref="R112:S112"/>
    <mergeCell ref="O1:P1"/>
    <mergeCell ref="O65:P65"/>
    <mergeCell ref="O86:P86"/>
    <mergeCell ref="Y1:AA1"/>
    <mergeCell ref="Y2:AA2"/>
    <mergeCell ref="O147:P147"/>
    <mergeCell ref="O141:P141"/>
    <mergeCell ref="O114:P114"/>
    <mergeCell ref="O123:P123"/>
    <mergeCell ref="O133:P133"/>
    <mergeCell ref="O102:P102"/>
    <mergeCell ref="R1:V1"/>
    <mergeCell ref="R15:V15"/>
    <mergeCell ref="R95:S95"/>
    <mergeCell ref="R32:T32"/>
    <mergeCell ref="R42:S42"/>
    <mergeCell ref="R53:S53"/>
    <mergeCell ref="R69:S69"/>
    <mergeCell ref="R79:S79"/>
  </mergeCells>
  <pageMargins left="0.7" right="0.7" top="0.75" bottom="0.75" header="0.3" footer="0.3"/>
  <pageSetup paperSize="9" orientation="portrait" verticalDpi="0" r:id="rId1"/>
  <ignoredErrors>
    <ignoredError sqref="T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H118"/>
  <sheetViews>
    <sheetView zoomScaleNormal="100" workbookViewId="0">
      <pane ySplit="10" topLeftCell="A11" activePane="bottomLeft" state="frozen"/>
      <selection activeCell="C43" sqref="C43"/>
      <selection pane="bottomLeft" sqref="A1:H1"/>
    </sheetView>
  </sheetViews>
  <sheetFormatPr defaultColWidth="5.88671875" defaultRowHeight="12" x14ac:dyDescent="0.25"/>
  <cols>
    <col min="1" max="1" width="6.6640625" style="110" customWidth="1"/>
    <col min="2" max="2" width="9.44140625" style="110" customWidth="1"/>
    <col min="3" max="3" width="7.109375" style="110" customWidth="1"/>
    <col min="4" max="4" width="13.33203125" style="110" customWidth="1"/>
    <col min="5" max="5" width="20.6640625" style="110" customWidth="1"/>
    <col min="6" max="6" width="28.5546875" style="110" customWidth="1"/>
    <col min="7" max="7" width="10.88671875" style="110" bestFit="1" customWidth="1"/>
    <col min="8" max="8" width="91.88671875" style="110" bestFit="1" customWidth="1"/>
    <col min="9" max="16384" width="5.88671875" style="110"/>
  </cols>
  <sheetData>
    <row r="1" spans="1:8" ht="14.4" x14ac:dyDescent="0.25">
      <c r="A1" s="484" t="str">
        <f>VLOOKUP("G00",tblTrans3Langs[#Data],LangNameID,FALSE) &amp;" ( "&amp;Idiom&amp;" )"</f>
        <v>Instructions to complete the form ( ENG )</v>
      </c>
      <c r="B1" s="484"/>
      <c r="C1" s="484"/>
      <c r="D1" s="484"/>
      <c r="E1" s="484"/>
      <c r="F1" s="484"/>
      <c r="G1" s="484"/>
      <c r="H1" s="484"/>
    </row>
    <row r="2" spans="1:8" x14ac:dyDescent="0.25">
      <c r="A2" s="470" t="str">
        <f>VLOOKUP("G01",tblTrans3Langs[#Data],LangFieldID,FALSE)</f>
        <v>General (all form)</v>
      </c>
      <c r="B2" s="470"/>
      <c r="C2" s="470"/>
      <c r="D2" s="470"/>
      <c r="E2" s="470"/>
      <c r="F2" s="31"/>
      <c r="G2" s="32"/>
      <c r="H2" s="33"/>
    </row>
    <row r="3" spans="1:8" x14ac:dyDescent="0.25">
      <c r="A3" s="34" t="s">
        <v>1861</v>
      </c>
      <c r="B3" s="471" t="str">
        <f>VLOOKUP("G01a",tblTrans3Langs[#Data],LangNameID,FALSE)</f>
        <v>Complete as far as possible the Header and Detail sections (don't leave fields empty when information is known).</v>
      </c>
      <c r="C3" s="471"/>
      <c r="D3" s="471"/>
      <c r="E3" s="471"/>
      <c r="F3" s="471"/>
      <c r="G3" s="471"/>
      <c r="H3" s="471"/>
    </row>
    <row r="4" spans="1:8" x14ac:dyDescent="0.25">
      <c r="A4" s="34" t="s">
        <v>1862</v>
      </c>
      <c r="B4" s="471" t="str">
        <f>VLOOKUP("G01b",tblTrans3Langs[#Data],LangNameID,FALSE)</f>
        <v>In Header section, only white cells can be filled (manually or by selecting from the Combo Box the corresponding code).</v>
      </c>
      <c r="C4" s="471"/>
      <c r="D4" s="471"/>
      <c r="E4" s="471"/>
      <c r="F4" s="471"/>
      <c r="G4" s="471"/>
      <c r="H4" s="471"/>
    </row>
    <row r="5" spans="1:8" x14ac:dyDescent="0.25">
      <c r="A5" s="34" t="s">
        <v>1863</v>
      </c>
      <c r="B5" s="471" t="str">
        <f>VLOOKUP("G01c",tblTrans3Langs[#Data],LangNameID,FALSE)</f>
        <v>Always use ICCAT standard codes (when element "OTHERS" of various fields is required it must be explicitly described in "Notes").</v>
      </c>
      <c r="C5" s="471"/>
      <c r="D5" s="471"/>
      <c r="E5" s="471"/>
      <c r="F5" s="471"/>
      <c r="G5" s="471"/>
      <c r="H5" s="471"/>
    </row>
    <row r="6" spans="1:8" x14ac:dyDescent="0.25">
      <c r="A6" s="34" t="s">
        <v>1864</v>
      </c>
      <c r="B6" s="471" t="str">
        <f>VLOOKUP("G01d",tblTrans3Langs[#Data],LangNameID,FALSE)</f>
        <v>Recommendation for users with databases: To Paste an entire datatset into the Detail section (must have the same structure and format) use "Paste special (values)"</v>
      </c>
      <c r="C6" s="471"/>
      <c r="D6" s="471"/>
      <c r="E6" s="471"/>
      <c r="F6" s="471"/>
      <c r="G6" s="471"/>
      <c r="H6" s="471"/>
    </row>
    <row r="7" spans="1:8" x14ac:dyDescent="0.25">
      <c r="A7" s="34" t="s">
        <v>1865</v>
      </c>
      <c r="B7" s="471" t="str">
        <f>VLOOKUP("G01e",tblTrans3Langs[#Data],LangNameID,FALSE)</f>
        <v>Leave "blank" the fields for which you don't collect information</v>
      </c>
      <c r="C7" s="471"/>
      <c r="D7" s="471"/>
      <c r="E7" s="471"/>
      <c r="F7" s="471"/>
      <c r="G7" s="471"/>
      <c r="H7" s="471"/>
    </row>
    <row r="8" spans="1:8" x14ac:dyDescent="0.25">
      <c r="A8" s="35"/>
      <c r="B8" s="35"/>
      <c r="C8" s="36"/>
      <c r="D8" s="36"/>
      <c r="E8" s="36"/>
      <c r="F8" s="36"/>
      <c r="G8" s="30"/>
      <c r="H8" s="35"/>
    </row>
    <row r="9" spans="1:8" x14ac:dyDescent="0.25">
      <c r="A9" s="472" t="str">
        <f>VLOOKUP("S00",tblTrans3Langs[#Data],LangFieldID,FALSE)</f>
        <v>Specific (by field)</v>
      </c>
      <c r="B9" s="472"/>
      <c r="C9" s="472"/>
      <c r="D9" s="472"/>
      <c r="E9" s="472"/>
      <c r="F9" s="37"/>
      <c r="G9" s="38"/>
      <c r="H9" s="35"/>
    </row>
    <row r="10" spans="1:8" x14ac:dyDescent="0.25">
      <c r="A10" s="39" t="str">
        <f>VLOOKUP("SC01",tblTrans3Langs[#Data],LangFieldID,FALSE)</f>
        <v>Form</v>
      </c>
      <c r="B10" s="105" t="str">
        <f>VLOOKUP("SC02",tblTrans3Langs[#Data],LangFieldID,FALSE)</f>
        <v>Sub-form</v>
      </c>
      <c r="C10" s="105" t="str">
        <f>VLOOKUP("SC03",tblTrans3Langs[#Data],LangFieldID,FALSE)</f>
        <v>Part</v>
      </c>
      <c r="D10" s="105" t="str">
        <f>VLOOKUP("SC04",tblTrans3Langs[#Data],LangFieldID,FALSE)</f>
        <v>Section</v>
      </c>
      <c r="E10" s="105" t="str">
        <f>VLOOKUP("SC05",tblTrans3Langs[#Data],LangFieldID,FALSE)</f>
        <v>Sub-section</v>
      </c>
      <c r="F10" s="105" t="str">
        <f>VLOOKUP("SC06",tblTrans3Langs[#Data],LangFieldID,FALSE)</f>
        <v>Field (name)</v>
      </c>
      <c r="G10" s="94" t="str">
        <f>VLOOKUP("SC07",tblTrans3Langs[#Data],IF(Idiom="ENG",7,IF(Idiom="FRA",8,9)),FALSE)</f>
        <v>Field (format)</v>
      </c>
      <c r="H10" s="99" t="str">
        <f>VLOOKUP("SC08",tblTrans3Langs[#Data],IF(Idiom="ENG",7,IF(Idiom="FRA",8,9)),FALSE)</f>
        <v>Description</v>
      </c>
    </row>
    <row r="11" spans="1:8" x14ac:dyDescent="0.25">
      <c r="A11" s="476" t="str">
        <f>VLOOKUP("T00",tblTrans3Langs[#Data],LangFieldID,FALSE)</f>
        <v>TG02-CnvTReRc</v>
      </c>
      <c r="B11" s="473" t="str">
        <f>VLOOKUP("T02",tblTrans3Langs[#Data],LangFieldID,FALSE)</f>
        <v>Title</v>
      </c>
      <c r="C11" s="473"/>
      <c r="D11" s="473"/>
      <c r="E11" s="473"/>
      <c r="F11" s="92" t="str">
        <f>VLOOKUP("T02",tblTrans3Langs[#Data],LangFieldID,FALSE)</f>
        <v>Title</v>
      </c>
      <c r="G11" s="102" t="str">
        <f>VLOOKUP("T02",tblTrans3Langs[#Data],6,FALSE)</f>
        <v>n/a</v>
      </c>
      <c r="H11" s="222" t="str">
        <f>VLOOKUP("T02",tblTrans3Langs[#Data],LangNameID,FALSE)</f>
        <v>Form Title</v>
      </c>
    </row>
    <row r="12" spans="1:8" x14ac:dyDescent="0.25">
      <c r="A12" s="477"/>
      <c r="B12" s="473"/>
      <c r="C12" s="473"/>
      <c r="D12" s="473"/>
      <c r="E12" s="473"/>
      <c r="F12" s="92" t="str">
        <f>VLOOKUP("T03",tblTrans3Langs[#Data],LangFieldID,FALSE)</f>
        <v>Version</v>
      </c>
      <c r="G12" s="103" t="str">
        <f>VLOOKUP("T03",tblTrans3Langs[#Data],6,FALSE)</f>
        <v>(fixed)</v>
      </c>
      <c r="H12" s="223" t="str">
        <f>VLOOKUP("T03",tblTrans3Langs[#Data],LangNameID,FALSE)</f>
        <v>Always use the lastest version of this form</v>
      </c>
    </row>
    <row r="13" spans="1:8" x14ac:dyDescent="0.25">
      <c r="A13" s="477"/>
      <c r="B13" s="480" t="str">
        <f>VLOOKUP("T05",tblTrans3Langs[#Data],LangFieldID,FALSE)</f>
        <v>TG02A</v>
      </c>
      <c r="C13" s="474" t="str">
        <f>VLOOKUP("H00",tblTrans3Langs[#Data],LangFieldID,FALSE)</f>
        <v>Header</v>
      </c>
      <c r="D13" s="475" t="str">
        <f>VLOOKUP("H10",tblTrans3Langs[#Data],LangFieldID,FALSE)</f>
        <v>Tagging correspondent</v>
      </c>
      <c r="E13" s="475" t="str">
        <f>VLOOKUP("H11",tblTrans3Langs[#Data],LangFieldID,FALSE)</f>
        <v>Identification</v>
      </c>
      <c r="F13" s="92" t="str">
        <f>VLOOKUP("hName",tblTrans3Langs[#Data],LangFieldID,FALSE)</f>
        <v>Name</v>
      </c>
      <c r="G13" s="102" t="str">
        <f>VLOOKUP("hName",tblTrans3Langs[#Data],6,FALSE)</f>
        <v>string</v>
      </c>
      <c r="H13" s="222" t="str">
        <f>VLOOKUP("hName",tblTrans3Langs[#Data],LangNameID,FALSE)</f>
        <v>Name (full OR Name &amp; Surname) of the Statistical Correspondent (officially nominated by the CPC)</v>
      </c>
    </row>
    <row r="14" spans="1:8" x14ac:dyDescent="0.25">
      <c r="A14" s="477"/>
      <c r="B14" s="480"/>
      <c r="C14" s="474"/>
      <c r="D14" s="475"/>
      <c r="E14" s="475"/>
      <c r="F14" s="92" t="str">
        <f>VLOOKUP("hEmail",tblTrans3Langs[#Data],LangFieldID,FALSE)</f>
        <v>E-mail</v>
      </c>
      <c r="G14" s="95" t="str">
        <f>VLOOKUP("hEmail",tblTrans3Langs[#Data],6,FALSE)</f>
        <v>string</v>
      </c>
      <c r="H14" s="37" t="str">
        <f>VLOOKUP("hEmail",tblTrans3Langs[#Data],LangNameID,FALSE)</f>
        <v>Email address of the Statistical Correspondent.</v>
      </c>
    </row>
    <row r="15" spans="1:8" x14ac:dyDescent="0.25">
      <c r="A15" s="477"/>
      <c r="B15" s="480"/>
      <c r="C15" s="474"/>
      <c r="D15" s="475"/>
      <c r="E15" s="475"/>
      <c r="F15" s="92" t="str">
        <f>VLOOKUP("hPhone",tblTrans3Langs[#Data],LangFieldID,FALSE)</f>
        <v>Phone</v>
      </c>
      <c r="G15" s="95" t="str">
        <f>VLOOKUP("hPhone",tblTrans3Langs[#Data],6,FALSE)</f>
        <v>string</v>
      </c>
      <c r="H15" s="37" t="str">
        <f>VLOOKUP("hPhone",tblTrans3Langs[#Data],LangNameID,FALSE)</f>
        <v>Telephone number of the Statistical Correspondent</v>
      </c>
    </row>
    <row r="16" spans="1:8" x14ac:dyDescent="0.25">
      <c r="A16" s="477"/>
      <c r="B16" s="480"/>
      <c r="C16" s="474"/>
      <c r="D16" s="475"/>
      <c r="E16" s="475" t="str">
        <f>VLOOKUP("H12",tblTrans3Langs[#Data],LangFieldID,FALSE)</f>
        <v>Affiliation</v>
      </c>
      <c r="F16" s="92" t="str">
        <f>VLOOKUP("hInstit",tblTrans3Langs[#Data],LangFieldID,FALSE)</f>
        <v>Institution</v>
      </c>
      <c r="G16" s="95" t="str">
        <f>VLOOKUP("hInstit",tblTrans3Langs[#Data],6,FALSE)</f>
        <v>string</v>
      </c>
      <c r="H16" s="37" t="str">
        <f>VLOOKUP("hInstit",tblTrans3Langs[#Data],LangNameID,FALSE)</f>
        <v>Institute (ministry, agency, research Institute, etc.) to which the statistical Correspondent is affiliated</v>
      </c>
    </row>
    <row r="17" spans="1:8" x14ac:dyDescent="0.25">
      <c r="A17" s="477"/>
      <c r="B17" s="480"/>
      <c r="C17" s="474"/>
      <c r="D17" s="475"/>
      <c r="E17" s="475"/>
      <c r="F17" s="92" t="str">
        <f>VLOOKUP("hDepart",tblTrans3Langs[#Data],LangFieldID,FALSE)</f>
        <v>Department</v>
      </c>
      <c r="G17" s="95" t="str">
        <f>VLOOKUP("hDepart",tblTrans3Langs[#Data],6,FALSE)</f>
        <v>string</v>
      </c>
      <c r="H17" s="37" t="str">
        <f>VLOOKUP("hDepart",tblTrans3Langs[#Data],LangNameID,FALSE)</f>
        <v>Department within the Institution, where applicable</v>
      </c>
    </row>
    <row r="18" spans="1:8" x14ac:dyDescent="0.25">
      <c r="A18" s="477"/>
      <c r="B18" s="480"/>
      <c r="C18" s="474"/>
      <c r="D18" s="475"/>
      <c r="E18" s="475"/>
      <c r="F18" s="92" t="str">
        <f>VLOOKUP("hAddress",tblTrans3Langs[#Data],LangFieldID,FALSE)</f>
        <v>Address</v>
      </c>
      <c r="G18" s="95" t="str">
        <f>VLOOKUP("hAddress",tblTrans3Langs[#Data],6,FALSE)</f>
        <v>string</v>
      </c>
      <c r="H18" s="37" t="str">
        <f>VLOOKUP("hAddress",tblTrans3Langs[#Data],LangNameID,FALSE)</f>
        <v>Postal address of the institution (street, number, city, state)</v>
      </c>
    </row>
    <row r="19" spans="1:8" x14ac:dyDescent="0.25">
      <c r="A19" s="477"/>
      <c r="B19" s="480"/>
      <c r="C19" s="474"/>
      <c r="D19" s="475"/>
      <c r="E19" s="475"/>
      <c r="F19" s="92" t="str">
        <f>VLOOKUP("hCountry",tblTrans3Langs[#Data],LangFieldID,FALSE)</f>
        <v>Country</v>
      </c>
      <c r="G19" s="95" t="str">
        <f>VLOOKUP("hCountry",tblTrans3Langs[#Data],6,FALSE)</f>
        <v>ICCAT code</v>
      </c>
      <c r="H19" s="37" t="str">
        <f>VLOOKUP("hCountry",tblTrans3Langs[#Data],LangNameID,FALSE)</f>
        <v>Country in which the Institution is based.</v>
      </c>
    </row>
    <row r="20" spans="1:8" x14ac:dyDescent="0.25">
      <c r="A20" s="477"/>
      <c r="B20" s="480"/>
      <c r="C20" s="474"/>
      <c r="D20" s="475" t="str">
        <f>VLOOKUP("H20",tblTrans3Langs[#Data],LangFieldID,FALSE)</f>
        <v>Secretariat use only</v>
      </c>
      <c r="E20" s="475"/>
      <c r="F20" s="93" t="str">
        <f>VLOOKUP("hDaterep",tblTrans3Langs[#Data],LangFieldID,FALSE)</f>
        <v>Date reported</v>
      </c>
      <c r="G20" s="96" t="str">
        <f>VLOOKUP("hDaterep",tblTrans3Langs[#Data],6,FALSE)</f>
        <v>date</v>
      </c>
      <c r="H20" s="37" t="str">
        <f>VLOOKUP("hDaterep",tblTrans3Langs[#Data],LangNameID,FALSE)</f>
        <v>Secretariat use only</v>
      </c>
    </row>
    <row r="21" spans="1:8" x14ac:dyDescent="0.25">
      <c r="A21" s="477"/>
      <c r="B21" s="480"/>
      <c r="C21" s="474"/>
      <c r="D21" s="475"/>
      <c r="E21" s="475"/>
      <c r="F21" s="93" t="str">
        <f>VLOOKUP("hRef",tblTrans3Langs[#Data],LangFieldID,FALSE)</f>
        <v>Reference Nº</v>
      </c>
      <c r="G21" s="96" t="str">
        <f>VLOOKUP("hRef",tblTrans3Langs[#Data],6,FALSE)</f>
        <v>ICCAT code</v>
      </c>
      <c r="H21" s="37" t="str">
        <f>VLOOKUP("hRef",tblTrans3Langs[#Data],LangNameID,FALSE)</f>
        <v>Secretariat use only</v>
      </c>
    </row>
    <row r="22" spans="1:8" x14ac:dyDescent="0.25">
      <c r="A22" s="477"/>
      <c r="B22" s="480"/>
      <c r="C22" s="474"/>
      <c r="D22" s="475"/>
      <c r="E22" s="475"/>
      <c r="F22" s="92" t="str">
        <f>VLOOKUP("hFname",tblTrans3Langs[#Data],LangFieldID,FALSE)</f>
        <v>File name (proposed)</v>
      </c>
      <c r="G22" s="95" t="str">
        <f>VLOOKUP("hFname",tblTrans3Langs[#Data],6,FALSE)</f>
        <v>string</v>
      </c>
      <c r="H22" s="37" t="str">
        <f>VLOOKUP("hFname",tblTrans3Langs[#Data],LangNameID,FALSE)</f>
        <v>Send the form to ICCAT with the proposed file name (if required, suffix it with an ID at the end)</v>
      </c>
    </row>
    <row r="23" spans="1:8" x14ac:dyDescent="0.25">
      <c r="A23" s="477"/>
      <c r="B23" s="480"/>
      <c r="C23" s="474"/>
      <c r="D23" s="475"/>
      <c r="E23" s="475"/>
      <c r="F23" s="92" t="str">
        <f>VLOOKUP("hFilter1",tblTrans3Langs[#Data],LangFieldID,FALSE)</f>
        <v>Filter 1</v>
      </c>
      <c r="G23" s="95" t="str">
        <f>VLOOKUP("hFilter1",tblTrans3Langs[#Data],6,FALSE)</f>
        <v>boolean</v>
      </c>
      <c r="H23" s="37" t="str">
        <f>VLOOKUP("hFilter1",tblTrans3Langs[#Data],LangNameID,FALSE)</f>
        <v>Secretariat use only</v>
      </c>
    </row>
    <row r="24" spans="1:8" x14ac:dyDescent="0.25">
      <c r="A24" s="477"/>
      <c r="B24" s="480"/>
      <c r="C24" s="474"/>
      <c r="D24" s="475"/>
      <c r="E24" s="475"/>
      <c r="F24" s="92" t="str">
        <f>VLOOKUP("hFilter2",tblTrans3Langs[#Data],LangFieldID,FALSE)</f>
        <v>Filter 2</v>
      </c>
      <c r="G24" s="95" t="str">
        <f>VLOOKUP("hFilter2",tblTrans3Langs[#Data],6,FALSE)</f>
        <v>boolean</v>
      </c>
      <c r="H24" s="37" t="str">
        <f>VLOOKUP("hFilter2",tblTrans3Langs[#Data],LangNameID,FALSE)</f>
        <v>Secretariat use only</v>
      </c>
    </row>
    <row r="25" spans="1:8" x14ac:dyDescent="0.25">
      <c r="A25" s="477"/>
      <c r="B25" s="480"/>
      <c r="C25" s="474"/>
      <c r="D25" s="475" t="str">
        <f>VLOOKUP("H30",tblTrans3Langs[#Data],LangFieldID,FALSE)</f>
        <v>Data set characteristics</v>
      </c>
      <c r="E25" s="475"/>
      <c r="F25" s="92" t="str">
        <f>VLOOKUP("hFlagrep",tblTrans3Langs[#Data],LangFieldID,FALSE)</f>
        <v>Reporting Flag</v>
      </c>
      <c r="G25" s="95" t="str">
        <f>VLOOKUP("hFlagrep",tblTrans3Langs[#Data],6,FALSE)</f>
        <v>ICCAT code</v>
      </c>
      <c r="H25" s="37" t="str">
        <f>VLOOKUP("hFlagrep",tblTrans3Langs[#Data],LangNameID,FALSE)</f>
        <v>Choose the Flag CPC reporting the data (ICCAT codes)</v>
      </c>
    </row>
    <row r="26" spans="1:8" x14ac:dyDescent="0.25">
      <c r="A26" s="477"/>
      <c r="B26" s="480"/>
      <c r="C26" s="474"/>
      <c r="D26" s="475"/>
      <c r="E26" s="475"/>
      <c r="F26" s="92" t="str">
        <f>VLOOKUP("hVersion",tblTrans3Langs[#Data],LangFieldID,FALSE)</f>
        <v>Version reported</v>
      </c>
      <c r="G26" s="95" t="str">
        <f>VLOOKUP("hVersion",tblTrans3Langs[#Data],6,FALSE)</f>
        <v>ICCAT code</v>
      </c>
      <c r="H26" s="37" t="str">
        <f>VLOOKUP("hVersion",tblTrans3Langs[#Data],LangNameID,FALSE)</f>
        <v>Specify if this submission is Preliminary (subject to revision) or Final (already validated)</v>
      </c>
    </row>
    <row r="27" spans="1:8" x14ac:dyDescent="0.25">
      <c r="A27" s="477"/>
      <c r="B27" s="480"/>
      <c r="C27" s="474"/>
      <c r="D27" s="475"/>
      <c r="E27" s="475"/>
      <c r="F27" s="92" t="str">
        <f>VLOOKUP("hContent",tblTrans3Langs[#Data],LangFieldID,FALSE)</f>
        <v>Content (data)</v>
      </c>
      <c r="G27" s="95" t="str">
        <f>VLOOKUP("hContent",tblTrans3Langs[#Data],6,FALSE)</f>
        <v>ICCAT code</v>
      </c>
      <c r="H27" s="37" t="str">
        <f>VLOOKUP("hContent",tblTrans3Langs[#Data],LangNameID,FALSE)</f>
        <v>Specify if the overall data content is: "new data"; "full revision"; "partial revision"</v>
      </c>
    </row>
    <row r="28" spans="1:8" x14ac:dyDescent="0.25">
      <c r="A28" s="477"/>
      <c r="B28" s="480"/>
      <c r="C28" s="474"/>
      <c r="D28" s="475" t="str">
        <f>VLOOKUP("H40",tblTrans3Langs[#Data],LangFieldID,FALSE)</f>
        <v>Other attributes</v>
      </c>
      <c r="E28" s="475"/>
      <c r="F28" s="92" t="str">
        <f>VLOOKUP("hNotes",tblTrans3Langs[#Data],LangFieldID,FALSE)</f>
        <v>Notes</v>
      </c>
      <c r="G28" s="103" t="str">
        <f>VLOOKUP("hNotes",tblTrans3Langs[#Data],6,FALSE)</f>
        <v>string</v>
      </c>
      <c r="H28" s="223" t="str">
        <f>VLOOKUP("hNotes",tblTrans3Langs[#Data],LangNameID,FALSE)</f>
        <v>Add additional (complementary) notes in respect to the overall dataset (if needed)</v>
      </c>
    </row>
    <row r="29" spans="1:8" x14ac:dyDescent="0.25">
      <c r="A29" s="477"/>
      <c r="B29" s="480"/>
      <c r="C29" s="482" t="str">
        <f>VLOOKUP("D00",tblTrans3Langs[#Data],LangFieldID,FALSE)</f>
        <v>Detail</v>
      </c>
      <c r="D29" s="485" t="str">
        <f>VLOOKUP("D01",tblTrans3Langs[#Data],LangFieldID,FALSE)</f>
        <v>Release(R)/Recovery(C): Event identifier (unique)</v>
      </c>
      <c r="E29" s="485" t="str">
        <f>VLOOKUP("D02",tblTrans3Langs[#Data],LangFieldID,FALSE)</f>
        <v>Specimen identifier (unique)</v>
      </c>
      <c r="F29" s="230" t="str">
        <f>VLOOKUP("SpecimID",tblTrans3Langs[#Data],LangFieldID,FALSE)</f>
        <v>ID</v>
      </c>
      <c r="G29" s="95" t="str">
        <f>VLOOKUP("SpecimID",tblTrans3Langs[#Data],6,FALSE)</f>
        <v>string</v>
      </c>
      <c r="H29" s="37" t="str">
        <f>VLOOKUP("SpecimID",tblTrans3Langs[#Data],LangNameID,FALSE)</f>
        <v>Specimen unique number that identifies uniquely a fish (usually 1 number per row, except in mult-released fish)</v>
      </c>
    </row>
    <row r="30" spans="1:8" x14ac:dyDescent="0.25">
      <c r="A30" s="477"/>
      <c r="B30" s="480"/>
      <c r="C30" s="480"/>
      <c r="D30" s="486"/>
      <c r="E30" s="486"/>
      <c r="F30" s="231" t="str">
        <f>VLOOKUP("SpcCd",tblTrans3Langs[#Data],LangFieldID,FALSE)</f>
        <v>Species cod.</v>
      </c>
      <c r="G30" s="95" t="str">
        <f>VLOOKUP("SpcCd",tblTrans3Langs[#Data],6,FALSE)</f>
        <v>ICCAT code</v>
      </c>
      <c r="H30" s="37" t="str">
        <f>VLOOKUP("SpcCd",tblTrans3Langs[#Data],LangNameID,FALSE)</f>
        <v>ICCAT species code</v>
      </c>
    </row>
    <row r="31" spans="1:8" x14ac:dyDescent="0.25">
      <c r="A31" s="477"/>
      <c r="B31" s="480"/>
      <c r="C31" s="480"/>
      <c r="D31" s="486"/>
      <c r="E31" s="486"/>
      <c r="F31" s="231" t="str">
        <f>VLOOKUP("SexCd",tblTrans3Langs[#Data],LangFieldID,FALSE)</f>
        <v>Sex cod.</v>
      </c>
      <c r="G31" s="95" t="str">
        <f>VLOOKUP("SexCd",tblTrans3Langs[#Data],6,FALSE)</f>
        <v>ICCAT code</v>
      </c>
      <c r="H31" s="37" t="str">
        <f>VLOOKUP("SexCd",tblTrans3Langs[#Data],LangNameID,FALSE)</f>
        <v>ICCAT sex code</v>
      </c>
    </row>
    <row r="32" spans="1:8" x14ac:dyDescent="0.25">
      <c r="A32" s="477"/>
      <c r="B32" s="480"/>
      <c r="C32" s="480"/>
      <c r="D32" s="486"/>
      <c r="E32" s="478" t="str">
        <f>VLOOKUP("D03",tblTrans3Langs[#Data],LangFieldID,FALSE)</f>
        <v>Tagging operation  (unique identifier)</v>
      </c>
      <c r="F32" s="231" t="str">
        <f>VLOOKUP("Tag1Cd",tblTrans3Langs[#Data],LangFieldID,FALSE)</f>
        <v>Tag 1</v>
      </c>
      <c r="G32" s="95" t="str">
        <f>VLOOKUP("Tag1Cd",tblTrans3Langs[#Data],6,FALSE)</f>
        <v>string</v>
      </c>
      <c r="H32" s="37" t="str">
        <f>VLOOKUP("Tag1Cd",tblTrans3Langs[#Data],LangNameID,FALSE)</f>
        <v>1st conventional Tag code. Only characters {A…Z,"-"} and 9={0…9} are allowed. Choose format</v>
      </c>
    </row>
    <row r="33" spans="1:8" x14ac:dyDescent="0.25">
      <c r="A33" s="477"/>
      <c r="B33" s="480"/>
      <c r="C33" s="480"/>
      <c r="D33" s="486"/>
      <c r="E33" s="479"/>
      <c r="F33" s="231" t="str">
        <f>VLOOKUP("Tag2Cd",tblTrans3Langs[#Data],LangFieldID,FALSE)</f>
        <v>Tag 2</v>
      </c>
      <c r="G33" s="95" t="str">
        <f>VLOOKUP("Tag2Cd",tblTrans3Langs[#Data],6,FALSE)</f>
        <v>string</v>
      </c>
      <c r="H33" s="37" t="str">
        <f>VLOOKUP("Tag2Cd",tblTrans3Langs[#Data],LangNameID,FALSE)</f>
        <v>2nd conventional Tag code. Only characters {A…Z,"-"} and 9={0…9} are allowed. Choose format if used</v>
      </c>
    </row>
    <row r="34" spans="1:8" x14ac:dyDescent="0.25">
      <c r="A34" s="477"/>
      <c r="B34" s="480"/>
      <c r="C34" s="480"/>
      <c r="D34" s="486"/>
      <c r="E34" s="479"/>
      <c r="F34" s="231" t="str">
        <f>VLOOKUP("Tag3Cd",tblTrans3Langs[#Data],LangFieldID,FALSE)</f>
        <v>Tag 3</v>
      </c>
      <c r="G34" s="95" t="str">
        <f>VLOOKUP("Tag3Cd",tblTrans3Langs[#Data],6,FALSE)</f>
        <v>string</v>
      </c>
      <c r="H34" s="37" t="str">
        <f>VLOOKUP("Tag3Cd",tblTrans3Langs[#Data],LangNameID,FALSE)</f>
        <v>3rd conventional Tag code. Only characters {A…Z,"-"} and 9={0…9} are allowed. Choose format if used</v>
      </c>
    </row>
    <row r="35" spans="1:8" x14ac:dyDescent="0.25">
      <c r="A35" s="477"/>
      <c r="B35" s="480"/>
      <c r="C35" s="480"/>
      <c r="D35" s="486"/>
      <c r="E35" s="479"/>
      <c r="F35" s="231" t="str">
        <f>VLOOKUP("Tag4Cd",tblTrans3Langs[#Data],LangFieldID,FALSE)</f>
        <v>Tag 4</v>
      </c>
      <c r="G35" s="95" t="str">
        <f>VLOOKUP("Tag4Cd",tblTrans3Langs[#Data],6,FALSE)</f>
        <v>string</v>
      </c>
      <c r="H35" s="37" t="str">
        <f>VLOOKUP("Tag4Cd",tblTrans3Langs[#Data],LangNameID,FALSE)</f>
        <v>4th conventional Tag code. Only characters {A…Z,"-"} and 9={0…9} are allowed. Choose format if used</v>
      </c>
    </row>
    <row r="36" spans="1:8" x14ac:dyDescent="0.25">
      <c r="A36" s="477"/>
      <c r="B36" s="480"/>
      <c r="C36" s="480"/>
      <c r="D36" s="478"/>
      <c r="E36" s="232"/>
      <c r="F36" s="233" t="str">
        <f>VLOOKUP("RCStageCd",tblTrans3Langs[#Data],LangFieldID,FALSE)</f>
        <v>RCStage cod.</v>
      </c>
      <c r="G36" s="95" t="str">
        <f>VLOOKUP("RCStageCd",tblTrans3Langs[#Data],6,FALSE)</f>
        <v>ICCAT code</v>
      </c>
      <c r="H36" s="37" t="str">
        <f>VLOOKUP("RCStageCd",tblTrans3Langs[#Data],LangNameID,FALSE)</f>
        <v>ICCAT standard code to specify the Release/Recovery event (see definitions on table)</v>
      </c>
    </row>
    <row r="37" spans="1:8" x14ac:dyDescent="0.25">
      <c r="A37" s="477"/>
      <c r="B37" s="480"/>
      <c r="C37" s="480"/>
      <c r="D37" s="488" t="str">
        <f>VLOOKUP("D10",tblTrans3Langs[#Data],LangFieldID,FALSE)</f>
        <v>RELEASE Information</v>
      </c>
      <c r="E37" s="487" t="str">
        <f>VLOOKUP("D11",tblTrans3Langs[#Data],LangFieldID,FALSE)</f>
        <v>Time strata</v>
      </c>
      <c r="F37" s="234" t="str">
        <f>VLOOKUP("reDate",tblTrans3Langs[#Data],LangFieldID,FALSE)</f>
        <v>Date</v>
      </c>
      <c r="G37" s="102" t="str">
        <f>VLOOKUP("reDate",tblTrans3Langs[#Data],6,FALSE)</f>
        <v>date</v>
      </c>
      <c r="H37" s="222" t="str">
        <f>VLOOKUP("reDate",tblTrans3Langs[#Data],LangNameID,FALSE)</f>
        <v>Date (unique format) of release operation</v>
      </c>
    </row>
    <row r="38" spans="1:8" x14ac:dyDescent="0.25">
      <c r="A38" s="477"/>
      <c r="B38" s="480"/>
      <c r="C38" s="480"/>
      <c r="D38" s="488"/>
      <c r="E38" s="487"/>
      <c r="F38" s="234" t="str">
        <f>VLOOKUP("reTime",tblTrans3Langs[#Data],LangFieldID,FALSE)</f>
        <v>Time (hh:mm)</v>
      </c>
      <c r="G38" s="95" t="str">
        <f>VLOOKUP("reTime",tblTrans3Langs[#Data],6,FALSE)</f>
        <v>time</v>
      </c>
      <c r="H38" s="37" t="str">
        <f>VLOOKUP("reTime",tblTrans3Langs[#Data],LangNameID,FALSE)</f>
        <v>Hour (unique format) of of release operation</v>
      </c>
    </row>
    <row r="39" spans="1:8" x14ac:dyDescent="0.25">
      <c r="A39" s="477"/>
      <c r="B39" s="480"/>
      <c r="C39" s="480"/>
      <c r="D39" s="488"/>
      <c r="E39" s="488" t="str">
        <f>VLOOKUP("D12",tblTrans3Langs[#Data],LangFieldID,FALSE)</f>
        <v>Geographical strata</v>
      </c>
      <c r="F39" s="234" t="str">
        <f>VLOOKUP("reLat",tblTrans3Langs[#Data],LangFieldID,FALSE)</f>
        <v>Latitude</v>
      </c>
      <c r="G39" s="95" t="str">
        <f>VLOOKUP("reLat",tblTrans3Langs[#Data],6,FALSE)</f>
        <v>see format</v>
      </c>
      <c r="H39" s="37" t="str">
        <f>VLOOKUP("reLat",tblTrans3Langs[#Data],LangNameID,FALSE)</f>
        <v>Latitude at which the fish was released. Choose one of the two formats available (see formats)</v>
      </c>
    </row>
    <row r="40" spans="1:8" x14ac:dyDescent="0.25">
      <c r="A40" s="477"/>
      <c r="B40" s="480"/>
      <c r="C40" s="480"/>
      <c r="D40" s="488"/>
      <c r="E40" s="488"/>
      <c r="F40" s="234" t="str">
        <f>VLOOKUP("reLon",tblTrans3Langs[#Data],LangFieldID,FALSE)</f>
        <v>Longitude</v>
      </c>
      <c r="G40" s="95" t="str">
        <f>VLOOKUP("reLon",tblTrans3Langs[#Data],6,FALSE)</f>
        <v>see format</v>
      </c>
      <c r="H40" s="37" t="str">
        <f>VLOOKUP("reLon",tblTrans3Langs[#Data],LangNameID,FALSE)</f>
        <v>Longitude at which the fish was released. Choose one of the two formats available (see formats)</v>
      </c>
    </row>
    <row r="41" spans="1:8" x14ac:dyDescent="0.25">
      <c r="A41" s="477"/>
      <c r="B41" s="480"/>
      <c r="C41" s="480"/>
      <c r="D41" s="488"/>
      <c r="E41" s="488"/>
      <c r="F41" s="234" t="str">
        <f>VLOOKUP("reArea",tblTrans3Langs[#Data],LangFieldID,FALSE)</f>
        <v>Area description (optional)</v>
      </c>
      <c r="G41" s="95" t="str">
        <f>VLOOKUP("reArea",tblTrans3Langs[#Data],6,FALSE)</f>
        <v>string</v>
      </c>
      <c r="H41" s="37" t="str">
        <f>VLOOKUP("reArea",tblTrans3Langs[#Data],LangNameID,FALSE)</f>
        <v>If no geographical coordinates (Lat/Lon) are provided, describe the geographical area of release</v>
      </c>
    </row>
    <row r="42" spans="1:8" x14ac:dyDescent="0.25">
      <c r="A42" s="477"/>
      <c r="B42" s="480"/>
      <c r="C42" s="480"/>
      <c r="D42" s="488"/>
      <c r="E42" s="489" t="str">
        <f>VLOOKUP("D13",tblTrans3Langs[#Data],LangFieldID,FALSE)</f>
        <v>Fishing operation</v>
      </c>
      <c r="F42" s="234" t="str">
        <f>VLOOKUP("reVessID",tblTrans3Langs[#Data],LangFieldID,FALSE)</f>
        <v>Vessel ID</v>
      </c>
      <c r="G42" s="95" t="str">
        <f>VLOOKUP("reVessID",tblTrans3Langs[#Data],6,FALSE)</f>
        <v>string</v>
      </c>
      <c r="H42" s="37" t="str">
        <f>VLOOKUP("reVessID",tblTrans3Langs[#Data],LangNameID,FALSE)</f>
        <v>Vessel unique number (obtained after completing table Vessels) identifying vessel used in release operation</v>
      </c>
    </row>
    <row r="43" spans="1:8" x14ac:dyDescent="0.25">
      <c r="A43" s="477"/>
      <c r="B43" s="480"/>
      <c r="C43" s="480"/>
      <c r="D43" s="488"/>
      <c r="E43" s="490"/>
      <c r="F43" s="234" t="str">
        <f>VLOOKUP("reGearCd",tblTrans3Langs[#Data],LangFieldID,FALSE)</f>
        <v>Gear cod.</v>
      </c>
      <c r="G43" s="95" t="str">
        <f>VLOOKUP("reGearCd",tblTrans3Langs[#Data],6,FALSE)</f>
        <v>ICCAT code</v>
      </c>
      <c r="H43" s="37" t="str">
        <f>VLOOKUP("reGearCd",tblTrans3Langs[#Data],LangNameID,FALSE)</f>
        <v>Gear used to catch the fish released (ICCAT Gear codes)</v>
      </c>
    </row>
    <row r="44" spans="1:8" x14ac:dyDescent="0.25">
      <c r="A44" s="477"/>
      <c r="B44" s="480"/>
      <c r="C44" s="480"/>
      <c r="D44" s="488"/>
      <c r="E44" s="490"/>
      <c r="F44" s="234" t="str">
        <f>VLOOKUP("reSchoolCd",tblTrans3Langs[#Data],LangFieldID,FALSE)</f>
        <v>School type</v>
      </c>
      <c r="G44" s="95" t="str">
        <f>VLOOKUP("reSchoolCd",tblTrans3Langs[#Data],6,FALSE)</f>
        <v>string</v>
      </c>
      <c r="H44" s="37" t="str">
        <f>VLOOKUP("reSchoolCd",tblTrans3Langs[#Data],LangNameID,FALSE)</f>
        <v>Define the fishing operation mode (FAD's, Free school, etc) during release operation</v>
      </c>
    </row>
    <row r="45" spans="1:8" x14ac:dyDescent="0.25">
      <c r="A45" s="477"/>
      <c r="B45" s="480"/>
      <c r="C45" s="480"/>
      <c r="D45" s="488"/>
      <c r="E45" s="490"/>
      <c r="F45" s="234" t="str">
        <f>VLOOKUP("reSurvAcro",tblTrans3Langs[#Data],LangFieldID,FALSE)</f>
        <v>Survey acron</v>
      </c>
      <c r="G45" s="95" t="str">
        <f>VLOOKUP("reSurvAcro",tblTrans3Langs[#Data],6,FALSE)</f>
        <v>string</v>
      </c>
      <c r="H45" s="37" t="str">
        <f>VLOOKUP("reSurvAcro",tblTrans3Langs[#Data],LangNameID,FALSE)</f>
        <v>Survey acronym associated to the release event. Leave blank if it is an opportunistic tagging</v>
      </c>
    </row>
    <row r="46" spans="1:8" x14ac:dyDescent="0.25">
      <c r="A46" s="477"/>
      <c r="B46" s="480"/>
      <c r="C46" s="480"/>
      <c r="D46" s="488"/>
      <c r="E46" s="490"/>
      <c r="F46" s="234" t="str">
        <f>VLOOKUP("reBaitCd",tblTrans3Langs[#Data],LangFieldID,FALSE)</f>
        <v>Bait cod.</v>
      </c>
      <c r="G46" s="95" t="str">
        <f>VLOOKUP("reBaitCd",tblTrans3Langs[#Data],6,FALSE)</f>
        <v>ICCAT code</v>
      </c>
      <c r="H46" s="37" t="str">
        <f>VLOOKUP("reBaitCd",tblTrans3Langs[#Data],LangNameID,FALSE)</f>
        <v>Bait used (mostly hooks &amp; lines) on catch of fish released</v>
      </c>
    </row>
    <row r="47" spans="1:8" x14ac:dyDescent="0.25">
      <c r="A47" s="477"/>
      <c r="B47" s="480"/>
      <c r="C47" s="480"/>
      <c r="D47" s="488"/>
      <c r="E47" s="491"/>
      <c r="F47" s="234" t="str">
        <f>VLOOKUP("reDeptM",tblTrans3Langs[#Data],LangFieldID,FALSE)</f>
        <v>Dept
(m)</v>
      </c>
      <c r="G47" s="95" t="str">
        <f>VLOOKUP("reDeptM",tblTrans3Langs[#Data],6,FALSE)</f>
        <v>string</v>
      </c>
      <c r="H47" s="37" t="str">
        <f>VLOOKUP("reDeptM",tblTrans3Langs[#Data],LangNameID,FALSE)</f>
        <v>Depth of the catch of the fish released (mostly hooks &amp; lines)</v>
      </c>
    </row>
    <row r="48" spans="1:8" ht="14.4" customHeight="1" x14ac:dyDescent="0.25">
      <c r="A48" s="477"/>
      <c r="B48" s="480"/>
      <c r="C48" s="480"/>
      <c r="D48" s="488"/>
      <c r="E48" s="492" t="str">
        <f>VLOOKUP("D14",tblTrans3Langs[#Data],LangFieldID,FALSE)</f>
        <v>Specimen characteristics</v>
      </c>
      <c r="F48" s="234" t="str">
        <f>VLOOKUP("D14a",tblTrans3Langs[],LangFieldID,FALSE)&amp; ": "&amp;VLOOKUP("reLenCm",tblTrans3Langs[],LangFieldID,FALSE)</f>
        <v>Length (cm): Value</v>
      </c>
      <c r="G48" s="289" t="str">
        <f>VLOOKUP("reLenCm",tblTrans3Langs[#Data],6,FALSE)</f>
        <v>string</v>
      </c>
      <c r="H48" s="290" t="str">
        <f>VLOOKUP("reLenCm",tblTrans3Langs[#Data],LangNameID,FALSE)</f>
        <v>Length of fish at release</v>
      </c>
    </row>
    <row r="49" spans="1:8" x14ac:dyDescent="0.25">
      <c r="A49" s="477"/>
      <c r="B49" s="480"/>
      <c r="C49" s="480"/>
      <c r="D49" s="488"/>
      <c r="E49" s="493"/>
      <c r="F49" s="234" t="str">
        <f>VLOOKUP("D14a",tblTrans3Langs[],LangFieldID,FALSE)&amp; ": "&amp;VLOOKUP("reLenTyCd",tblTrans3Langs[#Data],LangFieldID,FALSE)</f>
        <v>Length (cm): Type cod.</v>
      </c>
      <c r="G49" s="95" t="str">
        <f>VLOOKUP("reLenTyCd",tblTrans3Langs[#Data],6,FALSE)</f>
        <v>ICCAT code</v>
      </c>
      <c r="H49" s="37" t="str">
        <f>VLOOKUP("reLenTyCd",tblTrans3Langs[#Data],LangNameID,FALSE)</f>
        <v>Length type used for measuring the fish released (default = FL: strait fork length)</v>
      </c>
    </row>
    <row r="50" spans="1:8" x14ac:dyDescent="0.25">
      <c r="A50" s="477"/>
      <c r="B50" s="480"/>
      <c r="C50" s="480"/>
      <c r="D50" s="488"/>
      <c r="E50" s="493"/>
      <c r="F50" s="234" t="str">
        <f>VLOOKUP("D14a",tblTrans3Langs[],LangFieldID,FALSE)&amp; ": "&amp;VLOOKUP("reLenMetCd",tblTrans3Langs[#Data],LangFieldID,FALSE)</f>
        <v>Length (cm): Method cod.</v>
      </c>
      <c r="G50" s="95" t="str">
        <f>VLOOKUP("reLenMetCd",tblTrans3Langs[#Data],6,FALSE)</f>
        <v>ICCAT code</v>
      </c>
      <c r="H50" s="37" t="str">
        <f>VLOOKUP("reLenMetCd",tblTrans3Langs[#Data],LangNameID,FALSE)</f>
        <v>Method used to obtain Length at release</v>
      </c>
    </row>
    <row r="51" spans="1:8" x14ac:dyDescent="0.25">
      <c r="A51" s="477"/>
      <c r="B51" s="480"/>
      <c r="C51" s="480"/>
      <c r="D51" s="488"/>
      <c r="E51" s="493"/>
      <c r="F51" s="234" t="str">
        <f>VLOOKUP("D14b",tblTrans3Langs[],LangFieldID,FALSE)&amp; ": "&amp;VLOOKUP("reWgKg",tblTrans3Langs[#Data],LangFieldID,FALSE)</f>
        <v>Weight (kg): Value</v>
      </c>
      <c r="G51" s="95" t="str">
        <f>VLOOKUP("reWgKg",tblTrans3Langs[#Data],6,FALSE)</f>
        <v>string</v>
      </c>
      <c r="H51" s="37" t="str">
        <f>VLOOKUP("reWgKg",tblTrans3Langs[#Data],LangNameID,FALSE)</f>
        <v>Weight at release</v>
      </c>
    </row>
    <row r="52" spans="1:8" x14ac:dyDescent="0.25">
      <c r="A52" s="477"/>
      <c r="B52" s="480"/>
      <c r="C52" s="480"/>
      <c r="D52" s="488"/>
      <c r="E52" s="493"/>
      <c r="F52" s="234" t="str">
        <f>VLOOKUP("D14b",tblTrans3Langs[],LangFieldID,FALSE)&amp; ": "&amp;VLOOKUP("reWgTyCd",tblTrans3Langs[#Data],LangFieldID,FALSE)</f>
        <v>Weight (kg): Type cod.</v>
      </c>
      <c r="G52" s="95" t="str">
        <f>VLOOKUP("reWgTyCd",tblTrans3Langs[#Data],6,FALSE)</f>
        <v>ICCAT code</v>
      </c>
      <c r="H52" s="37" t="str">
        <f>VLOOKUP("reWgTyCd",tblTrans3Langs[#Data],LangNameID,FALSE)</f>
        <v>Weight type used for measuring the fish released (default = RD: round weight)</v>
      </c>
    </row>
    <row r="53" spans="1:8" x14ac:dyDescent="0.25">
      <c r="A53" s="477"/>
      <c r="B53" s="480"/>
      <c r="C53" s="480"/>
      <c r="D53" s="488"/>
      <c r="E53" s="493"/>
      <c r="F53" s="234" t="str">
        <f>VLOOKUP("D14c",tblTrans3Langs[],LangFieldID,FALSE)&amp; ": "&amp; VLOOKUP("reWgMetCd",tblTrans3Langs[#Data],LangFieldID,FALSE)</f>
        <v>Fish condition (injuries): Method cod.</v>
      </c>
      <c r="G53" s="95" t="str">
        <f>VLOOKUP("reWgMetCd",tblTrans3Langs[#Data],6,FALSE)</f>
        <v>ICCAT code</v>
      </c>
      <c r="H53" s="37" t="str">
        <f>VLOOKUP("reWgMetCd",tblTrans3Langs[#Data],LangNameID,FALSE)</f>
        <v>Method used to obtain Weight at release</v>
      </c>
    </row>
    <row r="54" spans="1:8" x14ac:dyDescent="0.25">
      <c r="A54" s="477"/>
      <c r="B54" s="480"/>
      <c r="C54" s="480"/>
      <c r="D54" s="488"/>
      <c r="E54" s="493"/>
      <c r="F54" s="234" t="str">
        <f>VLOOKUP("D14c",tblTrans3Langs[],LangFieldID,FALSE)&amp; ": "&amp;VLOOKUP("reFcGl",tblTrans3Langs[#Data],LangFieldID,FALSE)</f>
        <v>Fish condition (injuries): global</v>
      </c>
      <c r="G54" s="95" t="str">
        <f>VLOOKUP("reFcGl",tblTrans3Langs[#Data],6,FALSE)</f>
        <v>string</v>
      </c>
      <c r="H54" s="37" t="str">
        <f>VLOOKUP("reFcGl",tblTrans3Langs[#Data],LangNameID,FALSE)</f>
        <v>Global (overall) condition of fish at release (ICCAT Injury scale codes)</v>
      </c>
    </row>
    <row r="55" spans="1:8" x14ac:dyDescent="0.25">
      <c r="A55" s="477"/>
      <c r="B55" s="480"/>
      <c r="C55" s="480"/>
      <c r="D55" s="488"/>
      <c r="E55" s="493"/>
      <c r="F55" s="234" t="str">
        <f>VLOOKUP("D14c",tblTrans3Langs[],LangFieldID,FALSE)&amp; ": "&amp;VLOOKUP("reFcHe",tblTrans3Langs[#Data],LangFieldID,FALSE)</f>
        <v>Fish condition (injuries): head</v>
      </c>
      <c r="G55" s="95" t="str">
        <f>VLOOKUP("reFcHe",tblTrans3Langs[#Data],6,FALSE)</f>
        <v>string</v>
      </c>
      <c r="H55" s="37" t="str">
        <f>VLOOKUP("reFcHe",tblTrans3Langs[#Data],LangNameID,FALSE)</f>
        <v>Head state/condition of fish at release (ICCAT Injury scale codes)</v>
      </c>
    </row>
    <row r="56" spans="1:8" x14ac:dyDescent="0.25">
      <c r="A56" s="477"/>
      <c r="B56" s="480"/>
      <c r="C56" s="480"/>
      <c r="D56" s="488"/>
      <c r="E56" s="493"/>
      <c r="F56" s="234" t="str">
        <f>VLOOKUP("D14c",tblTrans3Langs[],LangFieldID,FALSE)&amp; ": "&amp;VLOOKUP("reFcMo",tblTrans3Langs[#Data],LangFieldID,FALSE)</f>
        <v>Fish condition (injuries): mouth</v>
      </c>
      <c r="G56" s="95" t="str">
        <f>VLOOKUP("reFcMo",tblTrans3Langs[#Data],6,FALSE)</f>
        <v>string</v>
      </c>
      <c r="H56" s="37" t="str">
        <f>VLOOKUP("reFcMo",tblTrans3Langs[#Data],LangNameID,FALSE)</f>
        <v>Mouth state/condition of fish at release (ICCAT Injury scale codes)</v>
      </c>
    </row>
    <row r="57" spans="1:8" x14ac:dyDescent="0.25">
      <c r="A57" s="477"/>
      <c r="B57" s="480"/>
      <c r="C57" s="480"/>
      <c r="D57" s="488"/>
      <c r="E57" s="493"/>
      <c r="F57" s="234" t="str">
        <f>VLOOKUP("D14c",tblTrans3Langs[],LangFieldID,FALSE)&amp; ": "&amp;VLOOKUP("reFcEy",tblTrans3Langs[#Data],LangFieldID,FALSE)</f>
        <v>Fish condition (injuries): eyes</v>
      </c>
      <c r="G57" s="95" t="str">
        <f>VLOOKUP("reFcEy",tblTrans3Langs[#Data],6,FALSE)</f>
        <v>string</v>
      </c>
      <c r="H57" s="37" t="str">
        <f>VLOOKUP("reFcEy",tblTrans3Langs[#Data],LangNameID,FALSE)</f>
        <v>Eyes state/condition of fish at release (ICCAT Injury scale codes)</v>
      </c>
    </row>
    <row r="58" spans="1:8" x14ac:dyDescent="0.25">
      <c r="A58" s="477"/>
      <c r="B58" s="480"/>
      <c r="C58" s="480"/>
      <c r="D58" s="488"/>
      <c r="E58" s="493"/>
      <c r="F58" s="234" t="str">
        <f>VLOOKUP("D14c",tblTrans3Langs[],LangFieldID,FALSE)&amp; ": "&amp;VLOOKUP("reFcSk",tblTrans3Langs[#Data],LangFieldID,FALSE)</f>
        <v>Fish condition (injuries): skin</v>
      </c>
      <c r="G58" s="95" t="str">
        <f>VLOOKUP("reFcSk",tblTrans3Langs[#Data],6,FALSE)</f>
        <v>string</v>
      </c>
      <c r="H58" s="37" t="str">
        <f>VLOOKUP("reFcSk",tblTrans3Langs[#Data],LangNameID,FALSE)</f>
        <v>Skin state/condition of fish at release (ICCAT Injury scale codes)</v>
      </c>
    </row>
    <row r="59" spans="1:8" x14ac:dyDescent="0.25">
      <c r="A59" s="477"/>
      <c r="B59" s="480"/>
      <c r="C59" s="480"/>
      <c r="D59" s="488"/>
      <c r="E59" s="493"/>
      <c r="F59" s="234" t="str">
        <f>VLOOKUP("D14c",tblTrans3Langs[],LangFieldID,FALSE)&amp; ": "&amp;VLOOKUP("reFcFi",tblTrans3Langs[#Data],LangFieldID,FALSE)</f>
        <v>Fish condition (injuries): fins</v>
      </c>
      <c r="G59" s="95" t="str">
        <f>VLOOKUP("reFcFi",tblTrans3Langs[#Data],6,FALSE)</f>
        <v>string</v>
      </c>
      <c r="H59" s="37" t="str">
        <f>VLOOKUP("reFcFi",tblTrans3Langs[#Data],LangNameID,FALSE)</f>
        <v>Fins state/condition of fish at release (ICCAT Injury scale codes)</v>
      </c>
    </row>
    <row r="60" spans="1:8" x14ac:dyDescent="0.25">
      <c r="A60" s="477"/>
      <c r="B60" s="480"/>
      <c r="C60" s="480"/>
      <c r="D60" s="488"/>
      <c r="E60" s="494"/>
      <c r="F60" s="234" t="str">
        <f>VLOOKUP("D14c",tblTrans3Langs[],LangFieldID,FALSE)&amp; ": "&amp;VLOOKUP("reFcBo",tblTrans3Langs[#Data],LangFieldID,FALSE)</f>
        <v>Fish condition (injuries): body</v>
      </c>
      <c r="G60" s="95" t="str">
        <f>VLOOKUP("reFcBo",tblTrans3Langs[#Data],6,FALSE)</f>
        <v>string</v>
      </c>
      <c r="H60" s="37" t="str">
        <f>VLOOKUP("reFcBo",tblTrans3Langs[#Data],LangNameID,FALSE)</f>
        <v>Body state/condition of fish at release (ICCAT Injury scale codes)</v>
      </c>
    </row>
    <row r="61" spans="1:8" x14ac:dyDescent="0.25">
      <c r="A61" s="477"/>
      <c r="B61" s="480"/>
      <c r="C61" s="480"/>
      <c r="D61" s="488"/>
      <c r="E61" s="497" t="str">
        <f>VLOOKUP("D15",tblTrans3Langs[#Data],LangFieldID,FALSE)</f>
        <v>Environment</v>
      </c>
      <c r="F61" s="234" t="str">
        <f>VLOOKUP("reSST",tblTrans3Langs[#Data],LangFieldID,FALSE)</f>
        <v>SST
(°C)</v>
      </c>
      <c r="G61" s="95" t="str">
        <f>VLOOKUP("reSST",tblTrans3Langs[#Data],6,FALSE)</f>
        <v>string</v>
      </c>
      <c r="H61" s="37" t="str">
        <f>VLOOKUP("reSST",tblTrans3Langs[#Data],LangNameID,FALSE)</f>
        <v>Sea surface temperature (degrees Celsius) at release</v>
      </c>
    </row>
    <row r="62" spans="1:8" x14ac:dyDescent="0.25">
      <c r="A62" s="477"/>
      <c r="B62" s="480"/>
      <c r="C62" s="480"/>
      <c r="D62" s="488"/>
      <c r="E62" s="497"/>
      <c r="F62" s="234" t="str">
        <f>VLOOKUP("reEnvStateCd",tblTrans3Langs[#Data],LangFieldID,FALSE)</f>
        <v>State
(douglas)</v>
      </c>
      <c r="G62" s="95" t="str">
        <f>VLOOKUP("reEnvStateCd",tblTrans3Langs[#Data],6,FALSE)</f>
        <v>string</v>
      </c>
      <c r="H62" s="37" t="str">
        <f>VLOOKUP("reEnvStateCd",tblTrans3Langs[#Data],LangNameID,FALSE)</f>
        <v>Sea state at release (Douglas scale)</v>
      </c>
    </row>
    <row r="63" spans="1:8" x14ac:dyDescent="0.25">
      <c r="A63" s="477"/>
      <c r="B63" s="480"/>
      <c r="C63" s="480"/>
      <c r="D63" s="488"/>
      <c r="E63" s="497"/>
      <c r="F63" s="234" t="str">
        <f>VLOOKUP("reWSpeed",tblTrans3Langs[#Data],LangFieldID,FALSE)</f>
        <v>Speed
(beauford)</v>
      </c>
      <c r="G63" s="95" t="str">
        <f>VLOOKUP("reWSpeed",tblTrans3Langs[#Data],6,FALSE)</f>
        <v>string</v>
      </c>
      <c r="H63" s="37" t="str">
        <f>VLOOKUP("reWSpeed",tblTrans3Langs[#Data],LangNameID,FALSE)</f>
        <v>Wind speed at release (Beauford scale)</v>
      </c>
    </row>
    <row r="64" spans="1:8" x14ac:dyDescent="0.25">
      <c r="A64" s="477"/>
      <c r="B64" s="480"/>
      <c r="C64" s="480"/>
      <c r="D64" s="488"/>
      <c r="E64" s="497"/>
      <c r="F64" s="234" t="str">
        <f>VLOOKUP("reSkyCov",tblTrans3Langs[#Data],LangFieldID,FALSE)</f>
        <v>Coverage
(scale/%)</v>
      </c>
      <c r="G64" s="95" t="str">
        <f>VLOOKUP("reSkyCov",tblTrans3Langs[#Data],6,FALSE)</f>
        <v>string</v>
      </c>
      <c r="H64" s="37" t="str">
        <f>VLOOKUP("reSkyCov",tblTrans3Langs[#Data],LangNameID,FALSE)</f>
        <v>Sky coverage at release (choose from standard scale or put a % from 0 to 100%)</v>
      </c>
    </row>
    <row r="65" spans="1:8" x14ac:dyDescent="0.25">
      <c r="A65" s="477"/>
      <c r="B65" s="480"/>
      <c r="C65" s="480"/>
      <c r="D65" s="488"/>
      <c r="E65" s="497" t="str">
        <f>VLOOKUP("D16",tblTrans3Langs[#Data],LangFieldID,FALSE)</f>
        <v>Others</v>
      </c>
      <c r="F65" s="234" t="str">
        <f>VLOOKUP("rePersonID",tblTrans3Langs[#Data],LangFieldID,FALSE)</f>
        <v>Tagger ID</v>
      </c>
      <c r="G65" s="95" t="str">
        <f>VLOOKUP("rePersonID",tblTrans3Langs[#Data],6,FALSE)</f>
        <v>string</v>
      </c>
      <c r="H65" s="37" t="str">
        <f>VLOOKUP("rePersonID",tblTrans3Langs[#Data],LangNameID,FALSE)</f>
        <v>Person unique number (obtained after filling in table Persons) identifying who tagged the fish</v>
      </c>
    </row>
    <row r="66" spans="1:8" x14ac:dyDescent="0.25">
      <c r="A66" s="477"/>
      <c r="B66" s="480"/>
      <c r="C66" s="480"/>
      <c r="D66" s="488"/>
      <c r="E66" s="497"/>
      <c r="F66" s="234" t="str">
        <f>VLOOKUP("reScCheck",tblTrans3Langs[#Data],LangFieldID,FALSE)</f>
        <v>Scientific
check  (Y/N)?</v>
      </c>
      <c r="G66" s="95" t="str">
        <f>VLOOKUP("reScCheck",tblTrans3Langs[#Data],6,FALSE)</f>
        <v>string</v>
      </c>
      <c r="H66" s="37" t="str">
        <f>VLOOKUP("reScCheck",tblTrans3Langs[#Data],LangNameID,FALSE)</f>
        <v xml:space="preserve">Y(yes) if all release data was validated by a scientist/observer; N(no) if it has not been validated </v>
      </c>
    </row>
    <row r="67" spans="1:8" x14ac:dyDescent="0.25">
      <c r="A67" s="477"/>
      <c r="B67" s="480"/>
      <c r="C67" s="480"/>
      <c r="D67" s="488"/>
      <c r="E67" s="497"/>
      <c r="F67" s="234" t="str">
        <f>VLOOKUP("reNotes",tblTrans3Langs[#Data],LangFieldID,FALSE)</f>
        <v>Release Notes</v>
      </c>
      <c r="G67" s="103" t="str">
        <f>VLOOKUP("reNotes",tblTrans3Langs[#Data],6,FALSE)</f>
        <v>string</v>
      </c>
      <c r="H67" s="223" t="str">
        <f>VLOOKUP("reNotes",tblTrans3Langs[#Data],LangNameID,FALSE)</f>
        <v>Release additional notes</v>
      </c>
    </row>
    <row r="68" spans="1:8" x14ac:dyDescent="0.25">
      <c r="A68" s="477"/>
      <c r="B68" s="480"/>
      <c r="C68" s="480"/>
      <c r="D68" s="483" t="str">
        <f>VLOOKUP("D20",tblTrans3Langs[#Data],LangFieldID,FALSE)</f>
        <v>RECOVERY Information</v>
      </c>
      <c r="E68" s="496" t="str">
        <f>VLOOKUP("D21",tblTrans3Langs[#Data],LangFieldID,FALSE)</f>
        <v>Time strata</v>
      </c>
      <c r="F68" s="235" t="str">
        <f>VLOOKUP("rcDate",tblTrans3Langs[#Data],LangFieldID,FALSE)</f>
        <v>Date</v>
      </c>
      <c r="G68" s="102" t="str">
        <f>VLOOKUP("rcDate",tblTrans3Langs[#Data],6,FALSE)</f>
        <v>date</v>
      </c>
      <c r="H68" s="222" t="str">
        <f>VLOOKUP("rcDate",tblTrans3Langs[#Data],LangNameID,FALSE)</f>
        <v>Date (unique format) of recovery operation</v>
      </c>
    </row>
    <row r="69" spans="1:8" x14ac:dyDescent="0.25">
      <c r="A69" s="477"/>
      <c r="B69" s="480"/>
      <c r="C69" s="480"/>
      <c r="D69" s="483"/>
      <c r="E69" s="496"/>
      <c r="F69" s="235" t="str">
        <f>VLOOKUP("rcTime",tblTrans3Langs[#Data],LangFieldID,FALSE)</f>
        <v>Time  (hh:mm)</v>
      </c>
      <c r="G69" s="95" t="str">
        <f>VLOOKUP("rcTime",tblTrans3Langs[#Data],6,FALSE)</f>
        <v>string</v>
      </c>
      <c r="H69" s="37" t="str">
        <f>VLOOKUP("rcTime",tblTrans3Langs[#Data],LangNameID,FALSE)</f>
        <v>Hour (unique format) of of recovery operation</v>
      </c>
    </row>
    <row r="70" spans="1:8" x14ac:dyDescent="0.25">
      <c r="A70" s="477"/>
      <c r="B70" s="480"/>
      <c r="C70" s="480"/>
      <c r="D70" s="483"/>
      <c r="E70" s="496" t="str">
        <f>VLOOKUP("D22",tblTrans3Langs[#Data],LangFieldID,FALSE)</f>
        <v>Geographical strata</v>
      </c>
      <c r="F70" s="235" t="str">
        <f>VLOOKUP("rcLat",tblTrans3Langs[#Data],LangFieldID,FALSE)</f>
        <v>Latitude</v>
      </c>
      <c r="G70" s="95" t="str">
        <f>VLOOKUP("rcLat",tblTrans3Langs[#Data],6,FALSE)</f>
        <v>see format</v>
      </c>
      <c r="H70" s="37" t="str">
        <f>VLOOKUP("rcLat",tblTrans3Langs[#Data],LangNameID,FALSE)</f>
        <v>Latitude at which the fish was released. Choose one of the two formats available (see formats)</v>
      </c>
    </row>
    <row r="71" spans="1:8" x14ac:dyDescent="0.25">
      <c r="A71" s="477"/>
      <c r="B71" s="480"/>
      <c r="C71" s="480"/>
      <c r="D71" s="483"/>
      <c r="E71" s="496"/>
      <c r="F71" s="235" t="str">
        <f>VLOOKUP("rcLon",tblTrans3Langs[#Data],LangFieldID,FALSE)</f>
        <v>Longitude</v>
      </c>
      <c r="G71" s="95" t="str">
        <f>VLOOKUP("rcLon",tblTrans3Langs[#Data],6,FALSE)</f>
        <v>see format</v>
      </c>
      <c r="H71" s="37" t="str">
        <f>VLOOKUP("rcLon",tblTrans3Langs[#Data],LangNameID,FALSE)</f>
        <v>Longitude at which the fish was recovered. Choose one of the two formats available (see formats)</v>
      </c>
    </row>
    <row r="72" spans="1:8" x14ac:dyDescent="0.25">
      <c r="A72" s="477"/>
      <c r="B72" s="480"/>
      <c r="C72" s="480"/>
      <c r="D72" s="483"/>
      <c r="E72" s="496"/>
      <c r="F72" s="235" t="str">
        <f>VLOOKUP("rcArea",tblTrans3Langs[#Data],LangFieldID,FALSE)</f>
        <v>Area description</v>
      </c>
      <c r="G72" s="95" t="str">
        <f>VLOOKUP("rcArea",tblTrans3Langs[#Data],6,FALSE)</f>
        <v>string</v>
      </c>
      <c r="H72" s="37" t="str">
        <f>VLOOKUP("rcArea",tblTrans3Langs[#Data],LangNameID,FALSE)</f>
        <v>If no geographical coordinates (Lat/Lon) are provided, describe the geographical area of recovery</v>
      </c>
    </row>
    <row r="73" spans="1:8" x14ac:dyDescent="0.25">
      <c r="A73" s="477"/>
      <c r="B73" s="480"/>
      <c r="C73" s="480"/>
      <c r="D73" s="483"/>
      <c r="E73" s="495" t="str">
        <f>VLOOKUP("D23",tblTrans3Langs[#Data],LangFieldID,FALSE)</f>
        <v>Fishing operation</v>
      </c>
      <c r="F73" s="235" t="str">
        <f>VLOOKUP("rcVessID",tblTrans3Langs[#Data],LangFieldID,FALSE)</f>
        <v>Vessel ID</v>
      </c>
      <c r="G73" s="95" t="str">
        <f>VLOOKUP("rcVessID",tblTrans3Langs[#Data],6,FALSE)</f>
        <v>string</v>
      </c>
      <c r="H73" s="37" t="str">
        <f>VLOOKUP("rcVessID",tblTrans3Langs[#Data],LangNameID,FALSE)</f>
        <v>Vessel unique number (obtained after completing table Vessels) identifying vessel used in recovery operation</v>
      </c>
    </row>
    <row r="74" spans="1:8" x14ac:dyDescent="0.25">
      <c r="A74" s="477"/>
      <c r="B74" s="480"/>
      <c r="C74" s="480"/>
      <c r="D74" s="483"/>
      <c r="E74" s="495"/>
      <c r="F74" s="235" t="str">
        <f>VLOOKUP("rcGearCd",tblTrans3Langs[#Data],LangFieldID,FALSE)</f>
        <v>Gear cod.</v>
      </c>
      <c r="G74" s="95" t="str">
        <f>VLOOKUP("rcGearCd",tblTrans3Langs[#Data],6,FALSE)</f>
        <v>ICCAT code</v>
      </c>
      <c r="H74" s="37" t="str">
        <f>VLOOKUP("rcGearCd",tblTrans3Langs[#Data],LangNameID,FALSE)</f>
        <v>Gear used to catch recovered specimen (ICCAT Gear codes)</v>
      </c>
    </row>
    <row r="75" spans="1:8" x14ac:dyDescent="0.25">
      <c r="A75" s="477"/>
      <c r="B75" s="480"/>
      <c r="C75" s="480"/>
      <c r="D75" s="483"/>
      <c r="E75" s="495"/>
      <c r="F75" s="235" t="str">
        <f>VLOOKUP("rcSchoolCd",tblTrans3Langs[#Data],LangFieldID,FALSE)</f>
        <v>School type</v>
      </c>
      <c r="G75" s="95" t="str">
        <f>VLOOKUP("rcSchoolCd",tblTrans3Langs[#Data],6,FALSE)</f>
        <v>string</v>
      </c>
      <c r="H75" s="37" t="str">
        <f>VLOOKUP("rcSchoolCd",tblTrans3Langs[#Data],LangNameID,FALSE)</f>
        <v>Define the fishing operation mode (FAD's, Free school, etc) during recovery operation</v>
      </c>
    </row>
    <row r="76" spans="1:8" x14ac:dyDescent="0.25">
      <c r="A76" s="477"/>
      <c r="B76" s="480"/>
      <c r="C76" s="480"/>
      <c r="D76" s="483"/>
      <c r="E76" s="495"/>
      <c r="F76" s="235" t="str">
        <f>VLOOKUP("rcSurveyAcro",tblTrans3Langs[#Data],LangFieldID,FALSE)</f>
        <v>Survey acron</v>
      </c>
      <c r="G76" s="95" t="str">
        <f>VLOOKUP("rcSurveyAcro",tblTrans3Langs[#Data],6,FALSE)</f>
        <v>string</v>
      </c>
      <c r="H76" s="37" t="str">
        <f>VLOOKUP("rcSurveyAcro",tblTrans3Langs[#Data],LangNameID,FALSE)</f>
        <v>Survey acronym associated to the recovery event. Leave blank "none"</v>
      </c>
    </row>
    <row r="77" spans="1:8" x14ac:dyDescent="0.25">
      <c r="A77" s="477"/>
      <c r="B77" s="480"/>
      <c r="C77" s="480"/>
      <c r="D77" s="483"/>
      <c r="E77" s="495"/>
      <c r="F77" s="235" t="str">
        <f>VLOOKUP("rcRecoveryPlace",tblTrans3Langs[#Data],LangFieldID,FALSE)</f>
        <v>Recovery place</v>
      </c>
      <c r="G77" s="95" t="str">
        <f>VLOOKUP("rcRecoveryPlace",tblTrans3Langs[#Data],6,FALSE)</f>
        <v>string</v>
      </c>
      <c r="H77" s="37" t="str">
        <f>VLOOKUP("rcRecoveryPlace",tblTrans3Langs[#Data],LangNameID,FALSE)</f>
        <v>ICCAT code identifying the place of recovery of the fish (at sea, market, canary, etc.)</v>
      </c>
    </row>
    <row r="78" spans="1:8" x14ac:dyDescent="0.25">
      <c r="A78" s="477"/>
      <c r="B78" s="480"/>
      <c r="C78" s="480"/>
      <c r="D78" s="483"/>
      <c r="E78" s="495" t="str">
        <f>VLOOKUP("D24",tblTrans3Langs[#Data],LangFieldID,FALSE)</f>
        <v>Specimen characteristics</v>
      </c>
      <c r="F78" s="235" t="str">
        <f>VLOOKUP("D24a",tblTrans3Langs[],LangFieldID,FALSE)&amp; ": "&amp;VLOOKUP("rcLenCm",tblTrans3Langs[#Data],LangFieldID,FALSE)</f>
        <v>Length (cm): Value</v>
      </c>
      <c r="G78" s="95" t="str">
        <f>VLOOKUP("rcLenCm",tblTrans3Langs[#Data],6,FALSE)</f>
        <v>string</v>
      </c>
      <c r="H78" s="37" t="str">
        <f>VLOOKUP("rcLenCm",tblTrans3Langs[#Data],LangNameID,FALSE)</f>
        <v>Length of fish at recovery</v>
      </c>
    </row>
    <row r="79" spans="1:8" x14ac:dyDescent="0.25">
      <c r="A79" s="477"/>
      <c r="B79" s="480"/>
      <c r="C79" s="480"/>
      <c r="D79" s="483"/>
      <c r="E79" s="495"/>
      <c r="F79" s="235" t="str">
        <f>VLOOKUP("D24a",tblTrans3Langs[],LangFieldID,FALSE)&amp; ": "&amp;VLOOKUP("rcLenTyCd",tblTrans3Langs[#Data],LangFieldID,FALSE)</f>
        <v>Length (cm): Type cod.</v>
      </c>
      <c r="G79" s="95" t="str">
        <f>VLOOKUP("rcLenTyCd",tblTrans3Langs[#Data],6,FALSE)</f>
        <v>ICCAT code</v>
      </c>
      <c r="H79" s="37" t="str">
        <f>VLOOKUP("rcLenTyCd",tblTrans3Langs[#Data],LangNameID,FALSE)</f>
        <v>Length type used for measuring the fish recovered (default = FL: strait fork length)</v>
      </c>
    </row>
    <row r="80" spans="1:8" x14ac:dyDescent="0.25">
      <c r="A80" s="477"/>
      <c r="B80" s="480"/>
      <c r="C80" s="480"/>
      <c r="D80" s="483"/>
      <c r="E80" s="495"/>
      <c r="F80" s="235" t="str">
        <f>VLOOKUP("D24a",tblTrans3Langs[],LangFieldID,FALSE)&amp; ": "&amp;VLOOKUP("rcLenMetCd",tblTrans3Langs[#Data],LangFieldID,FALSE)</f>
        <v>Length (cm): Method cod.</v>
      </c>
      <c r="G80" s="95" t="str">
        <f>VLOOKUP("rcLenMetCd",tblTrans3Langs[#Data],6,FALSE)</f>
        <v>ICCAT code</v>
      </c>
      <c r="H80" s="37" t="str">
        <f>VLOOKUP("rcLenMetCd",tblTrans3Langs[#Data],LangNameID,FALSE)</f>
        <v>Method used to obtain Length at recovery</v>
      </c>
    </row>
    <row r="81" spans="1:8" x14ac:dyDescent="0.25">
      <c r="A81" s="477"/>
      <c r="B81" s="480"/>
      <c r="C81" s="480"/>
      <c r="D81" s="483"/>
      <c r="E81" s="495"/>
      <c r="F81" s="235" t="str">
        <f>VLOOKUP("D24b",tblTrans3Langs[],LangFieldID,FALSE)&amp; ": "&amp;VLOOKUP("rcWgKg",tblTrans3Langs[#Data],LangFieldID,FALSE)</f>
        <v>Weight (kg): Value</v>
      </c>
      <c r="G81" s="95" t="str">
        <f>VLOOKUP("rcWgKg",tblTrans3Langs[#Data],6,FALSE)</f>
        <v>string</v>
      </c>
      <c r="H81" s="37" t="str">
        <f>VLOOKUP("rcWgKg",tblTrans3Langs[#Data],LangNameID,FALSE)</f>
        <v>Weight at recovery</v>
      </c>
    </row>
    <row r="82" spans="1:8" x14ac:dyDescent="0.25">
      <c r="A82" s="477"/>
      <c r="B82" s="480"/>
      <c r="C82" s="480"/>
      <c r="D82" s="483"/>
      <c r="E82" s="495"/>
      <c r="F82" s="235" t="str">
        <f>VLOOKUP("D24b",tblTrans3Langs[],LangFieldID,FALSE)&amp; ": "&amp;VLOOKUP("rcWgTyCd",tblTrans3Langs[#Data],LangFieldID,FALSE)</f>
        <v>Weight (kg): Type cod.</v>
      </c>
      <c r="G82" s="95" t="str">
        <f>VLOOKUP("rcWgTyCd",tblTrans3Langs[#Data],6,FALSE)</f>
        <v>ICCAT code</v>
      </c>
      <c r="H82" s="37" t="str">
        <f>VLOOKUP("rcWgTyCd",tblTrans3Langs[#Data],LangNameID,FALSE)</f>
        <v>Weight type used for measuring the fish recovered (default = RD: round weight)</v>
      </c>
    </row>
    <row r="83" spans="1:8" x14ac:dyDescent="0.25">
      <c r="A83" s="477"/>
      <c r="B83" s="480"/>
      <c r="C83" s="480"/>
      <c r="D83" s="483"/>
      <c r="E83" s="495"/>
      <c r="F83" s="235" t="str">
        <f>VLOOKUP("D24b",tblTrans3Langs[],LangFieldID,FALSE)&amp; ": "&amp;VLOOKUP("rcWgMetCd",tblTrans3Langs[#Data],LangFieldID,FALSE)</f>
        <v>Weight (kg): Method cod.</v>
      </c>
      <c r="G83" s="95" t="str">
        <f>VLOOKUP("rcWgMetCd",tblTrans3Langs[#Data],6,FALSE)</f>
        <v>ICCAT code</v>
      </c>
      <c r="H83" s="37" t="str">
        <f>VLOOKUP("rcWgMetCd",tblTrans3Langs[#Data],LangNameID,FALSE)</f>
        <v>Method used to obtain Weight at recovery</v>
      </c>
    </row>
    <row r="84" spans="1:8" x14ac:dyDescent="0.25">
      <c r="A84" s="477"/>
      <c r="B84" s="480"/>
      <c r="C84" s="480"/>
      <c r="D84" s="483"/>
      <c r="E84" s="495"/>
      <c r="F84" s="235" t="str">
        <f>VLOOKUP("D24c",tblTrans3Langs[],LangFieldID,FALSE)&amp; ": "&amp;VLOOKUP("rcFcGl",tblTrans3Langs[#Data],LangFieldID,FALSE)</f>
        <v>Fish condition (injuries): global</v>
      </c>
      <c r="G84" s="95" t="str">
        <f>VLOOKUP("rcFcGl",tblTrans3Langs[#Data],6,FALSE)</f>
        <v>string</v>
      </c>
      <c r="H84" s="37" t="str">
        <f>VLOOKUP("rcFcGl",tblTrans3Langs[#Data],LangNameID,FALSE)</f>
        <v>Global (overall) condition of fish at recovery (ICCAT Injury scale codes)</v>
      </c>
    </row>
    <row r="85" spans="1:8" x14ac:dyDescent="0.25">
      <c r="A85" s="477"/>
      <c r="B85" s="480"/>
      <c r="C85" s="480"/>
      <c r="D85" s="483"/>
      <c r="E85" s="495"/>
      <c r="F85" s="235" t="str">
        <f>VLOOKUP("D24c",tblTrans3Langs[],LangFieldID,FALSE)&amp; ": "&amp;VLOOKUP("rcFcHe",tblTrans3Langs[#Data],LangFieldID,FALSE)</f>
        <v>Fish condition (injuries): head</v>
      </c>
      <c r="G85" s="95" t="str">
        <f>VLOOKUP("rcFcHe",tblTrans3Langs[#Data],6,FALSE)</f>
        <v>string</v>
      </c>
      <c r="H85" s="37" t="str">
        <f>VLOOKUP("rcFcHe",tblTrans3Langs[#Data],LangNameID,FALSE)</f>
        <v>Head state/condition of fish at recovery (ICCAT Injury scale codes)</v>
      </c>
    </row>
    <row r="86" spans="1:8" x14ac:dyDescent="0.25">
      <c r="A86" s="477"/>
      <c r="B86" s="480"/>
      <c r="C86" s="480"/>
      <c r="D86" s="483"/>
      <c r="E86" s="495"/>
      <c r="F86" s="235" t="str">
        <f>VLOOKUP("D24c",tblTrans3Langs[],LangFieldID,FALSE)&amp; ": "&amp;VLOOKUP("rcFcMo",tblTrans3Langs[#Data],LangFieldID,FALSE)</f>
        <v>Fish condition (injuries): mouth</v>
      </c>
      <c r="G86" s="95" t="str">
        <f>VLOOKUP("rcFcMo",tblTrans3Langs[#Data],6,FALSE)</f>
        <v>string</v>
      </c>
      <c r="H86" s="37" t="str">
        <f>VLOOKUP("rcFcMo",tblTrans3Langs[#Data],LangNameID,FALSE)</f>
        <v>Mouth state/condition of fish at recovery (ICCAT Injury scale codes)</v>
      </c>
    </row>
    <row r="87" spans="1:8" x14ac:dyDescent="0.25">
      <c r="A87" s="477"/>
      <c r="B87" s="480"/>
      <c r="C87" s="480"/>
      <c r="D87" s="483"/>
      <c r="E87" s="495"/>
      <c r="F87" s="235" t="str">
        <f>VLOOKUP("D24c",tblTrans3Langs[],LangFieldID,FALSE)&amp; ": "&amp;VLOOKUP("rcFcEy",tblTrans3Langs[#Data],LangFieldID,FALSE)</f>
        <v>Fish condition (injuries): eyes</v>
      </c>
      <c r="G87" s="95" t="str">
        <f>VLOOKUP("rcFcEy",tblTrans3Langs[#Data],6,FALSE)</f>
        <v>string</v>
      </c>
      <c r="H87" s="37" t="str">
        <f>VLOOKUP("rcFcEy",tblTrans3Langs[#Data],LangNameID,FALSE)</f>
        <v>Eyes state/condition of fish at recovery (ICCAT Injury scale codes)</v>
      </c>
    </row>
    <row r="88" spans="1:8" x14ac:dyDescent="0.25">
      <c r="A88" s="477"/>
      <c r="B88" s="480"/>
      <c r="C88" s="480"/>
      <c r="D88" s="483"/>
      <c r="E88" s="495"/>
      <c r="F88" s="235" t="str">
        <f>VLOOKUP("D24c",tblTrans3Langs[],LangFieldID,FALSE)&amp; ": "&amp;VLOOKUP("rcFcSk",tblTrans3Langs[#Data],LangFieldID,FALSE)</f>
        <v>Fish condition (injuries): skin</v>
      </c>
      <c r="G88" s="95" t="str">
        <f>VLOOKUP("rcFcSk",tblTrans3Langs[#Data],6,FALSE)</f>
        <v>string</v>
      </c>
      <c r="H88" s="37" t="str">
        <f>VLOOKUP("rcFcSk",tblTrans3Langs[#Data],LangNameID,FALSE)</f>
        <v>Skin state/condition of fish at recovery (ICCAT Injury scale codes)</v>
      </c>
    </row>
    <row r="89" spans="1:8" x14ac:dyDescent="0.25">
      <c r="A89" s="477"/>
      <c r="B89" s="480"/>
      <c r="C89" s="480"/>
      <c r="D89" s="483"/>
      <c r="E89" s="495"/>
      <c r="F89" s="235" t="str">
        <f>VLOOKUP("D24c",tblTrans3Langs[],LangFieldID,FALSE)&amp; ": "&amp;VLOOKUP("rcFcFi",tblTrans3Langs[#Data],LangFieldID,FALSE)</f>
        <v>Fish condition (injuries): fins</v>
      </c>
      <c r="G89" s="95" t="str">
        <f>VLOOKUP("rcFcFi",tblTrans3Langs[#Data],6,FALSE)</f>
        <v>string</v>
      </c>
      <c r="H89" s="37" t="str">
        <f>VLOOKUP("rcFcFi",tblTrans3Langs[#Data],LangNameID,FALSE)</f>
        <v>Fins state/condition of fish at recovery (ICCAT Injury scale codes)</v>
      </c>
    </row>
    <row r="90" spans="1:8" x14ac:dyDescent="0.25">
      <c r="A90" s="477"/>
      <c r="B90" s="480"/>
      <c r="C90" s="480"/>
      <c r="D90" s="483"/>
      <c r="E90" s="495"/>
      <c r="F90" s="235" t="str">
        <f>VLOOKUP("D24c",tblTrans3Langs[],LangFieldID,FALSE)&amp; ": "&amp;VLOOKUP("rcFcBo",tblTrans3Langs[#Data],LangFieldID,FALSE)</f>
        <v>Fish condition (injuries): body</v>
      </c>
      <c r="G90" s="95" t="str">
        <f>VLOOKUP("rcFcBo",tblTrans3Langs[#Data],6,FALSE)</f>
        <v>string</v>
      </c>
      <c r="H90" s="37" t="str">
        <f>VLOOKUP("rcFcBo",tblTrans3Langs[#Data],LangNameID,FALSE)</f>
        <v>Body state/condition of fish at recovery (ICCAT Injury scale codes)</v>
      </c>
    </row>
    <row r="91" spans="1:8" x14ac:dyDescent="0.25">
      <c r="A91" s="477"/>
      <c r="B91" s="480"/>
      <c r="C91" s="480"/>
      <c r="D91" s="483"/>
      <c r="E91" s="236" t="str">
        <f>VLOOKUP("D25",tblTrans3Langs[#Data],LangFieldID,FALSE)</f>
        <v>Environment (sea)</v>
      </c>
      <c r="F91" s="235" t="str">
        <f>VLOOKUP("rcSstC",tblTrans3Langs[#Data],LangFieldID,FALSE)</f>
        <v>SST
(°C)</v>
      </c>
      <c r="G91" s="95" t="str">
        <f>VLOOKUP("rcSstC",tblTrans3Langs[#Data],6,FALSE)</f>
        <v>string</v>
      </c>
      <c r="H91" s="37" t="str">
        <f>VLOOKUP("rcSstC",tblTrans3Langs[#Data],LangNameID,FALSE)</f>
        <v>Sea surface temperature (degrees celsius) at recovery</v>
      </c>
    </row>
    <row r="92" spans="1:8" x14ac:dyDescent="0.25">
      <c r="A92" s="477"/>
      <c r="B92" s="480"/>
      <c r="C92" s="480"/>
      <c r="D92" s="483"/>
      <c r="E92" s="495" t="str">
        <f>VLOOKUP("D26",tblTrans3Langs[#Data],LangFieldID,FALSE)</f>
        <v>Others</v>
      </c>
      <c r="F92" s="235" t="str">
        <f>VLOOKUP("rcPersonID",tblTrans3Langs[#Data],LangFieldID,FALSE)</f>
        <v>Recoverer ID</v>
      </c>
      <c r="G92" s="95" t="str">
        <f>VLOOKUP("rcPersonID",tblTrans3Langs[#Data],6,FALSE)</f>
        <v>string</v>
      </c>
      <c r="H92" s="37" t="str">
        <f>VLOOKUP("rcPersonID",tblTrans3Langs[#Data],LangNameID,FALSE)</f>
        <v>Person unique number (obtained after filling in table Persons) identifying who recovered the fish</v>
      </c>
    </row>
    <row r="93" spans="1:8" x14ac:dyDescent="0.25">
      <c r="A93" s="477"/>
      <c r="B93" s="480"/>
      <c r="C93" s="480"/>
      <c r="D93" s="483"/>
      <c r="E93" s="495"/>
      <c r="F93" s="235" t="str">
        <f>VLOOKUP("rcReTaggedYN",tblTrans3Langs[#Data],LangFieldID,FALSE)</f>
        <v>Released again ?</v>
      </c>
      <c r="G93" s="95" t="str">
        <f>VLOOKUP("rcReTaggedYN",tblTrans3Langs[#Data],6,FALSE)</f>
        <v>string</v>
      </c>
      <c r="H93" s="37" t="str">
        <f>VLOOKUP("rcReTaggedYN",tblTrans3Langs[#Data],LangNameID,FALSE)</f>
        <v>To indicate if the fish has been released again</v>
      </c>
    </row>
    <row r="94" spans="1:8" x14ac:dyDescent="0.25">
      <c r="A94" s="477"/>
      <c r="B94" s="480"/>
      <c r="C94" s="480"/>
      <c r="D94" s="483"/>
      <c r="E94" s="495"/>
      <c r="F94" s="235" t="str">
        <f>VLOOKUP("rcScieCheckYN",tblTrans3Langs[#Data],LangFieldID,FALSE)</f>
        <v>Scientific check ?</v>
      </c>
      <c r="G94" s="95" t="str">
        <f>VLOOKUP("rcScieCheckYN",tblTrans3Langs[#Data],6,FALSE)</f>
        <v>string</v>
      </c>
      <c r="H94" s="37" t="str">
        <f>VLOOKUP("rcScieCheckYN",tblTrans3Langs[#Data],LangNameID,FALSE)</f>
        <v xml:space="preserve">Y(yes) if all recovery data was validated by a scientist/observer; N(no) if it has not been validated </v>
      </c>
    </row>
    <row r="95" spans="1:8" x14ac:dyDescent="0.25">
      <c r="A95" s="477"/>
      <c r="B95" s="480"/>
      <c r="C95" s="480"/>
      <c r="D95" s="483"/>
      <c r="E95" s="495"/>
      <c r="F95" s="235" t="str">
        <f>VLOOKUP("rcPersonID",tblTrans3Langs[#Data],LangFieldID,FALSE)</f>
        <v>Recoverer ID</v>
      </c>
      <c r="G95" s="103" t="str">
        <f>VLOOKUP("rcPersonID",tblTrans3Langs[#Data],6,FALSE)</f>
        <v>string</v>
      </c>
      <c r="H95" s="223" t="str">
        <f>VLOOKUP("rcPersonID",tblTrans3Langs[#Data],LangNameID,FALSE)</f>
        <v>Person unique number (obtained after filling in table Persons) identifying who recovered the fish</v>
      </c>
    </row>
    <row r="96" spans="1:8" ht="12.6" thickBot="1" x14ac:dyDescent="0.3">
      <c r="A96" s="477"/>
      <c r="B96" s="481"/>
      <c r="C96" s="481"/>
      <c r="D96" s="106" t="str">
        <f>VLOOKUP("D30",tblTrans3Langs[#Data],LangFieldID,FALSE)</f>
        <v>Validation</v>
      </c>
      <c r="E96" s="111" t="str">
        <f>VLOOKUP("D31",tblTrans3Langs[#Data],LangFieldID,FALSE)</f>
        <v>Quality Control</v>
      </c>
      <c r="F96" s="237" t="str">
        <f>VLOOKUP("rcQCScore",tblTrans3Langs[#Data],LangFieldID,FALSE)</f>
        <v>Quality info 
score</v>
      </c>
      <c r="G96" s="107" t="str">
        <f>VLOOKUP("rcQCScore",tblTrans3Langs[#Data],6,FALSE)</f>
        <v>string</v>
      </c>
      <c r="H96" s="224" t="str">
        <f>VLOOKUP("rcQCScore",tblTrans3Langs[#Data],LangNameID,FALSE)</f>
        <v>Overall qualitative evaluation score made by a qualified Scientist (see scale on table T20)</v>
      </c>
    </row>
    <row r="97" spans="1:8" ht="12.6" customHeight="1" thickTop="1" x14ac:dyDescent="0.25">
      <c r="A97" s="477"/>
      <c r="B97" s="510" t="str">
        <f>VLOOKUP("T06",tblTrans3Langs[#Data],LangFieldID,FALSE)</f>
        <v>TG02B</v>
      </c>
      <c r="C97" s="498" t="str">
        <f>VLOOKUP("H01",tblTrans3Langs[#Data],LangFieldID,FALSE)</f>
        <v>Header</v>
      </c>
      <c r="D97" s="499"/>
      <c r="E97" s="499"/>
      <c r="F97" s="499"/>
      <c r="G97" s="108" t="str">
        <f>VLOOKUP("H01",tblTrans3Langs[#Data],6,FALSE)</f>
        <v>(auto)</v>
      </c>
      <c r="H97" s="225" t="str">
        <f>VLOOKUP("H01",tblTrans3Langs[#Data],LangNameID,FALSE)</f>
        <v>(automatic completion obtained from ST02A)</v>
      </c>
    </row>
    <row r="98" spans="1:8" ht="12" customHeight="1" x14ac:dyDescent="0.25">
      <c r="A98" s="477"/>
      <c r="B98" s="503"/>
      <c r="C98" s="507" t="str">
        <f>VLOOKUP("D00",tblTrans3Langs[#Data],LangFieldID,FALSE)</f>
        <v>Detail</v>
      </c>
      <c r="D98" s="512" t="str">
        <f>VLOOKUP("D60",tblTrans3Langs[#Data],LangFieldID,FALSE)</f>
        <v>Vessel identification</v>
      </c>
      <c r="E98" s="512"/>
      <c r="F98" s="241" t="str">
        <f>VLOOKUP("VesselID",tblTrans3Langs[#Data],LangFieldID,FALSE)</f>
        <v>ID</v>
      </c>
      <c r="G98" s="98" t="str">
        <f>VLOOKUP("VesselID",tblTrans3Langs[#Data],6,FALSE)</f>
        <v>integer</v>
      </c>
      <c r="H98" s="101" t="str">
        <f>VLOOKUP("VesselID",tblTrans3Langs[#Data],LangNameID,FALSE)</f>
        <v>Unique number (identifier) to be used in ST-TG02 form (Vessel ID Release &amp; Recovery operations)</v>
      </c>
    </row>
    <row r="99" spans="1:8" x14ac:dyDescent="0.25">
      <c r="A99" s="477"/>
      <c r="B99" s="503"/>
      <c r="C99" s="508"/>
      <c r="D99" s="512"/>
      <c r="E99" s="512"/>
      <c r="F99" s="241" t="str">
        <f>VLOOKUP("VesselName",tblTrans3Langs[#Data],LangFieldID,FALSE)</f>
        <v>Name</v>
      </c>
      <c r="G99" s="98" t="str">
        <f>VLOOKUP("VesselName",tblTrans3Langs[#Data],6,FALSE)</f>
        <v>string</v>
      </c>
      <c r="H99" s="101" t="str">
        <f>VLOOKUP("VesselName",tblTrans3Langs[#Data],LangNameID,FALSE)</f>
        <v>Name of the vessel</v>
      </c>
    </row>
    <row r="100" spans="1:8" x14ac:dyDescent="0.25">
      <c r="A100" s="477"/>
      <c r="B100" s="503"/>
      <c r="C100" s="508"/>
      <c r="D100" s="512"/>
      <c r="E100" s="512"/>
      <c r="F100" s="241" t="str">
        <f>VLOOKUP("FlagCd",tblTrans3Langs[#Data],LangFieldID,FALSE)</f>
        <v>Flag cod.</v>
      </c>
      <c r="G100" s="98" t="str">
        <f>VLOOKUP("FlagCd",tblTrans3Langs[#Data],6,FALSE)</f>
        <v>ICCAT code</v>
      </c>
      <c r="H100" s="101" t="str">
        <f>VLOOKUP("FlagCd",tblTrans3Langs[#Data],LangNameID,FALSE)</f>
        <v>Base port of the vessel</v>
      </c>
    </row>
    <row r="101" spans="1:8" x14ac:dyDescent="0.25">
      <c r="A101" s="477"/>
      <c r="B101" s="503"/>
      <c r="C101" s="508"/>
      <c r="D101" s="512"/>
      <c r="E101" s="512"/>
      <c r="F101" s="241" t="str">
        <f>VLOOKUP("BasePortZone",tblTrans3Langs[#Data],LangFieldID,FALSE)</f>
        <v>Base port/zone</v>
      </c>
      <c r="G101" s="98" t="str">
        <f>VLOOKUP("BasePortZone",tblTrans3Langs[#Data],6,FALSE)</f>
        <v>string</v>
      </c>
      <c r="H101" s="101" t="str">
        <f>VLOOKUP("BasePortZone",tblTrans3Langs[#Data],LangNameID,FALSE)</f>
        <v>Flag of the vessel</v>
      </c>
    </row>
    <row r="102" spans="1:8" x14ac:dyDescent="0.25">
      <c r="A102" s="477"/>
      <c r="B102" s="503"/>
      <c r="C102" s="508"/>
      <c r="D102" s="512"/>
      <c r="E102" s="512"/>
      <c r="F102" s="241" t="str">
        <f>VLOOKUP("GearCd",tblTrans3Langs[#Data],LangFieldID,FALSE)</f>
        <v>Gear cod.</v>
      </c>
      <c r="G102" s="98" t="str">
        <f>VLOOKUP("GearCd",tblTrans3Langs[#Data],6,FALSE)</f>
        <v>ICCAT code</v>
      </c>
      <c r="H102" s="101" t="str">
        <f>VLOOKUP("GearCd",tblTrans3Langs[#Data],LangNameID,FALSE)</f>
        <v>Major gear used by the vessel in release/recovery operations</v>
      </c>
    </row>
    <row r="103" spans="1:8" x14ac:dyDescent="0.25">
      <c r="A103" s="477"/>
      <c r="B103" s="503"/>
      <c r="C103" s="508"/>
      <c r="D103" s="512"/>
      <c r="E103" s="512"/>
      <c r="F103" s="241" t="str">
        <f>VLOOKUP("LOAm",tblTrans3Langs[#Data],LangFieldID,FALSE)</f>
        <v>LOA (m)</v>
      </c>
      <c r="G103" s="98" t="str">
        <f>VLOOKUP("LOAm",tblTrans3Langs[#Data],6,FALSE)</f>
        <v>float</v>
      </c>
      <c r="H103" s="101" t="str">
        <f>VLOOKUP("LOAm",tblTrans3Langs[#Data],LangNameID,FALSE)</f>
        <v>Length overall (meters)</v>
      </c>
    </row>
    <row r="104" spans="1:8" ht="12" customHeight="1" x14ac:dyDescent="0.25">
      <c r="A104" s="477"/>
      <c r="B104" s="503"/>
      <c r="C104" s="508"/>
      <c r="D104" s="512"/>
      <c r="E104" s="512"/>
      <c r="F104" s="241" t="str">
        <f>VLOOKUP("GRTt",tblTrans3Langs[#Data],LangFieldID,FALSE)</f>
        <v>GRT (t)</v>
      </c>
      <c r="G104" s="98" t="str">
        <f>VLOOKUP("GRTt",tblTrans3Langs[#Data],6,FALSE)</f>
        <v>float</v>
      </c>
      <c r="H104" s="101" t="str">
        <f>VLOOKUP("GRTt",tblTrans3Langs[#Data],LangNameID,FALSE)</f>
        <v>Gross register tonnage (t)</v>
      </c>
    </row>
    <row r="105" spans="1:8" x14ac:dyDescent="0.25">
      <c r="A105" s="477"/>
      <c r="B105" s="503"/>
      <c r="C105" s="508"/>
      <c r="D105" s="505" t="str">
        <f>VLOOKUP("D70",tblTrans3Langs[#Data],LangFieldID,FALSE)</f>
        <v>Listed in section</v>
      </c>
      <c r="E105" s="505"/>
      <c r="F105" s="241" t="str">
        <f>VLOOKUP("InReYN",tblTrans3Langs[#Data],LangFieldID,FALSE)</f>
        <v>Release</v>
      </c>
      <c r="G105" s="98" t="str">
        <f>VLOOKUP("InReYN",tblTrans3Langs[#Data],6,FALSE)</f>
        <v>boolean</v>
      </c>
      <c r="H105" s="101" t="str">
        <f>VLOOKUP("InReYN",tblTrans3Langs[#Data],LangNameID,FALSE)</f>
        <v>Is this vessel listed in the release section of main table (ST-TG02). Yes or No.</v>
      </c>
    </row>
    <row r="106" spans="1:8" x14ac:dyDescent="0.25">
      <c r="A106" s="477"/>
      <c r="B106" s="503"/>
      <c r="C106" s="508"/>
      <c r="D106" s="505"/>
      <c r="E106" s="505"/>
      <c r="F106" s="241" t="str">
        <f>VLOOKUP("InRcYN",tblTrans3Langs[#Data],LangFieldID,FALSE)</f>
        <v>Recovery</v>
      </c>
      <c r="G106" s="98" t="str">
        <f>VLOOKUP("InRcYN",tblTrans3Langs[#Data],6,FALSE)</f>
        <v>boolean</v>
      </c>
      <c r="H106" s="101" t="str">
        <f>VLOOKUP("InRcYN",tblTrans3Langs[#Data],LangNameID,FALSE)</f>
        <v>Is this vessel listed in the recovery section of main table (ST-TG02). Yes or No</v>
      </c>
    </row>
    <row r="107" spans="1:8" ht="12.6" thickBot="1" x14ac:dyDescent="0.3">
      <c r="A107" s="477"/>
      <c r="B107" s="511"/>
      <c r="C107" s="509"/>
      <c r="D107" s="506" t="str">
        <f>VLOOKUP("D80",tblTrans3Langs[#Data],LangFieldID,FALSE)</f>
        <v>Other</v>
      </c>
      <c r="E107" s="506"/>
      <c r="F107" s="242" t="str">
        <f>VLOOKUP("RemarksB",tblTrans3Langs[#Data],LangFieldID,FALSE)</f>
        <v>Remarks (vessel)</v>
      </c>
      <c r="G107" s="109" t="str">
        <f>VLOOKUP("RemarksB",tblTrans3Langs[#Data],6,FALSE)</f>
        <v>string</v>
      </c>
      <c r="H107" s="226" t="str">
        <f>VLOOKUP("RemarksB",tblTrans3Langs[#Data],LangNameID,FALSE)</f>
        <v>Additional vessel related notes</v>
      </c>
    </row>
    <row r="108" spans="1:8" ht="12.6" thickTop="1" x14ac:dyDescent="0.25">
      <c r="A108" s="477"/>
      <c r="B108" s="503" t="str">
        <f>VLOOKUP("T07",tblTrans3Langs[#Data],LangFieldID,FALSE)</f>
        <v>TG02C</v>
      </c>
      <c r="C108" s="498" t="str">
        <f>VLOOKUP("H01",tblTrans3Langs[#Data],LangFieldID,FALSE)</f>
        <v>Header</v>
      </c>
      <c r="D108" s="499"/>
      <c r="E108" s="499"/>
      <c r="F108" s="499"/>
      <c r="G108" s="97" t="str">
        <f>VLOOKUP("H02",tblTrans3Langs[#Data],6,FALSE)</f>
        <v>(auto)</v>
      </c>
      <c r="H108" s="100" t="str">
        <f>VLOOKUP("H02",tblTrans3Langs[#Data],LangNameID,FALSE)</f>
        <v>(automatic completion obtained from ST02A)</v>
      </c>
    </row>
    <row r="109" spans="1:8" ht="12" customHeight="1" x14ac:dyDescent="0.25">
      <c r="A109" s="477"/>
      <c r="B109" s="503"/>
      <c r="C109" s="500" t="str">
        <f>VLOOKUP("D00",tblTrans3Langs[#Data],LangFieldID,FALSE)</f>
        <v>Detail</v>
      </c>
      <c r="D109" s="513" t="str">
        <f>VLOOKUP("D90",tblTrans3Langs[#Data],LangFieldID,FALSE)</f>
        <v>Person (Tagger &amp; Recapturer) details</v>
      </c>
      <c r="E109" s="514"/>
      <c r="F109" s="246" t="str">
        <f>VLOOKUP("PersonID",tblTrans3Langs[#Data],LangFieldID,FALSE)</f>
        <v>Person ID</v>
      </c>
      <c r="G109" s="98" t="str">
        <f>VLOOKUP("PersonID",tblTrans3Langs[#Data],6,FALSE)</f>
        <v>integer</v>
      </c>
      <c r="H109" s="101" t="str">
        <f>VLOOKUP("PersonID",tblTrans3Langs[#Data],LangNameID,FALSE)</f>
        <v>Unique number (identifier) to be used in ST-TG02 form (Tagger ID &amp; Recoverer ID)</v>
      </c>
    </row>
    <row r="110" spans="1:8" x14ac:dyDescent="0.25">
      <c r="A110" s="477"/>
      <c r="B110" s="503"/>
      <c r="C110" s="501"/>
      <c r="D110" s="515"/>
      <c r="E110" s="516"/>
      <c r="F110" s="246" t="str">
        <f>VLOOKUP("CtryCd",tblTrans3Langs[#Data],LangFieldID,FALSE)</f>
        <v>Country cod.</v>
      </c>
      <c r="G110" s="98" t="str">
        <f>VLOOKUP("CtryCd",tblTrans3Langs[#Data],6,FALSE)</f>
        <v>string</v>
      </c>
      <c r="H110" s="101" t="str">
        <f>VLOOKUP("CtryCd",tblTrans3Langs[#Data],LangNameID,FALSE)</f>
        <v>Country of the person</v>
      </c>
    </row>
    <row r="111" spans="1:8" x14ac:dyDescent="0.25">
      <c r="A111" s="477"/>
      <c r="B111" s="503"/>
      <c r="C111" s="501"/>
      <c r="D111" s="515"/>
      <c r="E111" s="516"/>
      <c r="F111" s="246" t="str">
        <f>VLOOKUP("TypeCd",tblTrans3Langs[#Data],LangFieldID,FALSE)</f>
        <v>Person Type</v>
      </c>
      <c r="G111" s="98" t="str">
        <f>VLOOKUP("TypeCd",tblTrans3Langs[#Data],6,FALSE)</f>
        <v>string</v>
      </c>
      <c r="H111" s="101" t="str">
        <f>VLOOKUP("TypeCd",tblTrans3Langs[#Data],LangNameID,FALSE)</f>
        <v>Category (ICCAT codes) to which this person belongs (Observer, scientist, etc.)</v>
      </c>
    </row>
    <row r="112" spans="1:8" x14ac:dyDescent="0.25">
      <c r="A112" s="477"/>
      <c r="B112" s="503"/>
      <c r="C112" s="501"/>
      <c r="D112" s="515"/>
      <c r="E112" s="516"/>
      <c r="F112" s="246" t="str">
        <f>VLOOKUP("Name",tblTrans3Langs[#Data],LangFieldID,FALSE)</f>
        <v>Name (complete)</v>
      </c>
      <c r="G112" s="98" t="str">
        <f>VLOOKUP("Name",tblTrans3Langs[#Data],6,FALSE)</f>
        <v>string</v>
      </c>
      <c r="H112" s="101" t="str">
        <f>VLOOKUP("Name",tblTrans3Langs[#Data],LangNameID,FALSE)</f>
        <v>Complete name of the Person (Tagger/Recoverer)</v>
      </c>
    </row>
    <row r="113" spans="1:8" x14ac:dyDescent="0.25">
      <c r="A113" s="477"/>
      <c r="B113" s="503"/>
      <c r="C113" s="501"/>
      <c r="D113" s="515"/>
      <c r="E113" s="516"/>
      <c r="F113" s="246" t="str">
        <f>VLOOKUP("Address",tblTrans3Langs[#Data],LangFieldID,FALSE)</f>
        <v>Address (complete)</v>
      </c>
      <c r="G113" s="98" t="str">
        <f>VLOOKUP("Address",tblTrans3Langs[#Data],6,FALSE)</f>
        <v>string</v>
      </c>
      <c r="H113" s="101" t="str">
        <f>VLOOKUP("Address",tblTrans3Langs[#Data],LangNameID,FALSE)</f>
        <v>Complete Address of the person</v>
      </c>
    </row>
    <row r="114" spans="1:8" x14ac:dyDescent="0.25">
      <c r="A114" s="477"/>
      <c r="B114" s="503"/>
      <c r="C114" s="501"/>
      <c r="D114" s="515"/>
      <c r="E114" s="516"/>
      <c r="F114" s="246" t="str">
        <f>VLOOKUP("email",tblTrans3Langs[#Data],LangFieldID,FALSE)</f>
        <v>Email</v>
      </c>
      <c r="G114" s="98" t="str">
        <f>VLOOKUP("email",tblTrans3Langs[#Data],6,FALSE)</f>
        <v>string</v>
      </c>
      <c r="H114" s="101" t="str">
        <f>VLOOKUP("email",tblTrans3Langs[#Data],LangNameID,FALSE)</f>
        <v>Email address of the person</v>
      </c>
    </row>
    <row r="115" spans="1:8" x14ac:dyDescent="0.25">
      <c r="A115" s="477"/>
      <c r="B115" s="503"/>
      <c r="C115" s="501"/>
      <c r="D115" s="517"/>
      <c r="E115" s="518"/>
      <c r="F115" s="246" t="str">
        <f>VLOOKUP("phone",tblTrans3Langs[#Data],LangFieldID,FALSE)</f>
        <v>Phone</v>
      </c>
      <c r="G115" s="98" t="str">
        <f>VLOOKUP("phone",tblTrans3Langs[#Data],6,FALSE)</f>
        <v>string</v>
      </c>
      <c r="H115" s="101" t="str">
        <f>VLOOKUP("phone",tblTrans3Langs[#Data],LangNameID,FALSE)</f>
        <v>Phone number of the person</v>
      </c>
    </row>
    <row r="116" spans="1:8" x14ac:dyDescent="0.25">
      <c r="A116" s="477"/>
      <c r="B116" s="503"/>
      <c r="C116" s="501"/>
      <c r="D116" s="513" t="str">
        <f>VLOOKUP("D91",tblTrans3Langs[#Data],LangFieldID,FALSE)</f>
        <v>Other</v>
      </c>
      <c r="E116" s="514"/>
      <c r="F116" s="246" t="str">
        <f>VLOOKUP("TaggerYN",tblTrans3Langs[#Data],LangFieldID,FALSE)</f>
        <v>Tagger ?</v>
      </c>
      <c r="G116" s="98" t="str">
        <f>VLOOKUP("TaggerYN",tblTrans3Langs[#Data],6,FALSE)</f>
        <v>boolean</v>
      </c>
      <c r="H116" s="101" t="str">
        <f>VLOOKUP("TaggerYN",tblTrans3Langs[#Data],LangNameID,FALSE)</f>
        <v>Is this person listed in the release section of main table (TG02A). Yes or No</v>
      </c>
    </row>
    <row r="117" spans="1:8" x14ac:dyDescent="0.25">
      <c r="A117" s="477"/>
      <c r="B117" s="503"/>
      <c r="C117" s="501"/>
      <c r="D117" s="515"/>
      <c r="E117" s="516"/>
      <c r="F117" s="246" t="str">
        <f>VLOOKUP("RecaptYN",tblTrans3Langs[#Data],LangFieldID,FALSE)</f>
        <v>Recapturer ?</v>
      </c>
      <c r="G117" s="98" t="str">
        <f>VLOOKUP("RecaptYN",tblTrans3Langs[#Data],6,FALSE)</f>
        <v>boolean</v>
      </c>
      <c r="H117" s="101" t="str">
        <f>VLOOKUP("RecaptYN",tblTrans3Langs[#Data],LangNameID,FALSE)</f>
        <v>Is this person listed in the recovery section of main table (TG02A). Yes or No</v>
      </c>
    </row>
    <row r="118" spans="1:8" x14ac:dyDescent="0.25">
      <c r="A118" s="477"/>
      <c r="B118" s="504"/>
      <c r="C118" s="502"/>
      <c r="D118" s="517"/>
      <c r="E118" s="518"/>
      <c r="F118" s="246" t="str">
        <f>VLOOKUP("RemarksC",tblTrans3Langs[#Data],LangFieldID,FALSE)</f>
        <v>Remarks (person)</v>
      </c>
      <c r="G118" s="104" t="str">
        <f>VLOOKUP("RemarksC",tblTrans3Langs[#Data],6,FALSE)</f>
        <v>string</v>
      </c>
      <c r="H118" s="227" t="str">
        <f>VLOOKUP("RemarksC",tblTrans3Langs[#Data],LangNameID,FALSE)</f>
        <v>Additional person related notes (tagger/recapturer)</v>
      </c>
    </row>
  </sheetData>
  <sheetProtection algorithmName="SHA-512" hashValue="os88zpNv/QZPH9Zc+UgULUy9SC9I7+hrvcVTDrgBuxli+lg80oDVtfeslbIfG4sKoGKFeqbdqw80QgS7OUDdlg==" saltValue="gwtgu6k05YgJAJV7fgW9iw==" spinCount="100000" sheet="1" objects="1" scenarios="1" formatCells="0" autoFilter="0"/>
  <mergeCells count="46">
    <mergeCell ref="C97:F97"/>
    <mergeCell ref="C108:F108"/>
    <mergeCell ref="C109:C118"/>
    <mergeCell ref="B108:B118"/>
    <mergeCell ref="D105:E106"/>
    <mergeCell ref="D107:E107"/>
    <mergeCell ref="C98:C107"/>
    <mergeCell ref="B97:B107"/>
    <mergeCell ref="D98:E104"/>
    <mergeCell ref="D116:E118"/>
    <mergeCell ref="D109:E115"/>
    <mergeCell ref="E78:E90"/>
    <mergeCell ref="E92:E95"/>
    <mergeCell ref="E73:E77"/>
    <mergeCell ref="E68:E69"/>
    <mergeCell ref="E61:E64"/>
    <mergeCell ref="E65:E67"/>
    <mergeCell ref="E70:E72"/>
    <mergeCell ref="D29:D36"/>
    <mergeCell ref="E37:E38"/>
    <mergeCell ref="E39:E41"/>
    <mergeCell ref="D37:D67"/>
    <mergeCell ref="E29:E31"/>
    <mergeCell ref="E42:E47"/>
    <mergeCell ref="E48:E60"/>
    <mergeCell ref="A1:H1"/>
    <mergeCell ref="A2:E2"/>
    <mergeCell ref="B3:H3"/>
    <mergeCell ref="B4:H4"/>
    <mergeCell ref="B5:H5"/>
    <mergeCell ref="B6:H6"/>
    <mergeCell ref="B7:H7"/>
    <mergeCell ref="A9:E9"/>
    <mergeCell ref="B11:E12"/>
    <mergeCell ref="C13:C28"/>
    <mergeCell ref="D13:D19"/>
    <mergeCell ref="E13:E15"/>
    <mergeCell ref="E16:E19"/>
    <mergeCell ref="D20:E24"/>
    <mergeCell ref="D28:E28"/>
    <mergeCell ref="A11:A118"/>
    <mergeCell ref="E32:E35"/>
    <mergeCell ref="D25:E27"/>
    <mergeCell ref="B13:B96"/>
    <mergeCell ref="C29:C96"/>
    <mergeCell ref="D68:D95"/>
  </mergeCells>
  <pageMargins left="0.5" right="0.38" top="0.55000000000000004" bottom="0.48" header="0.31496062992125984" footer="0.31496062992125984"/>
  <pageSetup paperSize="9" scale="52" orientation="portrait" r:id="rId1"/>
  <ignoredErrors>
    <ignoredError sqref="G2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G11"/>
  <sheetViews>
    <sheetView zoomScaleNormal="100" workbookViewId="0">
      <selection sqref="A1:F1"/>
    </sheetView>
  </sheetViews>
  <sheetFormatPr defaultColWidth="9.109375" defaultRowHeight="12" x14ac:dyDescent="0.25"/>
  <cols>
    <col min="1" max="1" width="8.6640625" style="4" bestFit="1" customWidth="1"/>
    <col min="2" max="2" width="4.6640625" style="4" bestFit="1" customWidth="1"/>
    <col min="3" max="3" width="4.33203125" style="4" bestFit="1" customWidth="1"/>
    <col min="4" max="4" width="77.109375" style="4" customWidth="1"/>
    <col min="5" max="5" width="11" style="4" bestFit="1" customWidth="1"/>
    <col min="6" max="6" width="15.33203125" style="4" bestFit="1" customWidth="1"/>
    <col min="7" max="7" width="11.6640625" style="4" bestFit="1" customWidth="1"/>
    <col min="8" max="16384" width="9.109375" style="4"/>
  </cols>
  <sheetData>
    <row r="1" spans="1:7" ht="18" x14ac:dyDescent="0.25">
      <c r="A1" s="519" t="s">
        <v>2085</v>
      </c>
      <c r="B1" s="519"/>
      <c r="C1" s="519"/>
      <c r="D1" s="519"/>
      <c r="E1" s="519"/>
      <c r="F1" s="519"/>
    </row>
    <row r="3" spans="1:7" x14ac:dyDescent="0.25">
      <c r="A3" s="18" t="str">
        <f>VLOOKUP("SC01",tblTrans3Langs[],IF(Idiom="ENG",7,IF(Idiom="FRA",8,9)),FALSE)</f>
        <v>Form</v>
      </c>
      <c r="B3" s="19" t="s">
        <v>2084</v>
      </c>
      <c r="C3" s="19" t="s">
        <v>2070</v>
      </c>
      <c r="D3" s="19" t="s">
        <v>948</v>
      </c>
      <c r="E3" s="19" t="s">
        <v>14</v>
      </c>
      <c r="F3" s="19" t="s">
        <v>2083</v>
      </c>
      <c r="G3" s="18" t="s">
        <v>2740</v>
      </c>
    </row>
    <row r="4" spans="1:7" x14ac:dyDescent="0.25">
      <c r="A4" s="536" t="str">
        <f>VLOOKUP("T00",tblTrans3Langs[],IF(Idiom="ENG",7,IF(Idiom="FRA",8,9)),FALSE)</f>
        <v>TG02-CnvTReRc</v>
      </c>
      <c r="B4" s="520">
        <v>1</v>
      </c>
      <c r="C4" s="17" t="s">
        <v>1861</v>
      </c>
      <c r="D4" s="16" t="s">
        <v>2082</v>
      </c>
      <c r="E4" s="15" t="s">
        <v>2078</v>
      </c>
      <c r="F4" s="14" t="s">
        <v>2741</v>
      </c>
      <c r="G4" s="11" t="s">
        <v>2076</v>
      </c>
    </row>
    <row r="5" spans="1:7" x14ac:dyDescent="0.25">
      <c r="A5" s="537"/>
      <c r="B5" s="521"/>
      <c r="C5" s="10" t="s">
        <v>1862</v>
      </c>
      <c r="D5" s="13" t="s">
        <v>2081</v>
      </c>
      <c r="E5" s="9" t="s">
        <v>2078</v>
      </c>
      <c r="F5" s="8" t="s">
        <v>2080</v>
      </c>
      <c r="G5" s="11" t="s">
        <v>2076</v>
      </c>
    </row>
    <row r="6" spans="1:7" x14ac:dyDescent="0.25">
      <c r="A6" s="537"/>
      <c r="B6" s="522"/>
      <c r="C6" s="7" t="s">
        <v>1863</v>
      </c>
      <c r="D6" s="12" t="s">
        <v>2079</v>
      </c>
      <c r="E6" s="6" t="s">
        <v>2078</v>
      </c>
      <c r="F6" s="5" t="s">
        <v>2077</v>
      </c>
      <c r="G6" s="11" t="s">
        <v>2076</v>
      </c>
    </row>
    <row r="7" spans="1:7" x14ac:dyDescent="0.25">
      <c r="A7" s="537"/>
      <c r="B7" s="520">
        <v>2</v>
      </c>
      <c r="C7" s="10" t="s">
        <v>1861</v>
      </c>
      <c r="D7" s="524" t="s">
        <v>2676</v>
      </c>
      <c r="E7" s="527" t="s">
        <v>2075</v>
      </c>
      <c r="F7" s="530" t="s">
        <v>2675</v>
      </c>
      <c r="G7" s="533" t="s">
        <v>952</v>
      </c>
    </row>
    <row r="8" spans="1:7" x14ac:dyDescent="0.25">
      <c r="A8" s="537"/>
      <c r="B8" s="521"/>
      <c r="C8" s="10" t="s">
        <v>1862</v>
      </c>
      <c r="D8" s="525"/>
      <c r="E8" s="528"/>
      <c r="F8" s="531"/>
      <c r="G8" s="534"/>
    </row>
    <row r="9" spans="1:7" x14ac:dyDescent="0.25">
      <c r="A9" s="538"/>
      <c r="B9" s="522"/>
      <c r="C9" s="7" t="s">
        <v>1863</v>
      </c>
      <c r="D9" s="526"/>
      <c r="E9" s="529"/>
      <c r="F9" s="532"/>
      <c r="G9" s="535"/>
    </row>
    <row r="11" spans="1:7" x14ac:dyDescent="0.25">
      <c r="A11" s="523" t="s">
        <v>2742</v>
      </c>
      <c r="B11" s="523"/>
      <c r="C11" s="523"/>
      <c r="D11" s="523"/>
      <c r="E11" s="523"/>
      <c r="F11" s="523"/>
      <c r="G11" s="523"/>
    </row>
  </sheetData>
  <sheetProtection algorithmName="SHA-512" hashValue="CJqH6VA8v7CaVzgPD1ISfGBp134Vh9juUWoOTL+JkxMmt49cm6BF0x2gJUJlrO3F+TdjU5EoKgjxs0zE1z9lbA==" saltValue="8KhwdY/jomz+fdAEiH+Z3Q==" spinCount="100000" sheet="1" objects="1" scenarios="1"/>
  <mergeCells count="9">
    <mergeCell ref="A1:F1"/>
    <mergeCell ref="B4:B6"/>
    <mergeCell ref="B7:B9"/>
    <mergeCell ref="A11:G11"/>
    <mergeCell ref="D7:D9"/>
    <mergeCell ref="E7:E9"/>
    <mergeCell ref="F7:F9"/>
    <mergeCell ref="G7:G9"/>
    <mergeCell ref="A4:A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181"/>
  <sheetViews>
    <sheetView zoomScale="85" zoomScaleNormal="85" workbookViewId="0">
      <pane ySplit="4" topLeftCell="A5" activePane="bottomLeft" state="frozen"/>
      <selection activeCell="A17" sqref="A17"/>
      <selection pane="bottomLeft" sqref="A1:F1"/>
    </sheetView>
  </sheetViews>
  <sheetFormatPr defaultColWidth="13" defaultRowHeight="12" x14ac:dyDescent="0.3"/>
  <cols>
    <col min="1" max="1" width="12.44140625" style="52" bestFit="1" customWidth="1"/>
    <col min="2" max="2" width="5.5546875" style="51" bestFit="1" customWidth="1"/>
    <col min="3" max="3" width="11.88671875" style="51" bestFit="1" customWidth="1"/>
    <col min="4" max="4" width="6.6640625" style="51" bestFit="1" customWidth="1"/>
    <col min="5" max="5" width="9.6640625" style="52" bestFit="1" customWidth="1"/>
    <col min="6" max="6" width="10.6640625" style="52" bestFit="1" customWidth="1"/>
    <col min="7" max="9" width="34.33203125" style="52" customWidth="1"/>
    <col min="10" max="12" width="52.88671875" style="52" customWidth="1"/>
    <col min="13" max="16384" width="13" style="52"/>
  </cols>
  <sheetData>
    <row r="1" spans="1:12" x14ac:dyDescent="0.3">
      <c r="A1" s="539" t="s">
        <v>2074</v>
      </c>
      <c r="B1" s="539"/>
      <c r="C1" s="539"/>
      <c r="D1" s="539"/>
      <c r="E1" s="539"/>
      <c r="F1" s="539"/>
      <c r="H1" s="228" t="s">
        <v>2203</v>
      </c>
      <c r="I1" s="229">
        <f>IF(Idiom="ENG",7,IF(Idiom="FRA",8,9))</f>
        <v>7</v>
      </c>
    </row>
    <row r="2" spans="1:12" x14ac:dyDescent="0.3">
      <c r="H2" s="228" t="s">
        <v>2204</v>
      </c>
      <c r="I2" s="229">
        <f>IF(Idiom="ENG",10,IF(Idiom="FRA",11,12))</f>
        <v>10</v>
      </c>
    </row>
    <row r="3" spans="1:12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x14ac:dyDescent="0.3">
      <c r="A4" s="43" t="s">
        <v>2073</v>
      </c>
      <c r="B4" s="44" t="s">
        <v>2072</v>
      </c>
      <c r="C4" s="44" t="s">
        <v>2071</v>
      </c>
      <c r="D4" s="44" t="s">
        <v>1007</v>
      </c>
      <c r="E4" s="44" t="s">
        <v>2070</v>
      </c>
      <c r="F4" s="44" t="s">
        <v>2069</v>
      </c>
      <c r="G4" s="44" t="s">
        <v>2068</v>
      </c>
      <c r="H4" s="44" t="s">
        <v>2067</v>
      </c>
      <c r="I4" s="44" t="s">
        <v>2066</v>
      </c>
      <c r="J4" s="44" t="s">
        <v>2065</v>
      </c>
      <c r="K4" s="44" t="s">
        <v>2064</v>
      </c>
      <c r="L4" s="45" t="s">
        <v>2063</v>
      </c>
    </row>
    <row r="5" spans="1:12" x14ac:dyDescent="0.3">
      <c r="A5" s="46" t="s">
        <v>2062</v>
      </c>
      <c r="B5" s="46">
        <v>1</v>
      </c>
      <c r="C5" s="46" t="s">
        <v>2086</v>
      </c>
      <c r="D5" s="46" t="s">
        <v>2061</v>
      </c>
      <c r="E5" s="46" t="s">
        <v>1932</v>
      </c>
      <c r="F5" s="46" t="s">
        <v>952</v>
      </c>
      <c r="G5" s="46" t="s">
        <v>1043</v>
      </c>
      <c r="H5" s="46" t="s">
        <v>1043</v>
      </c>
      <c r="I5" s="46" t="s">
        <v>1043</v>
      </c>
      <c r="J5" s="46" t="s">
        <v>1017</v>
      </c>
      <c r="K5" s="46" t="s">
        <v>2622</v>
      </c>
      <c r="L5" s="46" t="s">
        <v>2621</v>
      </c>
    </row>
    <row r="6" spans="1:12" ht="24" x14ac:dyDescent="0.3">
      <c r="A6" s="47" t="s">
        <v>398</v>
      </c>
      <c r="B6" s="46">
        <v>3</v>
      </c>
      <c r="C6" s="46" t="s">
        <v>2086</v>
      </c>
      <c r="D6" s="46" t="s">
        <v>2061</v>
      </c>
      <c r="E6" s="46" t="s">
        <v>1899</v>
      </c>
      <c r="F6" s="46" t="s">
        <v>952</v>
      </c>
      <c r="G6" s="46" t="s">
        <v>2055</v>
      </c>
      <c r="H6" s="46" t="s">
        <v>2054</v>
      </c>
      <c r="I6" s="46" t="s">
        <v>2053</v>
      </c>
      <c r="J6" s="46" t="s">
        <v>2052</v>
      </c>
      <c r="K6" s="46" t="s">
        <v>2051</v>
      </c>
      <c r="L6" s="46" t="s">
        <v>2050</v>
      </c>
    </row>
    <row r="7" spans="1:12" x14ac:dyDescent="0.3">
      <c r="A7" s="46" t="s">
        <v>397</v>
      </c>
      <c r="B7" s="46">
        <v>2</v>
      </c>
      <c r="C7" s="46" t="s">
        <v>2086</v>
      </c>
      <c r="D7" s="46" t="s">
        <v>2061</v>
      </c>
      <c r="E7" s="46" t="s">
        <v>1867</v>
      </c>
      <c r="F7" s="46" t="s">
        <v>952</v>
      </c>
      <c r="G7" s="46" t="s">
        <v>2061</v>
      </c>
      <c r="H7" s="46" t="s">
        <v>2060</v>
      </c>
      <c r="I7" s="46" t="s">
        <v>2059</v>
      </c>
      <c r="J7" s="46" t="s">
        <v>2058</v>
      </c>
      <c r="K7" s="46" t="s">
        <v>2057</v>
      </c>
      <c r="L7" s="46" t="s">
        <v>2056</v>
      </c>
    </row>
    <row r="8" spans="1:12" x14ac:dyDescent="0.3">
      <c r="A8" s="47" t="s">
        <v>399</v>
      </c>
      <c r="B8" s="46">
        <v>4</v>
      </c>
      <c r="C8" s="46" t="s">
        <v>2086</v>
      </c>
      <c r="D8" s="46" t="s">
        <v>2061</v>
      </c>
      <c r="E8" s="46" t="s">
        <v>1934</v>
      </c>
      <c r="F8" s="46" t="s">
        <v>1961</v>
      </c>
      <c r="G8" s="46" t="s">
        <v>2049</v>
      </c>
      <c r="H8" s="46" t="s">
        <v>2049</v>
      </c>
      <c r="I8" s="46" t="s">
        <v>2048</v>
      </c>
      <c r="J8" s="46" t="s">
        <v>2625</v>
      </c>
      <c r="K8" s="46" t="s">
        <v>2640</v>
      </c>
      <c r="L8" s="46" t="s">
        <v>2656</v>
      </c>
    </row>
    <row r="9" spans="1:12" x14ac:dyDescent="0.3">
      <c r="A9" s="47" t="s">
        <v>405</v>
      </c>
      <c r="B9" s="46">
        <v>5</v>
      </c>
      <c r="C9" s="46" t="s">
        <v>2086</v>
      </c>
      <c r="D9" s="46" t="s">
        <v>2061</v>
      </c>
      <c r="E9" s="46" t="s">
        <v>1934</v>
      </c>
      <c r="F9" s="46" t="s">
        <v>1940</v>
      </c>
      <c r="G9" s="46" t="s">
        <v>2047</v>
      </c>
      <c r="H9" s="46" t="s">
        <v>2046</v>
      </c>
      <c r="I9" s="46" t="s">
        <v>2045</v>
      </c>
      <c r="J9" s="46" t="s">
        <v>2044</v>
      </c>
      <c r="K9" s="46" t="s">
        <v>2641</v>
      </c>
      <c r="L9" s="46" t="s">
        <v>2657</v>
      </c>
    </row>
    <row r="10" spans="1:12" x14ac:dyDescent="0.3">
      <c r="A10" s="48" t="s">
        <v>406</v>
      </c>
      <c r="B10" s="46">
        <v>6</v>
      </c>
      <c r="C10" s="46" t="s">
        <v>2086</v>
      </c>
      <c r="D10" s="46" t="s">
        <v>2061</v>
      </c>
      <c r="E10" s="49" t="s">
        <v>1932</v>
      </c>
      <c r="F10" s="49" t="s">
        <v>952</v>
      </c>
      <c r="G10" s="49" t="s">
        <v>2100</v>
      </c>
      <c r="H10" s="49" t="s">
        <v>2100</v>
      </c>
      <c r="I10" s="49" t="s">
        <v>2100</v>
      </c>
      <c r="J10" s="46" t="s">
        <v>2515</v>
      </c>
      <c r="K10" s="113" t="s">
        <v>2516</v>
      </c>
      <c r="L10" s="50" t="s">
        <v>2517</v>
      </c>
    </row>
    <row r="11" spans="1:12" x14ac:dyDescent="0.3">
      <c r="A11" s="48" t="s">
        <v>713</v>
      </c>
      <c r="B11" s="46">
        <v>7</v>
      </c>
      <c r="C11" s="46" t="s">
        <v>2171</v>
      </c>
      <c r="D11" s="46" t="s">
        <v>2061</v>
      </c>
      <c r="E11" s="49" t="s">
        <v>1932</v>
      </c>
      <c r="F11" s="49" t="s">
        <v>952</v>
      </c>
      <c r="G11" s="49" t="s">
        <v>2513</v>
      </c>
      <c r="H11" s="49" t="s">
        <v>2513</v>
      </c>
      <c r="I11" s="49" t="s">
        <v>2513</v>
      </c>
      <c r="J11" s="46" t="s">
        <v>2170</v>
      </c>
      <c r="K11" s="46" t="s">
        <v>2518</v>
      </c>
      <c r="L11" s="54" t="s">
        <v>2519</v>
      </c>
    </row>
    <row r="12" spans="1:12" ht="24" x14ac:dyDescent="0.3">
      <c r="A12" s="48" t="s">
        <v>2346</v>
      </c>
      <c r="B12" s="46">
        <v>8</v>
      </c>
      <c r="C12" s="46" t="s">
        <v>2172</v>
      </c>
      <c r="D12" s="46" t="s">
        <v>2061</v>
      </c>
      <c r="E12" s="49" t="s">
        <v>1932</v>
      </c>
      <c r="F12" s="49" t="s">
        <v>952</v>
      </c>
      <c r="G12" s="49" t="s">
        <v>2514</v>
      </c>
      <c r="H12" s="49" t="s">
        <v>2514</v>
      </c>
      <c r="I12" s="49" t="s">
        <v>2514</v>
      </c>
      <c r="J12" s="46" t="s">
        <v>2520</v>
      </c>
      <c r="K12" s="54" t="s">
        <v>2522</v>
      </c>
      <c r="L12" s="54" t="s">
        <v>2521</v>
      </c>
    </row>
    <row r="13" spans="1:12" x14ac:dyDescent="0.3">
      <c r="A13" s="46" t="s">
        <v>2043</v>
      </c>
      <c r="B13" s="46">
        <v>10</v>
      </c>
      <c r="C13" s="46" t="s">
        <v>2086</v>
      </c>
      <c r="D13" s="50" t="s">
        <v>933</v>
      </c>
      <c r="E13" s="46" t="s">
        <v>1932</v>
      </c>
      <c r="F13" s="46" t="s">
        <v>952</v>
      </c>
      <c r="G13" s="46" t="s">
        <v>933</v>
      </c>
      <c r="H13" s="46" t="s">
        <v>2040</v>
      </c>
      <c r="I13" s="46" t="s">
        <v>2039</v>
      </c>
      <c r="J13" s="46" t="s">
        <v>952</v>
      </c>
      <c r="K13" s="46" t="s">
        <v>952</v>
      </c>
      <c r="L13" s="46" t="s">
        <v>952</v>
      </c>
    </row>
    <row r="14" spans="1:12" x14ac:dyDescent="0.3">
      <c r="A14" s="48" t="s">
        <v>2042</v>
      </c>
      <c r="B14" s="46">
        <v>11</v>
      </c>
      <c r="C14" s="49" t="s">
        <v>2171</v>
      </c>
      <c r="D14" s="50" t="s">
        <v>933</v>
      </c>
      <c r="E14" s="49" t="s">
        <v>1936</v>
      </c>
      <c r="F14" s="49" t="s">
        <v>2041</v>
      </c>
      <c r="G14" s="49" t="s">
        <v>933</v>
      </c>
      <c r="H14" s="46" t="s">
        <v>2040</v>
      </c>
      <c r="I14" s="46" t="s">
        <v>2039</v>
      </c>
      <c r="J14" s="49" t="s">
        <v>2038</v>
      </c>
      <c r="K14" s="49" t="s">
        <v>2037</v>
      </c>
      <c r="L14" s="49" t="s">
        <v>2036</v>
      </c>
    </row>
    <row r="15" spans="1:12" ht="24" x14ac:dyDescent="0.3">
      <c r="A15" s="48" t="s">
        <v>2563</v>
      </c>
      <c r="B15" s="46">
        <v>11</v>
      </c>
      <c r="C15" s="49" t="s">
        <v>2171</v>
      </c>
      <c r="D15" s="50" t="s">
        <v>933</v>
      </c>
      <c r="E15" s="49" t="s">
        <v>1867</v>
      </c>
      <c r="F15" s="49" t="s">
        <v>952</v>
      </c>
      <c r="G15" s="49" t="s">
        <v>2565</v>
      </c>
      <c r="H15" s="49" t="s">
        <v>2565</v>
      </c>
      <c r="I15" s="49" t="s">
        <v>2565</v>
      </c>
      <c r="J15" s="54" t="s">
        <v>2169</v>
      </c>
      <c r="K15" s="49" t="s">
        <v>2566</v>
      </c>
      <c r="L15" s="49" t="s">
        <v>2567</v>
      </c>
    </row>
    <row r="16" spans="1:12" x14ac:dyDescent="0.3">
      <c r="A16" s="48" t="s">
        <v>2505</v>
      </c>
      <c r="B16" s="46">
        <v>11</v>
      </c>
      <c r="C16" s="46" t="s">
        <v>2172</v>
      </c>
      <c r="D16" s="50" t="s">
        <v>933</v>
      </c>
      <c r="E16" s="49" t="s">
        <v>1936</v>
      </c>
      <c r="F16" s="49" t="s">
        <v>2041</v>
      </c>
      <c r="G16" s="49" t="s">
        <v>933</v>
      </c>
      <c r="H16" s="46" t="s">
        <v>2040</v>
      </c>
      <c r="I16" s="46" t="s">
        <v>2039</v>
      </c>
      <c r="J16" s="49" t="s">
        <v>2038</v>
      </c>
      <c r="K16" s="49" t="s">
        <v>2037</v>
      </c>
      <c r="L16" s="49" t="s">
        <v>2036</v>
      </c>
    </row>
    <row r="17" spans="1:12" ht="24" x14ac:dyDescent="0.3">
      <c r="A17" s="54" t="s">
        <v>2564</v>
      </c>
      <c r="B17" s="54">
        <v>11</v>
      </c>
      <c r="C17" s="54" t="s">
        <v>2172</v>
      </c>
      <c r="D17" s="54" t="s">
        <v>933</v>
      </c>
      <c r="E17" s="54" t="s">
        <v>1867</v>
      </c>
      <c r="F17" s="49" t="s">
        <v>952</v>
      </c>
      <c r="G17" s="49" t="s">
        <v>2565</v>
      </c>
      <c r="H17" s="49" t="s">
        <v>2565</v>
      </c>
      <c r="I17" s="49" t="s">
        <v>2565</v>
      </c>
      <c r="J17" s="54" t="s">
        <v>2169</v>
      </c>
      <c r="K17" s="54" t="s">
        <v>2566</v>
      </c>
      <c r="L17" s="54" t="s">
        <v>2567</v>
      </c>
    </row>
    <row r="18" spans="1:12" x14ac:dyDescent="0.3">
      <c r="A18" s="46" t="s">
        <v>2035</v>
      </c>
      <c r="B18" s="46">
        <v>12</v>
      </c>
      <c r="C18" s="46" t="s">
        <v>2086</v>
      </c>
      <c r="D18" s="50" t="s">
        <v>933</v>
      </c>
      <c r="E18" s="46" t="s">
        <v>1936</v>
      </c>
      <c r="F18" s="46" t="s">
        <v>952</v>
      </c>
      <c r="G18" s="46" t="s">
        <v>936</v>
      </c>
      <c r="H18" s="54" t="s">
        <v>2446</v>
      </c>
      <c r="I18" s="54" t="s">
        <v>2504</v>
      </c>
      <c r="J18" s="46" t="s">
        <v>952</v>
      </c>
      <c r="K18" s="46" t="s">
        <v>952</v>
      </c>
      <c r="L18" s="46" t="s">
        <v>952</v>
      </c>
    </row>
    <row r="19" spans="1:12" x14ac:dyDescent="0.3">
      <c r="A19" s="47" t="s">
        <v>2034</v>
      </c>
      <c r="B19" s="46">
        <v>14</v>
      </c>
      <c r="C19" s="46" t="s">
        <v>2086</v>
      </c>
      <c r="D19" s="50" t="s">
        <v>933</v>
      </c>
      <c r="E19" s="46" t="s">
        <v>1937</v>
      </c>
      <c r="F19" s="46" t="s">
        <v>952</v>
      </c>
      <c r="G19" s="46" t="s">
        <v>2030</v>
      </c>
      <c r="H19" s="46" t="s">
        <v>2030</v>
      </c>
      <c r="I19" s="46" t="s">
        <v>2029</v>
      </c>
      <c r="J19" s="46" t="s">
        <v>952</v>
      </c>
      <c r="K19" s="46" t="s">
        <v>952</v>
      </c>
      <c r="L19" s="46" t="s">
        <v>952</v>
      </c>
    </row>
    <row r="20" spans="1:12" x14ac:dyDescent="0.3">
      <c r="A20" s="47" t="s">
        <v>2031</v>
      </c>
      <c r="B20" s="46">
        <v>13</v>
      </c>
      <c r="C20" s="46" t="s">
        <v>2086</v>
      </c>
      <c r="D20" s="50" t="s">
        <v>933</v>
      </c>
      <c r="E20" s="46" t="s">
        <v>1937</v>
      </c>
      <c r="F20" s="46" t="s">
        <v>952</v>
      </c>
      <c r="G20" s="46" t="s">
        <v>2033</v>
      </c>
      <c r="H20" s="46" t="s">
        <v>2033</v>
      </c>
      <c r="I20" s="46" t="s">
        <v>2032</v>
      </c>
      <c r="J20" s="46" t="s">
        <v>952</v>
      </c>
      <c r="K20" s="46" t="s">
        <v>952</v>
      </c>
      <c r="L20" s="46" t="s">
        <v>952</v>
      </c>
    </row>
    <row r="21" spans="1:12" x14ac:dyDescent="0.3">
      <c r="A21" s="47" t="s">
        <v>2028</v>
      </c>
      <c r="B21" s="46">
        <v>15</v>
      </c>
      <c r="C21" s="46" t="s">
        <v>2086</v>
      </c>
      <c r="D21" s="50" t="s">
        <v>933</v>
      </c>
      <c r="E21" s="46" t="s">
        <v>1936</v>
      </c>
      <c r="F21" s="46" t="s">
        <v>952</v>
      </c>
      <c r="G21" s="46" t="s">
        <v>937</v>
      </c>
      <c r="H21" s="46" t="s">
        <v>1969</v>
      </c>
      <c r="I21" s="46" t="s">
        <v>2027</v>
      </c>
      <c r="J21" s="46" t="s">
        <v>952</v>
      </c>
      <c r="K21" s="46" t="s">
        <v>952</v>
      </c>
      <c r="L21" s="46" t="s">
        <v>952</v>
      </c>
    </row>
    <row r="22" spans="1:12" x14ac:dyDescent="0.3">
      <c r="A22" s="53" t="s">
        <v>2026</v>
      </c>
      <c r="B22" s="46">
        <v>16</v>
      </c>
      <c r="C22" s="46" t="s">
        <v>2086</v>
      </c>
      <c r="D22" s="50" t="s">
        <v>933</v>
      </c>
      <c r="E22" s="53" t="s">
        <v>1937</v>
      </c>
      <c r="F22" s="53" t="s">
        <v>952</v>
      </c>
      <c r="G22" s="53" t="s">
        <v>2025</v>
      </c>
      <c r="H22" s="46" t="s">
        <v>2024</v>
      </c>
      <c r="I22" s="46" t="s">
        <v>2023</v>
      </c>
      <c r="J22" s="46" t="s">
        <v>952</v>
      </c>
      <c r="K22" s="46" t="s">
        <v>952</v>
      </c>
      <c r="L22" s="46" t="s">
        <v>952</v>
      </c>
    </row>
    <row r="23" spans="1:12" x14ac:dyDescent="0.3">
      <c r="A23" s="47" t="s">
        <v>2022</v>
      </c>
      <c r="B23" s="46">
        <v>17</v>
      </c>
      <c r="C23" s="46" t="s">
        <v>2086</v>
      </c>
      <c r="D23" s="50" t="s">
        <v>933</v>
      </c>
      <c r="E23" s="46" t="s">
        <v>1936</v>
      </c>
      <c r="F23" s="46" t="s">
        <v>952</v>
      </c>
      <c r="G23" s="46" t="s">
        <v>2021</v>
      </c>
      <c r="H23" s="46" t="s">
        <v>2020</v>
      </c>
      <c r="I23" s="46" t="s">
        <v>2019</v>
      </c>
      <c r="J23" s="46" t="s">
        <v>952</v>
      </c>
      <c r="K23" s="46" t="s">
        <v>952</v>
      </c>
      <c r="L23" s="46" t="s">
        <v>952</v>
      </c>
    </row>
    <row r="24" spans="1:12" x14ac:dyDescent="0.3">
      <c r="A24" s="50" t="s">
        <v>2096</v>
      </c>
      <c r="B24" s="46">
        <v>18</v>
      </c>
      <c r="C24" s="50" t="s">
        <v>2086</v>
      </c>
      <c r="D24" s="50" t="s">
        <v>933</v>
      </c>
      <c r="E24" s="53" t="s">
        <v>1937</v>
      </c>
      <c r="F24" s="50" t="s">
        <v>952</v>
      </c>
      <c r="G24" s="50" t="s">
        <v>2097</v>
      </c>
      <c r="H24" s="59" t="s">
        <v>2098</v>
      </c>
      <c r="I24" s="50" t="s">
        <v>2099</v>
      </c>
      <c r="J24" s="50" t="s">
        <v>952</v>
      </c>
      <c r="K24" s="50" t="s">
        <v>952</v>
      </c>
      <c r="L24" s="50" t="s">
        <v>952</v>
      </c>
    </row>
    <row r="25" spans="1:12" x14ac:dyDescent="0.3">
      <c r="A25" s="46" t="s">
        <v>2018</v>
      </c>
      <c r="B25" s="46">
        <v>19</v>
      </c>
      <c r="C25" s="46" t="s">
        <v>2086</v>
      </c>
      <c r="D25" s="50" t="s">
        <v>933</v>
      </c>
      <c r="E25" s="46" t="s">
        <v>1936</v>
      </c>
      <c r="F25" s="46" t="s">
        <v>952</v>
      </c>
      <c r="G25" s="46" t="s">
        <v>2017</v>
      </c>
      <c r="H25" s="46" t="s">
        <v>2016</v>
      </c>
      <c r="I25" s="46" t="s">
        <v>2015</v>
      </c>
      <c r="J25" s="46" t="s">
        <v>952</v>
      </c>
      <c r="K25" s="46" t="s">
        <v>952</v>
      </c>
      <c r="L25" s="46" t="s">
        <v>952</v>
      </c>
    </row>
    <row r="26" spans="1:12" ht="24" x14ac:dyDescent="0.3">
      <c r="A26" s="46" t="s">
        <v>2014</v>
      </c>
      <c r="B26" s="46">
        <v>24</v>
      </c>
      <c r="C26" s="46" t="s">
        <v>2086</v>
      </c>
      <c r="D26" s="50" t="s">
        <v>933</v>
      </c>
      <c r="E26" s="46" t="s">
        <v>1934</v>
      </c>
      <c r="F26" s="46" t="s">
        <v>882</v>
      </c>
      <c r="G26" s="46" t="s">
        <v>8</v>
      </c>
      <c r="H26" s="46" t="s">
        <v>2013</v>
      </c>
      <c r="I26" s="46" t="s">
        <v>2012</v>
      </c>
      <c r="J26" s="46" t="s">
        <v>2626</v>
      </c>
      <c r="K26" s="46" t="s">
        <v>2011</v>
      </c>
      <c r="L26" s="46" t="s">
        <v>2658</v>
      </c>
    </row>
    <row r="27" spans="1:12" x14ac:dyDescent="0.3">
      <c r="A27" s="46" t="s">
        <v>2010</v>
      </c>
      <c r="B27" s="46">
        <v>25</v>
      </c>
      <c r="C27" s="46" t="s">
        <v>2086</v>
      </c>
      <c r="D27" s="50" t="s">
        <v>933</v>
      </c>
      <c r="E27" s="46" t="s">
        <v>1934</v>
      </c>
      <c r="F27" s="46" t="s">
        <v>882</v>
      </c>
      <c r="G27" s="53" t="s">
        <v>935</v>
      </c>
      <c r="H27" s="53" t="s">
        <v>935</v>
      </c>
      <c r="I27" s="53" t="s">
        <v>935</v>
      </c>
      <c r="J27" s="46" t="s">
        <v>2009</v>
      </c>
      <c r="K27" s="46" t="s">
        <v>2642</v>
      </c>
      <c r="L27" s="46" t="s">
        <v>2659</v>
      </c>
    </row>
    <row r="28" spans="1:12" x14ac:dyDescent="0.3">
      <c r="A28" s="46" t="s">
        <v>2008</v>
      </c>
      <c r="B28" s="46">
        <v>26</v>
      </c>
      <c r="C28" s="46" t="s">
        <v>2086</v>
      </c>
      <c r="D28" s="50" t="s">
        <v>933</v>
      </c>
      <c r="E28" s="46" t="s">
        <v>1934</v>
      </c>
      <c r="F28" s="46" t="s">
        <v>882</v>
      </c>
      <c r="G28" s="46" t="s">
        <v>5</v>
      </c>
      <c r="H28" s="46" t="s">
        <v>2007</v>
      </c>
      <c r="I28" s="46" t="s">
        <v>2006</v>
      </c>
      <c r="J28" s="46" t="s">
        <v>2627</v>
      </c>
      <c r="K28" s="46" t="s">
        <v>2643</v>
      </c>
      <c r="L28" s="46" t="s">
        <v>2660</v>
      </c>
    </row>
    <row r="29" spans="1:12" ht="24" x14ac:dyDescent="0.3">
      <c r="A29" s="46" t="s">
        <v>2005</v>
      </c>
      <c r="B29" s="46">
        <v>27</v>
      </c>
      <c r="C29" s="46" t="s">
        <v>2086</v>
      </c>
      <c r="D29" s="50" t="s">
        <v>933</v>
      </c>
      <c r="E29" s="46" t="s">
        <v>1934</v>
      </c>
      <c r="F29" s="46" t="s">
        <v>882</v>
      </c>
      <c r="G29" s="46" t="s">
        <v>3</v>
      </c>
      <c r="H29" s="46" t="s">
        <v>3</v>
      </c>
      <c r="I29" s="46" t="s">
        <v>2004</v>
      </c>
      <c r="J29" s="46" t="s">
        <v>2628</v>
      </c>
      <c r="K29" s="46" t="s">
        <v>2644</v>
      </c>
      <c r="L29" s="46" t="s">
        <v>2661</v>
      </c>
    </row>
    <row r="30" spans="1:12" x14ac:dyDescent="0.3">
      <c r="A30" s="46" t="s">
        <v>2003</v>
      </c>
      <c r="B30" s="46">
        <v>28</v>
      </c>
      <c r="C30" s="46" t="s">
        <v>2086</v>
      </c>
      <c r="D30" s="50" t="s">
        <v>933</v>
      </c>
      <c r="E30" s="46" t="s">
        <v>1934</v>
      </c>
      <c r="F30" s="46" t="s">
        <v>882</v>
      </c>
      <c r="G30" s="46" t="s">
        <v>2002</v>
      </c>
      <c r="H30" s="46" t="s">
        <v>2001</v>
      </c>
      <c r="I30" s="46" t="s">
        <v>2000</v>
      </c>
      <c r="J30" s="46" t="s">
        <v>2629</v>
      </c>
      <c r="K30" s="46" t="s">
        <v>2645</v>
      </c>
      <c r="L30" s="46" t="s">
        <v>2662</v>
      </c>
    </row>
    <row r="31" spans="1:12" x14ac:dyDescent="0.3">
      <c r="A31" s="46" t="s">
        <v>1999</v>
      </c>
      <c r="B31" s="46">
        <v>29</v>
      </c>
      <c r="C31" s="46" t="s">
        <v>2086</v>
      </c>
      <c r="D31" s="50" t="s">
        <v>933</v>
      </c>
      <c r="E31" s="46" t="s">
        <v>1934</v>
      </c>
      <c r="F31" s="46" t="s">
        <v>882</v>
      </c>
      <c r="G31" s="46" t="s">
        <v>4</v>
      </c>
      <c r="H31" s="46" t="s">
        <v>1998</v>
      </c>
      <c r="I31" s="46" t="s">
        <v>1997</v>
      </c>
      <c r="J31" s="46" t="s">
        <v>2630</v>
      </c>
      <c r="K31" s="46" t="s">
        <v>2646</v>
      </c>
      <c r="L31" s="46" t="s">
        <v>2663</v>
      </c>
    </row>
    <row r="32" spans="1:12" x14ac:dyDescent="0.3">
      <c r="A32" s="46" t="s">
        <v>1996</v>
      </c>
      <c r="B32" s="46">
        <v>30</v>
      </c>
      <c r="C32" s="46" t="s">
        <v>2086</v>
      </c>
      <c r="D32" s="50" t="s">
        <v>933</v>
      </c>
      <c r="E32" s="46" t="s">
        <v>1934</v>
      </c>
      <c r="F32" s="46" t="s">
        <v>1940</v>
      </c>
      <c r="G32" s="46" t="s">
        <v>1</v>
      </c>
      <c r="H32" s="46" t="s">
        <v>1995</v>
      </c>
      <c r="I32" s="46" t="s">
        <v>1994</v>
      </c>
      <c r="J32" s="46" t="s">
        <v>1993</v>
      </c>
      <c r="K32" s="46" t="s">
        <v>2647</v>
      </c>
      <c r="L32" s="46" t="s">
        <v>2664</v>
      </c>
    </row>
    <row r="33" spans="1:12" x14ac:dyDescent="0.3">
      <c r="A33" s="46" t="s">
        <v>1992</v>
      </c>
      <c r="B33" s="46">
        <v>31</v>
      </c>
      <c r="C33" s="46" t="s">
        <v>2086</v>
      </c>
      <c r="D33" s="50" t="s">
        <v>933</v>
      </c>
      <c r="E33" s="46" t="s">
        <v>1934</v>
      </c>
      <c r="F33" s="46" t="s">
        <v>1940</v>
      </c>
      <c r="G33" s="46" t="s">
        <v>1991</v>
      </c>
      <c r="H33" s="46" t="s">
        <v>1990</v>
      </c>
      <c r="I33" s="46" t="s">
        <v>1989</v>
      </c>
      <c r="J33" s="46" t="s">
        <v>2631</v>
      </c>
      <c r="K33" s="46" t="s">
        <v>2648</v>
      </c>
      <c r="L33" s="46" t="s">
        <v>2665</v>
      </c>
    </row>
    <row r="34" spans="1:12" ht="24" x14ac:dyDescent="0.3">
      <c r="A34" s="46" t="s">
        <v>1988</v>
      </c>
      <c r="B34" s="46">
        <v>32</v>
      </c>
      <c r="C34" s="46" t="s">
        <v>2086</v>
      </c>
      <c r="D34" s="50" t="s">
        <v>933</v>
      </c>
      <c r="E34" s="46" t="s">
        <v>1934</v>
      </c>
      <c r="F34" s="46" t="s">
        <v>1940</v>
      </c>
      <c r="G34" s="46" t="s">
        <v>1987</v>
      </c>
      <c r="H34" s="46" t="s">
        <v>1986</v>
      </c>
      <c r="I34" s="46" t="s">
        <v>1985</v>
      </c>
      <c r="J34" s="46" t="s">
        <v>2632</v>
      </c>
      <c r="K34" s="46" t="s">
        <v>2649</v>
      </c>
      <c r="L34" s="46" t="s">
        <v>2666</v>
      </c>
    </row>
    <row r="35" spans="1:12" ht="24" x14ac:dyDescent="0.3">
      <c r="A35" s="47" t="s">
        <v>1984</v>
      </c>
      <c r="B35" s="46">
        <v>33</v>
      </c>
      <c r="C35" s="46" t="s">
        <v>2086</v>
      </c>
      <c r="D35" s="50" t="s">
        <v>933</v>
      </c>
      <c r="E35" s="46" t="s">
        <v>1934</v>
      </c>
      <c r="F35" s="46" t="s">
        <v>1940</v>
      </c>
      <c r="G35" s="46" t="s">
        <v>1983</v>
      </c>
      <c r="H35" s="46" t="s">
        <v>1982</v>
      </c>
      <c r="I35" s="46" t="s">
        <v>1981</v>
      </c>
      <c r="J35" s="46" t="s">
        <v>1980</v>
      </c>
      <c r="K35" s="46" t="s">
        <v>1979</v>
      </c>
      <c r="L35" s="46" t="s">
        <v>1978</v>
      </c>
    </row>
    <row r="36" spans="1:12" x14ac:dyDescent="0.3">
      <c r="A36" s="47" t="s">
        <v>1977</v>
      </c>
      <c r="B36" s="46">
        <v>34</v>
      </c>
      <c r="C36" s="46" t="s">
        <v>2086</v>
      </c>
      <c r="D36" s="50" t="s">
        <v>933</v>
      </c>
      <c r="E36" s="46" t="s">
        <v>1934</v>
      </c>
      <c r="F36" s="46" t="s">
        <v>1976</v>
      </c>
      <c r="G36" s="46" t="s">
        <v>1975</v>
      </c>
      <c r="H36" s="46" t="s">
        <v>2623</v>
      </c>
      <c r="I36" s="46" t="s">
        <v>2624</v>
      </c>
      <c r="J36" s="46" t="s">
        <v>937</v>
      </c>
      <c r="K36" s="46" t="s">
        <v>1969</v>
      </c>
      <c r="L36" s="46" t="s">
        <v>1974</v>
      </c>
    </row>
    <row r="37" spans="1:12" x14ac:dyDescent="0.3">
      <c r="A37" s="46" t="s">
        <v>1973</v>
      </c>
      <c r="B37" s="46">
        <v>35</v>
      </c>
      <c r="C37" s="46" t="s">
        <v>2086</v>
      </c>
      <c r="D37" s="50" t="s">
        <v>933</v>
      </c>
      <c r="E37" s="46" t="s">
        <v>1934</v>
      </c>
      <c r="F37" s="46" t="s">
        <v>1940</v>
      </c>
      <c r="G37" s="46" t="s">
        <v>1972</v>
      </c>
      <c r="H37" s="46" t="s">
        <v>1971</v>
      </c>
      <c r="I37" s="46" t="s">
        <v>1970</v>
      </c>
      <c r="J37" s="46" t="s">
        <v>937</v>
      </c>
      <c r="K37" s="46" t="s">
        <v>1969</v>
      </c>
      <c r="L37" s="46" t="s">
        <v>2027</v>
      </c>
    </row>
    <row r="38" spans="1:12" ht="24" x14ac:dyDescent="0.3">
      <c r="A38" s="47" t="s">
        <v>1968</v>
      </c>
      <c r="B38" s="46">
        <v>36</v>
      </c>
      <c r="C38" s="46" t="s">
        <v>2086</v>
      </c>
      <c r="D38" s="50" t="s">
        <v>933</v>
      </c>
      <c r="E38" s="46" t="s">
        <v>1934</v>
      </c>
      <c r="F38" s="46" t="s">
        <v>882</v>
      </c>
      <c r="G38" s="46" t="s">
        <v>1967</v>
      </c>
      <c r="H38" s="46" t="s">
        <v>1966</v>
      </c>
      <c r="I38" s="46" t="s">
        <v>1965</v>
      </c>
      <c r="J38" s="46" t="s">
        <v>1964</v>
      </c>
      <c r="K38" s="46" t="s">
        <v>1963</v>
      </c>
      <c r="L38" s="46" t="s">
        <v>1962</v>
      </c>
    </row>
    <row r="39" spans="1:12" x14ac:dyDescent="0.3">
      <c r="A39" s="47" t="s">
        <v>1960</v>
      </c>
      <c r="B39" s="46">
        <v>37</v>
      </c>
      <c r="C39" s="46" t="s">
        <v>2086</v>
      </c>
      <c r="D39" s="50" t="s">
        <v>933</v>
      </c>
      <c r="E39" s="46" t="s">
        <v>1934</v>
      </c>
      <c r="F39" s="46" t="s">
        <v>1955</v>
      </c>
      <c r="G39" s="46" t="s">
        <v>1959</v>
      </c>
      <c r="H39" s="46" t="s">
        <v>1958</v>
      </c>
      <c r="I39" s="46" t="s">
        <v>1957</v>
      </c>
      <c r="J39" s="46" t="s">
        <v>937</v>
      </c>
      <c r="K39" s="46" t="s">
        <v>1969</v>
      </c>
      <c r="L39" s="46" t="s">
        <v>1974</v>
      </c>
    </row>
    <row r="40" spans="1:12" x14ac:dyDescent="0.3">
      <c r="A40" s="47" t="s">
        <v>1956</v>
      </c>
      <c r="B40" s="46">
        <v>38</v>
      </c>
      <c r="C40" s="46" t="s">
        <v>2086</v>
      </c>
      <c r="D40" s="50" t="s">
        <v>933</v>
      </c>
      <c r="E40" s="46" t="s">
        <v>1934</v>
      </c>
      <c r="F40" s="46" t="s">
        <v>1955</v>
      </c>
      <c r="G40" s="46" t="s">
        <v>1954</v>
      </c>
      <c r="H40" s="46" t="s">
        <v>1953</v>
      </c>
      <c r="I40" s="46" t="s">
        <v>1952</v>
      </c>
      <c r="J40" s="46" t="s">
        <v>937</v>
      </c>
      <c r="K40" s="46" t="s">
        <v>1969</v>
      </c>
      <c r="L40" s="46" t="s">
        <v>1974</v>
      </c>
    </row>
    <row r="41" spans="1:12" ht="24" x14ac:dyDescent="0.3">
      <c r="A41" s="47" t="s">
        <v>1951</v>
      </c>
      <c r="B41" s="46">
        <v>39</v>
      </c>
      <c r="C41" s="46" t="s">
        <v>2086</v>
      </c>
      <c r="D41" s="50" t="s">
        <v>933</v>
      </c>
      <c r="E41" s="46" t="s">
        <v>1934</v>
      </c>
      <c r="F41" s="46" t="s">
        <v>882</v>
      </c>
      <c r="G41" s="46" t="s">
        <v>2</v>
      </c>
      <c r="H41" s="46" t="s">
        <v>2</v>
      </c>
      <c r="I41" s="46" t="s">
        <v>1950</v>
      </c>
      <c r="J41" s="46" t="s">
        <v>2633</v>
      </c>
      <c r="K41" s="46" t="s">
        <v>2650</v>
      </c>
      <c r="L41" s="46" t="s">
        <v>2667</v>
      </c>
    </row>
    <row r="42" spans="1:12" x14ac:dyDescent="0.3">
      <c r="A42" s="59" t="s">
        <v>1949</v>
      </c>
      <c r="B42" s="46">
        <v>40</v>
      </c>
      <c r="C42" s="112" t="s">
        <v>2086</v>
      </c>
      <c r="D42" s="112" t="s">
        <v>938</v>
      </c>
      <c r="E42" s="112" t="s">
        <v>1932</v>
      </c>
      <c r="F42" s="112" t="s">
        <v>952</v>
      </c>
      <c r="G42" s="59" t="s">
        <v>938</v>
      </c>
      <c r="H42" s="46" t="s">
        <v>2473</v>
      </c>
      <c r="I42" s="46" t="s">
        <v>2478</v>
      </c>
      <c r="J42" s="46" t="s">
        <v>952</v>
      </c>
      <c r="K42" s="46" t="s">
        <v>952</v>
      </c>
      <c r="L42" s="46" t="s">
        <v>952</v>
      </c>
    </row>
    <row r="43" spans="1:12" ht="24" x14ac:dyDescent="0.3">
      <c r="A43" s="59" t="s">
        <v>2173</v>
      </c>
      <c r="B43" s="46">
        <v>41</v>
      </c>
      <c r="C43" s="112" t="s">
        <v>2086</v>
      </c>
      <c r="D43" s="112" t="s">
        <v>938</v>
      </c>
      <c r="E43" s="112" t="s">
        <v>1936</v>
      </c>
      <c r="F43" s="112" t="s">
        <v>952</v>
      </c>
      <c r="G43" s="59" t="s">
        <v>2590</v>
      </c>
      <c r="H43" s="54" t="s">
        <v>2591</v>
      </c>
      <c r="I43" s="54" t="s">
        <v>2588</v>
      </c>
      <c r="J43" s="46" t="s">
        <v>952</v>
      </c>
      <c r="K43" s="46" t="s">
        <v>952</v>
      </c>
      <c r="L43" s="46" t="s">
        <v>952</v>
      </c>
    </row>
    <row r="44" spans="1:12" ht="24" x14ac:dyDescent="0.3">
      <c r="A44" s="59" t="s">
        <v>2174</v>
      </c>
      <c r="B44" s="46">
        <v>42</v>
      </c>
      <c r="C44" s="112" t="s">
        <v>2086</v>
      </c>
      <c r="D44" s="112" t="s">
        <v>938</v>
      </c>
      <c r="E44" s="112" t="s">
        <v>1937</v>
      </c>
      <c r="F44" s="112" t="s">
        <v>952</v>
      </c>
      <c r="G44" s="59" t="s">
        <v>2589</v>
      </c>
      <c r="H44" s="54" t="s">
        <v>2447</v>
      </c>
      <c r="I44" s="54" t="s">
        <v>2479</v>
      </c>
      <c r="J44" s="46" t="s">
        <v>952</v>
      </c>
      <c r="K44" s="46" t="s">
        <v>952</v>
      </c>
      <c r="L44" s="46" t="s">
        <v>952</v>
      </c>
    </row>
    <row r="45" spans="1:12" x14ac:dyDescent="0.3">
      <c r="A45" s="59" t="s">
        <v>2175</v>
      </c>
      <c r="B45" s="46">
        <v>43</v>
      </c>
      <c r="C45" s="112" t="s">
        <v>2086</v>
      </c>
      <c r="D45" s="112" t="s">
        <v>938</v>
      </c>
      <c r="E45" s="112" t="s">
        <v>1937</v>
      </c>
      <c r="F45" s="112" t="s">
        <v>952</v>
      </c>
      <c r="G45" s="59" t="s">
        <v>2592</v>
      </c>
      <c r="H45" s="54" t="s">
        <v>2593</v>
      </c>
      <c r="I45" s="54" t="s">
        <v>2594</v>
      </c>
      <c r="J45" s="46" t="s">
        <v>952</v>
      </c>
      <c r="K45" s="46" t="s">
        <v>952</v>
      </c>
      <c r="L45" s="46" t="s">
        <v>952</v>
      </c>
    </row>
    <row r="46" spans="1:12" x14ac:dyDescent="0.3">
      <c r="A46" s="59" t="s">
        <v>2192</v>
      </c>
      <c r="B46" s="46">
        <v>44</v>
      </c>
      <c r="C46" s="112" t="s">
        <v>2086</v>
      </c>
      <c r="D46" s="112" t="s">
        <v>938</v>
      </c>
      <c r="E46" s="112" t="s">
        <v>1937</v>
      </c>
      <c r="F46" s="112" t="s">
        <v>952</v>
      </c>
      <c r="G46" s="46" t="s">
        <v>103</v>
      </c>
      <c r="H46" s="54" t="s">
        <v>2448</v>
      </c>
      <c r="I46" s="54" t="s">
        <v>2480</v>
      </c>
      <c r="J46" s="46" t="s">
        <v>952</v>
      </c>
      <c r="K46" s="46" t="s">
        <v>952</v>
      </c>
      <c r="L46" s="46" t="s">
        <v>952</v>
      </c>
    </row>
    <row r="47" spans="1:12" x14ac:dyDescent="0.3">
      <c r="A47" s="59" t="s">
        <v>2511</v>
      </c>
      <c r="B47" s="46">
        <v>45</v>
      </c>
      <c r="C47" s="112" t="s">
        <v>2086</v>
      </c>
      <c r="D47" s="112" t="s">
        <v>938</v>
      </c>
      <c r="E47" s="112" t="s">
        <v>1937</v>
      </c>
      <c r="F47" s="112" t="s">
        <v>952</v>
      </c>
      <c r="G47" s="46" t="s">
        <v>2512</v>
      </c>
      <c r="H47" s="46" t="s">
        <v>2512</v>
      </c>
      <c r="I47" s="46" t="s">
        <v>2512</v>
      </c>
      <c r="J47" s="46" t="s">
        <v>952</v>
      </c>
      <c r="K47" s="46" t="s">
        <v>952</v>
      </c>
      <c r="L47" s="46" t="s">
        <v>952</v>
      </c>
    </row>
    <row r="48" spans="1:12" x14ac:dyDescent="0.3">
      <c r="A48" s="59" t="s">
        <v>1948</v>
      </c>
      <c r="B48" s="46">
        <v>45</v>
      </c>
      <c r="C48" s="112" t="s">
        <v>2086</v>
      </c>
      <c r="D48" s="112" t="s">
        <v>938</v>
      </c>
      <c r="E48" s="112" t="s">
        <v>1936</v>
      </c>
      <c r="F48" s="112" t="s">
        <v>952</v>
      </c>
      <c r="G48" s="59" t="s">
        <v>25</v>
      </c>
      <c r="H48" s="54" t="s">
        <v>2458</v>
      </c>
      <c r="I48" s="54" t="s">
        <v>2481</v>
      </c>
      <c r="J48" s="46" t="s">
        <v>952</v>
      </c>
      <c r="K48" s="46" t="s">
        <v>952</v>
      </c>
      <c r="L48" s="46" t="s">
        <v>952</v>
      </c>
    </row>
    <row r="49" spans="1:12" x14ac:dyDescent="0.3">
      <c r="A49" s="59" t="s">
        <v>1947</v>
      </c>
      <c r="B49" s="46">
        <v>46</v>
      </c>
      <c r="C49" s="112" t="s">
        <v>2086</v>
      </c>
      <c r="D49" s="112" t="s">
        <v>938</v>
      </c>
      <c r="E49" s="112" t="s">
        <v>1937</v>
      </c>
      <c r="F49" s="112" t="s">
        <v>952</v>
      </c>
      <c r="G49" s="59" t="s">
        <v>109</v>
      </c>
      <c r="H49" s="54" t="s">
        <v>2449</v>
      </c>
      <c r="I49" s="54" t="s">
        <v>2482</v>
      </c>
      <c r="J49" s="46" t="s">
        <v>952</v>
      </c>
      <c r="K49" s="46" t="s">
        <v>952</v>
      </c>
      <c r="L49" s="46" t="s">
        <v>952</v>
      </c>
    </row>
    <row r="50" spans="1:12" x14ac:dyDescent="0.3">
      <c r="A50" s="59" t="s">
        <v>1946</v>
      </c>
      <c r="B50" s="46">
        <v>47</v>
      </c>
      <c r="C50" s="112" t="s">
        <v>2086</v>
      </c>
      <c r="D50" s="112" t="s">
        <v>938</v>
      </c>
      <c r="E50" s="112" t="s">
        <v>1937</v>
      </c>
      <c r="F50" s="112" t="s">
        <v>952</v>
      </c>
      <c r="G50" s="59" t="s">
        <v>110</v>
      </c>
      <c r="H50" s="54" t="s">
        <v>2450</v>
      </c>
      <c r="I50" s="54" t="s">
        <v>2483</v>
      </c>
      <c r="J50" s="46" t="s">
        <v>952</v>
      </c>
      <c r="K50" s="46" t="s">
        <v>952</v>
      </c>
      <c r="L50" s="46" t="s">
        <v>952</v>
      </c>
    </row>
    <row r="51" spans="1:12" x14ac:dyDescent="0.3">
      <c r="A51" s="59" t="s">
        <v>1945</v>
      </c>
      <c r="B51" s="46">
        <v>48</v>
      </c>
      <c r="C51" s="112" t="s">
        <v>2086</v>
      </c>
      <c r="D51" s="112" t="s">
        <v>938</v>
      </c>
      <c r="E51" s="112" t="s">
        <v>1937</v>
      </c>
      <c r="F51" s="112" t="s">
        <v>952</v>
      </c>
      <c r="G51" s="59" t="s">
        <v>105</v>
      </c>
      <c r="H51" s="54" t="s">
        <v>2451</v>
      </c>
      <c r="I51" s="54" t="s">
        <v>2484</v>
      </c>
      <c r="J51" s="46" t="s">
        <v>952</v>
      </c>
      <c r="K51" s="46" t="s">
        <v>952</v>
      </c>
      <c r="L51" s="46" t="s">
        <v>952</v>
      </c>
    </row>
    <row r="52" spans="1:12" x14ac:dyDescent="0.3">
      <c r="A52" s="59" t="s">
        <v>2176</v>
      </c>
      <c r="B52" s="46">
        <v>49</v>
      </c>
      <c r="C52" s="112" t="s">
        <v>2086</v>
      </c>
      <c r="D52" s="112" t="s">
        <v>938</v>
      </c>
      <c r="E52" s="112" t="s">
        <v>1937</v>
      </c>
      <c r="F52" s="112" t="s">
        <v>952</v>
      </c>
      <c r="G52" s="59" t="s">
        <v>108</v>
      </c>
      <c r="H52" s="54" t="s">
        <v>2452</v>
      </c>
      <c r="I52" s="54" t="s">
        <v>2485</v>
      </c>
      <c r="J52" s="46" t="s">
        <v>952</v>
      </c>
      <c r="K52" s="46" t="s">
        <v>952</v>
      </c>
      <c r="L52" s="46" t="s">
        <v>952</v>
      </c>
    </row>
    <row r="53" spans="1:12" x14ac:dyDescent="0.3">
      <c r="A53" s="59" t="s">
        <v>2466</v>
      </c>
      <c r="B53" s="46">
        <v>49</v>
      </c>
      <c r="C53" s="112" t="s">
        <v>2086</v>
      </c>
      <c r="D53" s="112" t="s">
        <v>938</v>
      </c>
      <c r="E53" s="112" t="s">
        <v>1937</v>
      </c>
      <c r="F53" s="112" t="s">
        <v>952</v>
      </c>
      <c r="G53" s="59" t="s">
        <v>2113</v>
      </c>
      <c r="H53" s="54" t="s">
        <v>2468</v>
      </c>
      <c r="I53" s="54" t="s">
        <v>2486</v>
      </c>
      <c r="J53" s="46" t="s">
        <v>952</v>
      </c>
      <c r="K53" s="46" t="s">
        <v>952</v>
      </c>
      <c r="L53" s="46" t="s">
        <v>952</v>
      </c>
    </row>
    <row r="54" spans="1:12" x14ac:dyDescent="0.3">
      <c r="A54" s="59" t="s">
        <v>2467</v>
      </c>
      <c r="B54" s="46">
        <v>49</v>
      </c>
      <c r="C54" s="112" t="s">
        <v>2086</v>
      </c>
      <c r="D54" s="112" t="s">
        <v>938</v>
      </c>
      <c r="E54" s="112" t="s">
        <v>1937</v>
      </c>
      <c r="F54" s="112" t="s">
        <v>952</v>
      </c>
      <c r="G54" s="59" t="s">
        <v>2114</v>
      </c>
      <c r="H54" s="54" t="s">
        <v>2469</v>
      </c>
      <c r="I54" s="54" t="s">
        <v>2487</v>
      </c>
      <c r="J54" s="46" t="s">
        <v>952</v>
      </c>
      <c r="K54" s="46" t="s">
        <v>952</v>
      </c>
      <c r="L54" s="46" t="s">
        <v>952</v>
      </c>
    </row>
    <row r="55" spans="1:12" x14ac:dyDescent="0.3">
      <c r="A55" s="59" t="s">
        <v>2470</v>
      </c>
      <c r="B55" s="46">
        <v>49</v>
      </c>
      <c r="C55" s="112" t="s">
        <v>2086</v>
      </c>
      <c r="D55" s="112" t="s">
        <v>938</v>
      </c>
      <c r="E55" s="112" t="s">
        <v>1937</v>
      </c>
      <c r="F55" s="112" t="s">
        <v>952</v>
      </c>
      <c r="G55" s="54" t="s">
        <v>2760</v>
      </c>
      <c r="H55" s="54" t="s">
        <v>2471</v>
      </c>
      <c r="I55" s="54" t="s">
        <v>2488</v>
      </c>
      <c r="J55" s="46" t="s">
        <v>952</v>
      </c>
      <c r="K55" s="46" t="s">
        <v>952</v>
      </c>
      <c r="L55" s="46" t="s">
        <v>952</v>
      </c>
    </row>
    <row r="56" spans="1:12" x14ac:dyDescent="0.3">
      <c r="A56" s="59" t="s">
        <v>2177</v>
      </c>
      <c r="B56" s="46">
        <v>50</v>
      </c>
      <c r="C56" s="112" t="s">
        <v>2086</v>
      </c>
      <c r="D56" s="112" t="s">
        <v>938</v>
      </c>
      <c r="E56" s="112" t="s">
        <v>1937</v>
      </c>
      <c r="F56" s="112" t="s">
        <v>952</v>
      </c>
      <c r="G56" s="59" t="s">
        <v>20</v>
      </c>
      <c r="H56" s="54" t="s">
        <v>2453</v>
      </c>
      <c r="I56" s="54" t="s">
        <v>2489</v>
      </c>
      <c r="J56" s="46" t="s">
        <v>952</v>
      </c>
      <c r="K56" s="46" t="s">
        <v>952</v>
      </c>
      <c r="L56" s="46" t="s">
        <v>952</v>
      </c>
    </row>
    <row r="57" spans="1:12" x14ac:dyDescent="0.3">
      <c r="A57" s="59" t="s">
        <v>2461</v>
      </c>
      <c r="B57" s="46">
        <v>50</v>
      </c>
      <c r="C57" s="112" t="s">
        <v>2086</v>
      </c>
      <c r="D57" s="112" t="s">
        <v>938</v>
      </c>
      <c r="E57" s="112" t="s">
        <v>1937</v>
      </c>
      <c r="F57" s="112" t="s">
        <v>952</v>
      </c>
      <c r="G57" s="54" t="s">
        <v>111</v>
      </c>
      <c r="H57" s="54" t="s">
        <v>2454</v>
      </c>
      <c r="I57" s="54" t="s">
        <v>2490</v>
      </c>
      <c r="J57" s="46" t="s">
        <v>952</v>
      </c>
      <c r="K57" s="46" t="s">
        <v>952</v>
      </c>
      <c r="L57" s="46" t="s">
        <v>952</v>
      </c>
    </row>
    <row r="58" spans="1:12" x14ac:dyDescent="0.3">
      <c r="A58" s="59" t="s">
        <v>2462</v>
      </c>
      <c r="B58" s="46">
        <v>50</v>
      </c>
      <c r="C58" s="112" t="s">
        <v>2086</v>
      </c>
      <c r="D58" s="112" t="s">
        <v>938</v>
      </c>
      <c r="E58" s="112" t="s">
        <v>1937</v>
      </c>
      <c r="F58" s="112" t="s">
        <v>952</v>
      </c>
      <c r="G58" s="54" t="s">
        <v>112</v>
      </c>
      <c r="H58" s="54" t="s">
        <v>2455</v>
      </c>
      <c r="I58" s="54" t="s">
        <v>2491</v>
      </c>
      <c r="J58" s="46" t="s">
        <v>952</v>
      </c>
      <c r="K58" s="46" t="s">
        <v>952</v>
      </c>
      <c r="L58" s="46" t="s">
        <v>952</v>
      </c>
    </row>
    <row r="59" spans="1:12" x14ac:dyDescent="0.3">
      <c r="A59" s="59" t="s">
        <v>2463</v>
      </c>
      <c r="B59" s="46">
        <v>50</v>
      </c>
      <c r="C59" s="112" t="s">
        <v>2086</v>
      </c>
      <c r="D59" s="112" t="s">
        <v>938</v>
      </c>
      <c r="E59" s="112" t="s">
        <v>1937</v>
      </c>
      <c r="F59" s="112" t="s">
        <v>952</v>
      </c>
      <c r="G59" s="54" t="s">
        <v>113</v>
      </c>
      <c r="H59" s="54" t="s">
        <v>2456</v>
      </c>
      <c r="I59" s="54" t="s">
        <v>2492</v>
      </c>
      <c r="J59" s="46" t="s">
        <v>952</v>
      </c>
      <c r="K59" s="46" t="s">
        <v>952</v>
      </c>
      <c r="L59" s="46" t="s">
        <v>952</v>
      </c>
    </row>
    <row r="60" spans="1:12" x14ac:dyDescent="0.3">
      <c r="A60" s="59" t="s">
        <v>2182</v>
      </c>
      <c r="B60" s="46">
        <v>51</v>
      </c>
      <c r="C60" s="112" t="s">
        <v>2086</v>
      </c>
      <c r="D60" s="112" t="s">
        <v>938</v>
      </c>
      <c r="E60" s="112" t="s">
        <v>1937</v>
      </c>
      <c r="F60" s="112" t="s">
        <v>952</v>
      </c>
      <c r="G60" s="59" t="s">
        <v>883</v>
      </c>
      <c r="H60" s="54" t="s">
        <v>2460</v>
      </c>
      <c r="I60" s="54" t="s">
        <v>2315</v>
      </c>
      <c r="J60" s="46" t="s">
        <v>952</v>
      </c>
      <c r="K60" s="46" t="s">
        <v>952</v>
      </c>
      <c r="L60" s="46" t="s">
        <v>952</v>
      </c>
    </row>
    <row r="61" spans="1:12" x14ac:dyDescent="0.3">
      <c r="A61" s="59" t="s">
        <v>1944</v>
      </c>
      <c r="B61" s="46">
        <v>52</v>
      </c>
      <c r="C61" s="112" t="s">
        <v>2086</v>
      </c>
      <c r="D61" s="112" t="s">
        <v>938</v>
      </c>
      <c r="E61" s="112" t="s">
        <v>1936</v>
      </c>
      <c r="F61" s="112" t="s">
        <v>952</v>
      </c>
      <c r="G61" s="59" t="s">
        <v>24</v>
      </c>
      <c r="H61" s="54" t="s">
        <v>2459</v>
      </c>
      <c r="I61" s="54" t="s">
        <v>2493</v>
      </c>
      <c r="J61" s="46" t="s">
        <v>952</v>
      </c>
      <c r="K61" s="46" t="s">
        <v>952</v>
      </c>
      <c r="L61" s="46" t="s">
        <v>952</v>
      </c>
    </row>
    <row r="62" spans="1:12" x14ac:dyDescent="0.3">
      <c r="A62" s="59" t="s">
        <v>1943</v>
      </c>
      <c r="B62" s="46">
        <v>53</v>
      </c>
      <c r="C62" s="112" t="s">
        <v>2086</v>
      </c>
      <c r="D62" s="112" t="s">
        <v>938</v>
      </c>
      <c r="E62" s="112" t="s">
        <v>1937</v>
      </c>
      <c r="F62" s="112" t="s">
        <v>952</v>
      </c>
      <c r="G62" s="59" t="s">
        <v>109</v>
      </c>
      <c r="H62" s="54" t="s">
        <v>2449</v>
      </c>
      <c r="I62" s="54" t="s">
        <v>2482</v>
      </c>
      <c r="J62" s="46" t="s">
        <v>952</v>
      </c>
      <c r="K62" s="46" t="s">
        <v>952</v>
      </c>
      <c r="L62" s="46" t="s">
        <v>952</v>
      </c>
    </row>
    <row r="63" spans="1:12" x14ac:dyDescent="0.3">
      <c r="A63" s="59" t="s">
        <v>1942</v>
      </c>
      <c r="B63" s="46">
        <v>54</v>
      </c>
      <c r="C63" s="112" t="s">
        <v>2086</v>
      </c>
      <c r="D63" s="112" t="s">
        <v>938</v>
      </c>
      <c r="E63" s="112" t="s">
        <v>1937</v>
      </c>
      <c r="F63" s="112" t="s">
        <v>952</v>
      </c>
      <c r="G63" s="59" t="s">
        <v>110</v>
      </c>
      <c r="H63" s="54" t="s">
        <v>2450</v>
      </c>
      <c r="I63" s="54" t="s">
        <v>2483</v>
      </c>
      <c r="J63" s="46" t="s">
        <v>952</v>
      </c>
      <c r="K63" s="46" t="s">
        <v>952</v>
      </c>
      <c r="L63" s="46" t="s">
        <v>952</v>
      </c>
    </row>
    <row r="64" spans="1:12" x14ac:dyDescent="0.3">
      <c r="A64" s="59" t="s">
        <v>2178</v>
      </c>
      <c r="B64" s="46">
        <v>55</v>
      </c>
      <c r="C64" s="112" t="s">
        <v>2086</v>
      </c>
      <c r="D64" s="112" t="s">
        <v>938</v>
      </c>
      <c r="E64" s="112" t="s">
        <v>1937</v>
      </c>
      <c r="F64" s="112" t="s">
        <v>952</v>
      </c>
      <c r="G64" s="59" t="s">
        <v>105</v>
      </c>
      <c r="H64" s="54" t="s">
        <v>2451</v>
      </c>
      <c r="I64" s="54" t="s">
        <v>2484</v>
      </c>
      <c r="J64" s="46" t="s">
        <v>952</v>
      </c>
      <c r="K64" s="46" t="s">
        <v>952</v>
      </c>
      <c r="L64" s="46" t="s">
        <v>952</v>
      </c>
    </row>
    <row r="65" spans="1:12" x14ac:dyDescent="0.3">
      <c r="A65" s="59" t="s">
        <v>2179</v>
      </c>
      <c r="B65" s="46">
        <v>56</v>
      </c>
      <c r="C65" s="112" t="s">
        <v>2086</v>
      </c>
      <c r="D65" s="112" t="s">
        <v>938</v>
      </c>
      <c r="E65" s="112" t="s">
        <v>1937</v>
      </c>
      <c r="F65" s="112" t="s">
        <v>952</v>
      </c>
      <c r="G65" s="59" t="s">
        <v>108</v>
      </c>
      <c r="H65" s="54" t="s">
        <v>2452</v>
      </c>
      <c r="I65" s="54" t="s">
        <v>2485</v>
      </c>
      <c r="J65" s="46" t="s">
        <v>952</v>
      </c>
      <c r="K65" s="46" t="s">
        <v>952</v>
      </c>
      <c r="L65" s="46" t="s">
        <v>952</v>
      </c>
    </row>
    <row r="66" spans="1:12" x14ac:dyDescent="0.3">
      <c r="A66" s="59" t="s">
        <v>2464</v>
      </c>
      <c r="B66" s="46">
        <v>56</v>
      </c>
      <c r="C66" s="112" t="s">
        <v>2086</v>
      </c>
      <c r="D66" s="112" t="s">
        <v>938</v>
      </c>
      <c r="E66" s="112" t="s">
        <v>1937</v>
      </c>
      <c r="F66" s="112" t="s">
        <v>952</v>
      </c>
      <c r="G66" s="59" t="s">
        <v>2113</v>
      </c>
      <c r="H66" s="54" t="s">
        <v>2468</v>
      </c>
      <c r="I66" s="54" t="s">
        <v>2506</v>
      </c>
      <c r="J66" s="46" t="s">
        <v>952</v>
      </c>
      <c r="K66" s="46" t="s">
        <v>952</v>
      </c>
      <c r="L66" s="46" t="s">
        <v>952</v>
      </c>
    </row>
    <row r="67" spans="1:12" x14ac:dyDescent="0.3">
      <c r="A67" s="59" t="s">
        <v>2465</v>
      </c>
      <c r="B67" s="46">
        <v>56</v>
      </c>
      <c r="C67" s="112" t="s">
        <v>2086</v>
      </c>
      <c r="D67" s="112" t="s">
        <v>938</v>
      </c>
      <c r="E67" s="112" t="s">
        <v>1937</v>
      </c>
      <c r="F67" s="112" t="s">
        <v>952</v>
      </c>
      <c r="G67" s="59" t="s">
        <v>2114</v>
      </c>
      <c r="H67" s="54" t="s">
        <v>2469</v>
      </c>
      <c r="I67" s="54" t="s">
        <v>2507</v>
      </c>
      <c r="J67" s="46" t="s">
        <v>952</v>
      </c>
      <c r="K67" s="46" t="s">
        <v>952</v>
      </c>
      <c r="L67" s="46" t="s">
        <v>952</v>
      </c>
    </row>
    <row r="68" spans="1:12" x14ac:dyDescent="0.3">
      <c r="A68" s="59" t="s">
        <v>2472</v>
      </c>
      <c r="B68" s="46">
        <v>56</v>
      </c>
      <c r="C68" s="112" t="s">
        <v>2086</v>
      </c>
      <c r="D68" s="112" t="s">
        <v>938</v>
      </c>
      <c r="E68" s="112" t="s">
        <v>1937</v>
      </c>
      <c r="F68" s="112" t="s">
        <v>952</v>
      </c>
      <c r="G68" s="54" t="s">
        <v>2760</v>
      </c>
      <c r="H68" s="54" t="s">
        <v>2471</v>
      </c>
      <c r="I68" s="54" t="s">
        <v>2488</v>
      </c>
      <c r="J68" s="46" t="s">
        <v>952</v>
      </c>
      <c r="K68" s="46" t="s">
        <v>952</v>
      </c>
      <c r="L68" s="46" t="s">
        <v>952</v>
      </c>
    </row>
    <row r="69" spans="1:12" x14ac:dyDescent="0.3">
      <c r="A69" s="59" t="s">
        <v>2180</v>
      </c>
      <c r="B69" s="46">
        <v>57</v>
      </c>
      <c r="C69" s="112" t="s">
        <v>2086</v>
      </c>
      <c r="D69" s="112" t="s">
        <v>938</v>
      </c>
      <c r="E69" s="112" t="s">
        <v>1937</v>
      </c>
      <c r="F69" s="112" t="s">
        <v>952</v>
      </c>
      <c r="G69" s="59" t="s">
        <v>2495</v>
      </c>
      <c r="H69" s="54" t="s">
        <v>2496</v>
      </c>
      <c r="I69" s="54" t="s">
        <v>2497</v>
      </c>
      <c r="J69" s="46" t="s">
        <v>952</v>
      </c>
      <c r="K69" s="46" t="s">
        <v>952</v>
      </c>
      <c r="L69" s="46" t="s">
        <v>952</v>
      </c>
    </row>
    <row r="70" spans="1:12" x14ac:dyDescent="0.3">
      <c r="A70" s="59" t="s">
        <v>2181</v>
      </c>
      <c r="B70" s="46">
        <v>58</v>
      </c>
      <c r="C70" s="112" t="s">
        <v>2086</v>
      </c>
      <c r="D70" s="112" t="s">
        <v>938</v>
      </c>
      <c r="E70" s="112" t="s">
        <v>1937</v>
      </c>
      <c r="F70" s="112" t="s">
        <v>952</v>
      </c>
      <c r="G70" s="59" t="s">
        <v>883</v>
      </c>
      <c r="H70" s="54" t="s">
        <v>2457</v>
      </c>
      <c r="I70" s="54" t="s">
        <v>2315</v>
      </c>
      <c r="J70" s="46" t="s">
        <v>952</v>
      </c>
      <c r="K70" s="46" t="s">
        <v>952</v>
      </c>
      <c r="L70" s="46" t="s">
        <v>952</v>
      </c>
    </row>
    <row r="71" spans="1:12" x14ac:dyDescent="0.3">
      <c r="A71" s="59" t="s">
        <v>1939</v>
      </c>
      <c r="B71" s="46">
        <v>59</v>
      </c>
      <c r="C71" s="112" t="s">
        <v>2086</v>
      </c>
      <c r="D71" s="112" t="s">
        <v>938</v>
      </c>
      <c r="E71" s="112" t="s">
        <v>1936</v>
      </c>
      <c r="F71" s="112" t="s">
        <v>952</v>
      </c>
      <c r="G71" s="59" t="s">
        <v>66</v>
      </c>
      <c r="H71" s="54" t="s">
        <v>66</v>
      </c>
      <c r="I71" s="54" t="s">
        <v>2494</v>
      </c>
      <c r="J71" s="46" t="s">
        <v>952</v>
      </c>
      <c r="K71" s="46" t="s">
        <v>952</v>
      </c>
      <c r="L71" s="46" t="s">
        <v>952</v>
      </c>
    </row>
    <row r="72" spans="1:12" x14ac:dyDescent="0.3">
      <c r="A72" s="59" t="s">
        <v>1938</v>
      </c>
      <c r="B72" s="46">
        <v>60</v>
      </c>
      <c r="C72" s="112" t="s">
        <v>2086</v>
      </c>
      <c r="D72" s="112" t="s">
        <v>938</v>
      </c>
      <c r="E72" s="112" t="s">
        <v>1937</v>
      </c>
      <c r="F72" s="112" t="s">
        <v>952</v>
      </c>
      <c r="G72" s="59" t="s">
        <v>121</v>
      </c>
      <c r="H72" s="54" t="s">
        <v>2568</v>
      </c>
      <c r="I72" s="54" t="s">
        <v>2569</v>
      </c>
      <c r="J72" s="46" t="s">
        <v>952</v>
      </c>
      <c r="K72" s="46" t="s">
        <v>952</v>
      </c>
      <c r="L72" s="46" t="s">
        <v>952</v>
      </c>
    </row>
    <row r="73" spans="1:12" ht="36" x14ac:dyDescent="0.3">
      <c r="A73" s="59" t="s">
        <v>2145</v>
      </c>
      <c r="B73" s="46">
        <v>61</v>
      </c>
      <c r="C73" s="112" t="s">
        <v>2086</v>
      </c>
      <c r="D73" s="112" t="s">
        <v>938</v>
      </c>
      <c r="E73" s="112" t="s">
        <v>1934</v>
      </c>
      <c r="F73" s="46" t="s">
        <v>882</v>
      </c>
      <c r="G73" s="59" t="s">
        <v>22</v>
      </c>
      <c r="H73" s="46" t="s">
        <v>22</v>
      </c>
      <c r="I73" s="46" t="s">
        <v>22</v>
      </c>
      <c r="J73" s="59" t="s">
        <v>1000</v>
      </c>
      <c r="K73" s="53" t="s">
        <v>2331</v>
      </c>
      <c r="L73" s="46" t="s">
        <v>2235</v>
      </c>
    </row>
    <row r="74" spans="1:12" x14ac:dyDescent="0.3">
      <c r="A74" s="59" t="s">
        <v>2152</v>
      </c>
      <c r="B74" s="46">
        <v>62</v>
      </c>
      <c r="C74" s="112" t="s">
        <v>2086</v>
      </c>
      <c r="D74" s="112" t="s">
        <v>938</v>
      </c>
      <c r="E74" s="112" t="s">
        <v>1934</v>
      </c>
      <c r="F74" s="46" t="s">
        <v>1940</v>
      </c>
      <c r="G74" s="59" t="s">
        <v>2604</v>
      </c>
      <c r="H74" s="46" t="s">
        <v>2605</v>
      </c>
      <c r="I74" s="46" t="s">
        <v>2208</v>
      </c>
      <c r="J74" s="59" t="s">
        <v>991</v>
      </c>
      <c r="K74" s="53" t="s">
        <v>2332</v>
      </c>
      <c r="L74" s="46" t="s">
        <v>2236</v>
      </c>
    </row>
    <row r="75" spans="1:12" x14ac:dyDescent="0.3">
      <c r="A75" s="59" t="s">
        <v>2101</v>
      </c>
      <c r="B75" s="46">
        <v>63</v>
      </c>
      <c r="C75" s="112" t="s">
        <v>2086</v>
      </c>
      <c r="D75" s="112" t="s">
        <v>938</v>
      </c>
      <c r="E75" s="112" t="s">
        <v>1934</v>
      </c>
      <c r="F75" s="46" t="s">
        <v>1940</v>
      </c>
      <c r="G75" s="59" t="s">
        <v>2608</v>
      </c>
      <c r="H75" s="46" t="s">
        <v>2606</v>
      </c>
      <c r="I75" s="46" t="s">
        <v>2209</v>
      </c>
      <c r="J75" s="59" t="s">
        <v>992</v>
      </c>
      <c r="K75" s="53" t="s">
        <v>2333</v>
      </c>
      <c r="L75" s="46" t="s">
        <v>2237</v>
      </c>
    </row>
    <row r="76" spans="1:12" ht="24" x14ac:dyDescent="0.3">
      <c r="A76" s="59" t="s">
        <v>2103</v>
      </c>
      <c r="B76" s="46">
        <v>64</v>
      </c>
      <c r="C76" s="112" t="s">
        <v>2086</v>
      </c>
      <c r="D76" s="112" t="s">
        <v>938</v>
      </c>
      <c r="E76" s="112" t="s">
        <v>1934</v>
      </c>
      <c r="F76" s="46" t="s">
        <v>882</v>
      </c>
      <c r="G76" s="59" t="s">
        <v>2156</v>
      </c>
      <c r="H76" s="46" t="s">
        <v>2532</v>
      </c>
      <c r="I76" s="46" t="s">
        <v>2533</v>
      </c>
      <c r="J76" s="59" t="s">
        <v>1008</v>
      </c>
      <c r="K76" s="53" t="s">
        <v>2651</v>
      </c>
      <c r="L76" s="46" t="s">
        <v>2239</v>
      </c>
    </row>
    <row r="77" spans="1:12" ht="24" x14ac:dyDescent="0.3">
      <c r="A77" s="59" t="s">
        <v>2104</v>
      </c>
      <c r="B77" s="46">
        <v>65</v>
      </c>
      <c r="C77" s="112" t="s">
        <v>2086</v>
      </c>
      <c r="D77" s="112" t="s">
        <v>938</v>
      </c>
      <c r="E77" s="112" t="s">
        <v>1934</v>
      </c>
      <c r="F77" s="46" t="s">
        <v>882</v>
      </c>
      <c r="G77" s="59" t="s">
        <v>2157</v>
      </c>
      <c r="H77" s="46" t="s">
        <v>2534</v>
      </c>
      <c r="I77" s="46" t="s">
        <v>2537</v>
      </c>
      <c r="J77" s="59" t="s">
        <v>1009</v>
      </c>
      <c r="K77" s="53" t="s">
        <v>2652</v>
      </c>
      <c r="L77" s="46" t="s">
        <v>2240</v>
      </c>
    </row>
    <row r="78" spans="1:12" ht="24" x14ac:dyDescent="0.3">
      <c r="A78" s="59" t="s">
        <v>2105</v>
      </c>
      <c r="B78" s="46">
        <v>66</v>
      </c>
      <c r="C78" s="112" t="s">
        <v>2086</v>
      </c>
      <c r="D78" s="112" t="s">
        <v>938</v>
      </c>
      <c r="E78" s="112" t="s">
        <v>1934</v>
      </c>
      <c r="F78" s="46" t="s">
        <v>882</v>
      </c>
      <c r="G78" s="59" t="s">
        <v>2158</v>
      </c>
      <c r="H78" s="46" t="s">
        <v>2535</v>
      </c>
      <c r="I78" s="46" t="s">
        <v>2538</v>
      </c>
      <c r="J78" s="59" t="s">
        <v>1010</v>
      </c>
      <c r="K78" s="53" t="s">
        <v>2653</v>
      </c>
      <c r="L78" s="46" t="s">
        <v>2241</v>
      </c>
    </row>
    <row r="79" spans="1:12" ht="24" x14ac:dyDescent="0.3">
      <c r="A79" s="59" t="s">
        <v>2106</v>
      </c>
      <c r="B79" s="46">
        <v>67</v>
      </c>
      <c r="C79" s="112" t="s">
        <v>2086</v>
      </c>
      <c r="D79" s="112" t="s">
        <v>938</v>
      </c>
      <c r="E79" s="112" t="s">
        <v>1934</v>
      </c>
      <c r="F79" s="46" t="s">
        <v>882</v>
      </c>
      <c r="G79" s="59" t="s">
        <v>2159</v>
      </c>
      <c r="H79" s="46" t="s">
        <v>2536</v>
      </c>
      <c r="I79" s="46" t="s">
        <v>2539</v>
      </c>
      <c r="J79" s="59" t="s">
        <v>1011</v>
      </c>
      <c r="K79" s="53" t="s">
        <v>2654</v>
      </c>
      <c r="L79" s="46" t="s">
        <v>2242</v>
      </c>
    </row>
    <row r="80" spans="1:12" ht="24" x14ac:dyDescent="0.3">
      <c r="A80" s="59" t="s">
        <v>2102</v>
      </c>
      <c r="B80" s="46">
        <v>68</v>
      </c>
      <c r="C80" s="112" t="s">
        <v>2086</v>
      </c>
      <c r="D80" s="112" t="s">
        <v>938</v>
      </c>
      <c r="E80" s="112" t="s">
        <v>1934</v>
      </c>
      <c r="F80" s="46" t="s">
        <v>1940</v>
      </c>
      <c r="G80" s="59" t="s">
        <v>2607</v>
      </c>
      <c r="H80" s="46" t="s">
        <v>2607</v>
      </c>
      <c r="I80" s="46" t="s">
        <v>2210</v>
      </c>
      <c r="J80" s="59" t="s">
        <v>997</v>
      </c>
      <c r="K80" s="53" t="s">
        <v>2334</v>
      </c>
      <c r="L80" s="46" t="s">
        <v>2238</v>
      </c>
    </row>
    <row r="81" spans="1:12" x14ac:dyDescent="0.3">
      <c r="A81" s="59" t="s">
        <v>2108</v>
      </c>
      <c r="B81" s="46">
        <v>69</v>
      </c>
      <c r="C81" s="112" t="s">
        <v>2086</v>
      </c>
      <c r="D81" s="112" t="s">
        <v>938</v>
      </c>
      <c r="E81" s="112" t="s">
        <v>1934</v>
      </c>
      <c r="F81" s="46" t="s">
        <v>1976</v>
      </c>
      <c r="G81" s="59" t="s">
        <v>21</v>
      </c>
      <c r="H81" s="46" t="s">
        <v>21</v>
      </c>
      <c r="I81" s="46" t="s">
        <v>2211</v>
      </c>
      <c r="J81" s="59" t="s">
        <v>998</v>
      </c>
      <c r="K81" s="55" t="s">
        <v>2335</v>
      </c>
      <c r="L81" s="55" t="s">
        <v>2243</v>
      </c>
    </row>
    <row r="82" spans="1:12" x14ac:dyDescent="0.3">
      <c r="A82" s="59" t="s">
        <v>2109</v>
      </c>
      <c r="B82" s="46">
        <v>70</v>
      </c>
      <c r="C82" s="112" t="s">
        <v>2086</v>
      </c>
      <c r="D82" s="112" t="s">
        <v>938</v>
      </c>
      <c r="E82" s="112" t="s">
        <v>1934</v>
      </c>
      <c r="F82" s="46" t="s">
        <v>2193</v>
      </c>
      <c r="G82" s="59" t="s">
        <v>2584</v>
      </c>
      <c r="H82" s="46" t="s">
        <v>2586</v>
      </c>
      <c r="I82" s="46" t="s">
        <v>2587</v>
      </c>
      <c r="J82" s="59" t="s">
        <v>999</v>
      </c>
      <c r="K82" s="55" t="s">
        <v>2336</v>
      </c>
      <c r="L82" s="55" t="s">
        <v>2244</v>
      </c>
    </row>
    <row r="83" spans="1:12" ht="24" x14ac:dyDescent="0.3">
      <c r="A83" s="59" t="s">
        <v>2107</v>
      </c>
      <c r="B83" s="46">
        <v>71</v>
      </c>
      <c r="C83" s="112" t="s">
        <v>2086</v>
      </c>
      <c r="D83" s="112" t="s">
        <v>938</v>
      </c>
      <c r="E83" s="112" t="s">
        <v>1934</v>
      </c>
      <c r="F83" s="46" t="s">
        <v>2547</v>
      </c>
      <c r="G83" s="59" t="s">
        <v>117</v>
      </c>
      <c r="H83" s="46" t="s">
        <v>117</v>
      </c>
      <c r="I83" s="46" t="s">
        <v>2212</v>
      </c>
      <c r="J83" s="59" t="s">
        <v>2546</v>
      </c>
      <c r="K83" s="55" t="s">
        <v>2556</v>
      </c>
      <c r="L83" s="55" t="s">
        <v>2559</v>
      </c>
    </row>
    <row r="84" spans="1:12" ht="24" x14ac:dyDescent="0.3">
      <c r="A84" s="59" t="s">
        <v>2110</v>
      </c>
      <c r="B84" s="46">
        <v>72</v>
      </c>
      <c r="C84" s="112" t="s">
        <v>2086</v>
      </c>
      <c r="D84" s="112" t="s">
        <v>938</v>
      </c>
      <c r="E84" s="112" t="s">
        <v>1934</v>
      </c>
      <c r="F84" s="46" t="s">
        <v>2547</v>
      </c>
      <c r="G84" s="59" t="s">
        <v>118</v>
      </c>
      <c r="H84" s="46" t="s">
        <v>118</v>
      </c>
      <c r="I84" s="46" t="s">
        <v>2213</v>
      </c>
      <c r="J84" s="59" t="s">
        <v>2554</v>
      </c>
      <c r="K84" s="55" t="s">
        <v>2557</v>
      </c>
      <c r="L84" s="55" t="s">
        <v>2560</v>
      </c>
    </row>
    <row r="85" spans="1:12" ht="24" x14ac:dyDescent="0.3">
      <c r="A85" s="59" t="s">
        <v>2111</v>
      </c>
      <c r="B85" s="46">
        <v>73</v>
      </c>
      <c r="C85" s="112" t="s">
        <v>2086</v>
      </c>
      <c r="D85" s="112" t="s">
        <v>938</v>
      </c>
      <c r="E85" s="112" t="s">
        <v>1934</v>
      </c>
      <c r="F85" s="46" t="s">
        <v>882</v>
      </c>
      <c r="G85" s="59" t="s">
        <v>2197</v>
      </c>
      <c r="H85" s="46" t="s">
        <v>2337</v>
      </c>
      <c r="I85" s="46" t="s">
        <v>2214</v>
      </c>
      <c r="J85" s="59" t="s">
        <v>989</v>
      </c>
      <c r="K85" s="55" t="s">
        <v>2338</v>
      </c>
      <c r="L85" s="55" t="s">
        <v>2245</v>
      </c>
    </row>
    <row r="86" spans="1:12" ht="24" x14ac:dyDescent="0.3">
      <c r="A86" s="59" t="s">
        <v>2154</v>
      </c>
      <c r="B86" s="46">
        <v>74</v>
      </c>
      <c r="C86" s="112" t="s">
        <v>2086</v>
      </c>
      <c r="D86" s="112" t="s">
        <v>938</v>
      </c>
      <c r="E86" s="112" t="s">
        <v>1934</v>
      </c>
      <c r="F86" s="46" t="s">
        <v>882</v>
      </c>
      <c r="G86" s="59" t="s">
        <v>942</v>
      </c>
      <c r="H86" s="46" t="s">
        <v>2339</v>
      </c>
      <c r="I86" s="46" t="s">
        <v>2215</v>
      </c>
      <c r="J86" s="59" t="s">
        <v>2194</v>
      </c>
      <c r="K86" s="55" t="s">
        <v>2340</v>
      </c>
      <c r="L86" s="55" t="s">
        <v>2246</v>
      </c>
    </row>
    <row r="87" spans="1:12" x14ac:dyDescent="0.3">
      <c r="A87" s="59" t="s">
        <v>2115</v>
      </c>
      <c r="B87" s="46">
        <v>75</v>
      </c>
      <c r="C87" s="112" t="s">
        <v>2086</v>
      </c>
      <c r="D87" s="112" t="s">
        <v>938</v>
      </c>
      <c r="E87" s="112" t="s">
        <v>1934</v>
      </c>
      <c r="F87" s="46" t="s">
        <v>1940</v>
      </c>
      <c r="G87" s="59" t="s">
        <v>2599</v>
      </c>
      <c r="H87" s="46" t="s">
        <v>2611</v>
      </c>
      <c r="I87" s="46" t="s">
        <v>2616</v>
      </c>
      <c r="J87" s="59" t="s">
        <v>954</v>
      </c>
      <c r="K87" s="55" t="s">
        <v>2341</v>
      </c>
      <c r="L87" s="55" t="s">
        <v>2247</v>
      </c>
    </row>
    <row r="88" spans="1:12" ht="24" x14ac:dyDescent="0.3">
      <c r="A88" s="59" t="s">
        <v>2116</v>
      </c>
      <c r="B88" s="46">
        <v>76</v>
      </c>
      <c r="C88" s="112" t="s">
        <v>2086</v>
      </c>
      <c r="D88" s="112" t="s">
        <v>938</v>
      </c>
      <c r="E88" s="112" t="s">
        <v>1934</v>
      </c>
      <c r="F88" s="46" t="s">
        <v>882</v>
      </c>
      <c r="G88" s="59" t="s">
        <v>898</v>
      </c>
      <c r="H88" s="46" t="s">
        <v>2342</v>
      </c>
      <c r="I88" s="46" t="s">
        <v>2216</v>
      </c>
      <c r="J88" s="59" t="s">
        <v>995</v>
      </c>
      <c r="K88" s="55" t="s">
        <v>2343</v>
      </c>
      <c r="L88" s="55" t="s">
        <v>2248</v>
      </c>
    </row>
    <row r="89" spans="1:12" ht="24" x14ac:dyDescent="0.3">
      <c r="A89" s="59" t="s">
        <v>2155</v>
      </c>
      <c r="B89" s="46">
        <v>77</v>
      </c>
      <c r="C89" s="112" t="s">
        <v>2086</v>
      </c>
      <c r="D89" s="112" t="s">
        <v>938</v>
      </c>
      <c r="E89" s="112" t="s">
        <v>1934</v>
      </c>
      <c r="F89" s="46" t="s">
        <v>882</v>
      </c>
      <c r="G89" s="59" t="s">
        <v>899</v>
      </c>
      <c r="H89" s="46" t="s">
        <v>2344</v>
      </c>
      <c r="I89" s="46" t="s">
        <v>2217</v>
      </c>
      <c r="J89" s="59" t="s">
        <v>993</v>
      </c>
      <c r="K89" s="55" t="s">
        <v>2345</v>
      </c>
      <c r="L89" s="55" t="s">
        <v>2249</v>
      </c>
    </row>
    <row r="90" spans="1:12" ht="24" x14ac:dyDescent="0.3">
      <c r="A90" s="59" t="s">
        <v>2117</v>
      </c>
      <c r="B90" s="46">
        <v>78</v>
      </c>
      <c r="C90" s="112" t="s">
        <v>2086</v>
      </c>
      <c r="D90" s="112" t="s">
        <v>938</v>
      </c>
      <c r="E90" s="112" t="s">
        <v>1934</v>
      </c>
      <c r="F90" s="46" t="s">
        <v>1940</v>
      </c>
      <c r="G90" s="59" t="s">
        <v>2609</v>
      </c>
      <c r="H90" s="46" t="s">
        <v>2612</v>
      </c>
      <c r="I90" s="46" t="s">
        <v>2610</v>
      </c>
      <c r="J90" s="59" t="s">
        <v>973</v>
      </c>
      <c r="K90" s="55" t="s">
        <v>2347</v>
      </c>
      <c r="L90" s="55" t="s">
        <v>2250</v>
      </c>
    </row>
    <row r="91" spans="1:12" ht="24" x14ac:dyDescent="0.3">
      <c r="A91" s="59" t="s">
        <v>2118</v>
      </c>
      <c r="B91" s="46">
        <v>79</v>
      </c>
      <c r="C91" s="112" t="s">
        <v>2086</v>
      </c>
      <c r="D91" s="112" t="s">
        <v>938</v>
      </c>
      <c r="E91" s="112" t="s">
        <v>1934</v>
      </c>
      <c r="F91" s="46" t="s">
        <v>882</v>
      </c>
      <c r="G91" s="59" t="s">
        <v>122</v>
      </c>
      <c r="H91" s="46" t="s">
        <v>2348</v>
      </c>
      <c r="I91" s="46" t="s">
        <v>2218</v>
      </c>
      <c r="J91" s="59" t="s">
        <v>974</v>
      </c>
      <c r="K91" s="55" t="s">
        <v>2349</v>
      </c>
      <c r="L91" s="55" t="s">
        <v>2251</v>
      </c>
    </row>
    <row r="92" spans="1:12" x14ac:dyDescent="0.3">
      <c r="A92" s="59" t="s">
        <v>2120</v>
      </c>
      <c r="B92" s="46">
        <v>80</v>
      </c>
      <c r="C92" s="112" t="s">
        <v>2086</v>
      </c>
      <c r="D92" s="112" t="s">
        <v>938</v>
      </c>
      <c r="E92" s="112" t="s">
        <v>1934</v>
      </c>
      <c r="F92" s="46" t="s">
        <v>882</v>
      </c>
      <c r="G92" s="59" t="s">
        <v>902</v>
      </c>
      <c r="H92" s="46" t="s">
        <v>2201</v>
      </c>
      <c r="I92" s="46" t="s">
        <v>2202</v>
      </c>
      <c r="J92" s="59" t="s">
        <v>1003</v>
      </c>
      <c r="K92" s="55" t="s">
        <v>2350</v>
      </c>
      <c r="L92" s="55" t="s">
        <v>2252</v>
      </c>
    </row>
    <row r="93" spans="1:12" ht="24" x14ac:dyDescent="0.3">
      <c r="A93" s="59" t="s">
        <v>2122</v>
      </c>
      <c r="B93" s="46">
        <v>81</v>
      </c>
      <c r="C93" s="112" t="s">
        <v>2086</v>
      </c>
      <c r="D93" s="112" t="s">
        <v>938</v>
      </c>
      <c r="E93" s="112" t="s">
        <v>1934</v>
      </c>
      <c r="F93" s="46" t="s">
        <v>1940</v>
      </c>
      <c r="G93" s="59" t="s">
        <v>2600</v>
      </c>
      <c r="H93" s="46" t="s">
        <v>2600</v>
      </c>
      <c r="I93" s="46" t="s">
        <v>2614</v>
      </c>
      <c r="J93" s="59" t="s">
        <v>955</v>
      </c>
      <c r="K93" s="55" t="s">
        <v>2351</v>
      </c>
      <c r="L93" s="55" t="s">
        <v>2253</v>
      </c>
    </row>
    <row r="94" spans="1:12" x14ac:dyDescent="0.3">
      <c r="A94" s="59" t="s">
        <v>2119</v>
      </c>
      <c r="B94" s="46">
        <v>82</v>
      </c>
      <c r="C94" s="112" t="s">
        <v>2086</v>
      </c>
      <c r="D94" s="112" t="s">
        <v>938</v>
      </c>
      <c r="E94" s="112" t="s">
        <v>1934</v>
      </c>
      <c r="F94" s="46" t="s">
        <v>1940</v>
      </c>
      <c r="G94" s="59" t="s">
        <v>2601</v>
      </c>
      <c r="H94" s="46" t="s">
        <v>2613</v>
      </c>
      <c r="I94" s="46" t="s">
        <v>2615</v>
      </c>
      <c r="J94" s="59" t="s">
        <v>985</v>
      </c>
      <c r="K94" s="55" t="s">
        <v>2352</v>
      </c>
      <c r="L94" s="55" t="s">
        <v>2254</v>
      </c>
    </row>
    <row r="95" spans="1:12" x14ac:dyDescent="0.3">
      <c r="A95" s="59" t="s">
        <v>2121</v>
      </c>
      <c r="B95" s="46">
        <v>83</v>
      </c>
      <c r="C95" s="112" t="s">
        <v>2086</v>
      </c>
      <c r="D95" s="112" t="s">
        <v>938</v>
      </c>
      <c r="E95" s="112" t="s">
        <v>1934</v>
      </c>
      <c r="F95" s="46" t="s">
        <v>882</v>
      </c>
      <c r="G95" s="59" t="s">
        <v>902</v>
      </c>
      <c r="H95" s="46" t="s">
        <v>2201</v>
      </c>
      <c r="I95" s="46" t="s">
        <v>2202</v>
      </c>
      <c r="J95" s="59" t="s">
        <v>957</v>
      </c>
      <c r="K95" s="55" t="s">
        <v>2353</v>
      </c>
      <c r="L95" s="55" t="s">
        <v>2255</v>
      </c>
    </row>
    <row r="96" spans="1:12" ht="24" x14ac:dyDescent="0.3">
      <c r="A96" s="59" t="s">
        <v>2123</v>
      </c>
      <c r="B96" s="46">
        <v>84</v>
      </c>
      <c r="C96" s="112" t="s">
        <v>2086</v>
      </c>
      <c r="D96" s="112" t="s">
        <v>938</v>
      </c>
      <c r="E96" s="112" t="s">
        <v>1934</v>
      </c>
      <c r="F96" s="46" t="s">
        <v>1940</v>
      </c>
      <c r="G96" s="59" t="s">
        <v>2600</v>
      </c>
      <c r="H96" s="46" t="s">
        <v>2600</v>
      </c>
      <c r="I96" s="46" t="s">
        <v>2614</v>
      </c>
      <c r="J96" s="59" t="s">
        <v>958</v>
      </c>
      <c r="K96" s="55" t="s">
        <v>2354</v>
      </c>
      <c r="L96" s="55" t="s">
        <v>2256</v>
      </c>
    </row>
    <row r="97" spans="1:12" x14ac:dyDescent="0.3">
      <c r="A97" s="59" t="s">
        <v>2124</v>
      </c>
      <c r="B97" s="46">
        <v>85</v>
      </c>
      <c r="C97" s="112" t="s">
        <v>2086</v>
      </c>
      <c r="D97" s="112" t="s">
        <v>938</v>
      </c>
      <c r="E97" s="112" t="s">
        <v>1934</v>
      </c>
      <c r="F97" s="46" t="s">
        <v>1940</v>
      </c>
      <c r="G97" s="59" t="s">
        <v>2601</v>
      </c>
      <c r="H97" s="46" t="s">
        <v>2613</v>
      </c>
      <c r="I97" s="46" t="s">
        <v>2615</v>
      </c>
      <c r="J97" s="59" t="s">
        <v>986</v>
      </c>
      <c r="K97" s="55" t="s">
        <v>2355</v>
      </c>
      <c r="L97" s="55" t="s">
        <v>2257</v>
      </c>
    </row>
    <row r="98" spans="1:12" ht="24" x14ac:dyDescent="0.3">
      <c r="A98" s="51" t="s">
        <v>2570</v>
      </c>
      <c r="B98" s="46">
        <v>86</v>
      </c>
      <c r="C98" s="112" t="s">
        <v>2086</v>
      </c>
      <c r="D98" s="112" t="s">
        <v>938</v>
      </c>
      <c r="E98" s="112" t="s">
        <v>1934</v>
      </c>
      <c r="F98" s="46" t="s">
        <v>882</v>
      </c>
      <c r="G98" s="59" t="s">
        <v>2078</v>
      </c>
      <c r="H98" s="46" t="s">
        <v>2078</v>
      </c>
      <c r="I98" s="46" t="s">
        <v>2078</v>
      </c>
      <c r="J98" s="59" t="s">
        <v>959</v>
      </c>
      <c r="K98" s="55" t="s">
        <v>2356</v>
      </c>
      <c r="L98" s="55" t="s">
        <v>2258</v>
      </c>
    </row>
    <row r="99" spans="1:12" ht="24" x14ac:dyDescent="0.3">
      <c r="A99" s="51" t="s">
        <v>2571</v>
      </c>
      <c r="B99" s="46">
        <v>87</v>
      </c>
      <c r="C99" s="112" t="s">
        <v>2086</v>
      </c>
      <c r="D99" s="112" t="s">
        <v>938</v>
      </c>
      <c r="E99" s="112" t="s">
        <v>1934</v>
      </c>
      <c r="F99" s="46" t="s">
        <v>882</v>
      </c>
      <c r="G99" s="59" t="s">
        <v>884</v>
      </c>
      <c r="H99" s="46" t="s">
        <v>2357</v>
      </c>
      <c r="I99" s="46" t="s">
        <v>2531</v>
      </c>
      <c r="J99" s="59" t="s">
        <v>960</v>
      </c>
      <c r="K99" s="55" t="s">
        <v>2358</v>
      </c>
      <c r="L99" s="55" t="s">
        <v>2259</v>
      </c>
    </row>
    <row r="100" spans="1:12" ht="24" x14ac:dyDescent="0.3">
      <c r="A100" s="51" t="s">
        <v>2572</v>
      </c>
      <c r="B100" s="46">
        <v>88</v>
      </c>
      <c r="C100" s="112" t="s">
        <v>2086</v>
      </c>
      <c r="D100" s="112" t="s">
        <v>938</v>
      </c>
      <c r="E100" s="112" t="s">
        <v>1934</v>
      </c>
      <c r="F100" s="46" t="s">
        <v>882</v>
      </c>
      <c r="G100" s="59" t="s">
        <v>885</v>
      </c>
      <c r="H100" s="46" t="s">
        <v>2359</v>
      </c>
      <c r="I100" s="46" t="s">
        <v>2219</v>
      </c>
      <c r="J100" s="59" t="s">
        <v>961</v>
      </c>
      <c r="K100" s="55" t="s">
        <v>2360</v>
      </c>
      <c r="L100" s="55" t="s">
        <v>2260</v>
      </c>
    </row>
    <row r="101" spans="1:12" ht="24" x14ac:dyDescent="0.3">
      <c r="A101" s="51" t="s">
        <v>2573</v>
      </c>
      <c r="B101" s="46">
        <v>89</v>
      </c>
      <c r="C101" s="112" t="s">
        <v>2086</v>
      </c>
      <c r="D101" s="112" t="s">
        <v>938</v>
      </c>
      <c r="E101" s="112" t="s">
        <v>1934</v>
      </c>
      <c r="F101" s="46" t="s">
        <v>882</v>
      </c>
      <c r="G101" s="59" t="s">
        <v>886</v>
      </c>
      <c r="H101" s="46" t="s">
        <v>2361</v>
      </c>
      <c r="I101" s="46" t="s">
        <v>2220</v>
      </c>
      <c r="J101" s="59" t="s">
        <v>962</v>
      </c>
      <c r="K101" s="55" t="s">
        <v>2362</v>
      </c>
      <c r="L101" s="55" t="s">
        <v>2261</v>
      </c>
    </row>
    <row r="102" spans="1:12" ht="24" x14ac:dyDescent="0.3">
      <c r="A102" s="51" t="s">
        <v>2574</v>
      </c>
      <c r="B102" s="46">
        <v>90</v>
      </c>
      <c r="C102" s="112" t="s">
        <v>2086</v>
      </c>
      <c r="D102" s="112" t="s">
        <v>938</v>
      </c>
      <c r="E102" s="112" t="s">
        <v>1934</v>
      </c>
      <c r="F102" s="46" t="s">
        <v>882</v>
      </c>
      <c r="G102" s="59" t="s">
        <v>887</v>
      </c>
      <c r="H102" s="46" t="s">
        <v>2363</v>
      </c>
      <c r="I102" s="46" t="s">
        <v>2221</v>
      </c>
      <c r="J102" s="59" t="s">
        <v>963</v>
      </c>
      <c r="K102" s="55" t="s">
        <v>2364</v>
      </c>
      <c r="L102" s="55" t="s">
        <v>2262</v>
      </c>
    </row>
    <row r="103" spans="1:12" ht="24" x14ac:dyDescent="0.3">
      <c r="A103" s="51" t="s">
        <v>2575</v>
      </c>
      <c r="B103" s="46">
        <v>91</v>
      </c>
      <c r="C103" s="112" t="s">
        <v>2086</v>
      </c>
      <c r="D103" s="112" t="s">
        <v>938</v>
      </c>
      <c r="E103" s="112" t="s">
        <v>1934</v>
      </c>
      <c r="F103" s="46" t="s">
        <v>882</v>
      </c>
      <c r="G103" s="59" t="s">
        <v>888</v>
      </c>
      <c r="H103" s="46" t="s">
        <v>2365</v>
      </c>
      <c r="I103" s="46" t="s">
        <v>2222</v>
      </c>
      <c r="J103" s="59" t="s">
        <v>964</v>
      </c>
      <c r="K103" s="55" t="s">
        <v>2366</v>
      </c>
      <c r="L103" s="55" t="s">
        <v>2263</v>
      </c>
    </row>
    <row r="104" spans="1:12" ht="24" x14ac:dyDescent="0.3">
      <c r="A104" s="51" t="s">
        <v>2576</v>
      </c>
      <c r="B104" s="46">
        <v>92</v>
      </c>
      <c r="C104" s="112" t="s">
        <v>2086</v>
      </c>
      <c r="D104" s="112" t="s">
        <v>938</v>
      </c>
      <c r="E104" s="112" t="s">
        <v>1934</v>
      </c>
      <c r="F104" s="46" t="s">
        <v>882</v>
      </c>
      <c r="G104" s="59" t="s">
        <v>889</v>
      </c>
      <c r="H104" s="46" t="s">
        <v>2367</v>
      </c>
      <c r="I104" s="46" t="s">
        <v>2223</v>
      </c>
      <c r="J104" s="59" t="s">
        <v>965</v>
      </c>
      <c r="K104" s="55" t="s">
        <v>2368</v>
      </c>
      <c r="L104" s="55" t="s">
        <v>2264</v>
      </c>
    </row>
    <row r="105" spans="1:12" ht="24" x14ac:dyDescent="0.3">
      <c r="A105" s="59" t="s">
        <v>2125</v>
      </c>
      <c r="B105" s="46">
        <v>93</v>
      </c>
      <c r="C105" s="112" t="s">
        <v>2086</v>
      </c>
      <c r="D105" s="112" t="s">
        <v>938</v>
      </c>
      <c r="E105" s="112" t="s">
        <v>1934</v>
      </c>
      <c r="F105" s="46" t="s">
        <v>882</v>
      </c>
      <c r="G105" s="59" t="s">
        <v>801</v>
      </c>
      <c r="H105" s="46" t="s">
        <v>2369</v>
      </c>
      <c r="I105" s="46" t="s">
        <v>2224</v>
      </c>
      <c r="J105" s="59" t="s">
        <v>994</v>
      </c>
      <c r="K105" s="55" t="s">
        <v>2370</v>
      </c>
      <c r="L105" s="55" t="s">
        <v>2265</v>
      </c>
    </row>
    <row r="106" spans="1:12" ht="24" x14ac:dyDescent="0.3">
      <c r="A106" s="59" t="s">
        <v>2126</v>
      </c>
      <c r="B106" s="46">
        <v>94</v>
      </c>
      <c r="C106" s="112" t="s">
        <v>2086</v>
      </c>
      <c r="D106" s="112" t="s">
        <v>938</v>
      </c>
      <c r="E106" s="112" t="s">
        <v>1934</v>
      </c>
      <c r="F106" s="46" t="s">
        <v>882</v>
      </c>
      <c r="G106" s="59" t="s">
        <v>106</v>
      </c>
      <c r="H106" s="46" t="s">
        <v>2371</v>
      </c>
      <c r="I106" s="46" t="s">
        <v>2225</v>
      </c>
      <c r="J106" s="59" t="s">
        <v>982</v>
      </c>
      <c r="K106" s="55" t="s">
        <v>2372</v>
      </c>
      <c r="L106" s="55" t="s">
        <v>2266</v>
      </c>
    </row>
    <row r="107" spans="1:12" ht="24" x14ac:dyDescent="0.3">
      <c r="A107" s="59" t="s">
        <v>2127</v>
      </c>
      <c r="B107" s="46">
        <v>95</v>
      </c>
      <c r="C107" s="112" t="s">
        <v>2086</v>
      </c>
      <c r="D107" s="112" t="s">
        <v>938</v>
      </c>
      <c r="E107" s="112" t="s">
        <v>1934</v>
      </c>
      <c r="F107" s="46" t="s">
        <v>882</v>
      </c>
      <c r="G107" s="59" t="s">
        <v>107</v>
      </c>
      <c r="H107" s="46" t="s">
        <v>2373</v>
      </c>
      <c r="I107" s="46" t="s">
        <v>2226</v>
      </c>
      <c r="J107" s="59" t="s">
        <v>983</v>
      </c>
      <c r="K107" s="55" t="s">
        <v>2374</v>
      </c>
      <c r="L107" s="55" t="s">
        <v>2267</v>
      </c>
    </row>
    <row r="108" spans="1:12" ht="24" x14ac:dyDescent="0.3">
      <c r="A108" s="59" t="s">
        <v>2128</v>
      </c>
      <c r="B108" s="46">
        <v>96</v>
      </c>
      <c r="C108" s="112" t="s">
        <v>2086</v>
      </c>
      <c r="D108" s="112" t="s">
        <v>938</v>
      </c>
      <c r="E108" s="112" t="s">
        <v>1934</v>
      </c>
      <c r="F108" s="46" t="s">
        <v>882</v>
      </c>
      <c r="G108" s="59" t="s">
        <v>915</v>
      </c>
      <c r="H108" s="46" t="s">
        <v>2375</v>
      </c>
      <c r="I108" s="46" t="s">
        <v>2227</v>
      </c>
      <c r="J108" s="59" t="s">
        <v>984</v>
      </c>
      <c r="K108" s="55" t="s">
        <v>2376</v>
      </c>
      <c r="L108" s="55" t="s">
        <v>2268</v>
      </c>
    </row>
    <row r="109" spans="1:12" ht="24" x14ac:dyDescent="0.3">
      <c r="A109" s="59" t="s">
        <v>2149</v>
      </c>
      <c r="B109" s="46">
        <v>97</v>
      </c>
      <c r="C109" s="112" t="s">
        <v>2086</v>
      </c>
      <c r="D109" s="112" t="s">
        <v>938</v>
      </c>
      <c r="E109" s="112" t="s">
        <v>1934</v>
      </c>
      <c r="F109" s="46" t="s">
        <v>882</v>
      </c>
      <c r="G109" s="59" t="s">
        <v>2673</v>
      </c>
      <c r="H109" s="46" t="s">
        <v>2669</v>
      </c>
      <c r="I109" s="46" t="s">
        <v>2670</v>
      </c>
      <c r="J109" s="59" t="s">
        <v>2195</v>
      </c>
      <c r="K109" s="55" t="s">
        <v>2377</v>
      </c>
      <c r="L109" s="55" t="s">
        <v>2269</v>
      </c>
    </row>
    <row r="110" spans="1:12" ht="24" x14ac:dyDescent="0.3">
      <c r="A110" s="59" t="s">
        <v>2160</v>
      </c>
      <c r="B110" s="46">
        <v>98</v>
      </c>
      <c r="C110" s="112" t="s">
        <v>2086</v>
      </c>
      <c r="D110" s="112" t="s">
        <v>938</v>
      </c>
      <c r="E110" s="112" t="s">
        <v>1934</v>
      </c>
      <c r="F110" s="46" t="s">
        <v>882</v>
      </c>
      <c r="G110" s="59" t="s">
        <v>2161</v>
      </c>
      <c r="H110" s="46" t="s">
        <v>2378</v>
      </c>
      <c r="I110" s="46" t="s">
        <v>2228</v>
      </c>
      <c r="J110" s="59" t="s">
        <v>1037</v>
      </c>
      <c r="K110" s="55" t="s">
        <v>2379</v>
      </c>
      <c r="L110" s="55" t="s">
        <v>2270</v>
      </c>
    </row>
    <row r="111" spans="1:12" x14ac:dyDescent="0.3">
      <c r="A111" s="59" t="s">
        <v>2146</v>
      </c>
      <c r="B111" s="46">
        <v>99</v>
      </c>
      <c r="C111" s="112" t="s">
        <v>2086</v>
      </c>
      <c r="D111" s="112" t="s">
        <v>938</v>
      </c>
      <c r="E111" s="112" t="s">
        <v>1934</v>
      </c>
      <c r="F111" s="46" t="s">
        <v>882</v>
      </c>
      <c r="G111" s="59" t="s">
        <v>120</v>
      </c>
      <c r="H111" s="46" t="s">
        <v>2380</v>
      </c>
      <c r="I111" s="46" t="s">
        <v>2229</v>
      </c>
      <c r="J111" s="59" t="s">
        <v>975</v>
      </c>
      <c r="K111" s="55" t="s">
        <v>2381</v>
      </c>
      <c r="L111" s="55" t="s">
        <v>2271</v>
      </c>
    </row>
    <row r="112" spans="1:12" x14ac:dyDescent="0.3">
      <c r="A112" s="59" t="s">
        <v>2129</v>
      </c>
      <c r="B112" s="46">
        <v>100</v>
      </c>
      <c r="C112" s="112" t="s">
        <v>2086</v>
      </c>
      <c r="D112" s="112" t="s">
        <v>938</v>
      </c>
      <c r="E112" s="112" t="s">
        <v>1934</v>
      </c>
      <c r="F112" s="46" t="s">
        <v>1976</v>
      </c>
      <c r="G112" s="59" t="s">
        <v>21</v>
      </c>
      <c r="H112" s="46" t="s">
        <v>21</v>
      </c>
      <c r="I112" s="46" t="s">
        <v>2211</v>
      </c>
      <c r="J112" s="59" t="s">
        <v>1001</v>
      </c>
      <c r="K112" s="53" t="s">
        <v>2382</v>
      </c>
      <c r="L112" s="46" t="s">
        <v>2272</v>
      </c>
    </row>
    <row r="113" spans="1:12" x14ac:dyDescent="0.3">
      <c r="A113" s="59" t="s">
        <v>2130</v>
      </c>
      <c r="B113" s="46">
        <v>101</v>
      </c>
      <c r="C113" s="112" t="s">
        <v>2086</v>
      </c>
      <c r="D113" s="112" t="s">
        <v>938</v>
      </c>
      <c r="E113" s="112" t="s">
        <v>1934</v>
      </c>
      <c r="F113" s="46" t="s">
        <v>882</v>
      </c>
      <c r="G113" s="59" t="s">
        <v>2585</v>
      </c>
      <c r="H113" s="46" t="s">
        <v>2586</v>
      </c>
      <c r="I113" s="46" t="s">
        <v>2587</v>
      </c>
      <c r="J113" s="59" t="s">
        <v>1002</v>
      </c>
      <c r="K113" s="53" t="s">
        <v>2383</v>
      </c>
      <c r="L113" s="46" t="s">
        <v>2273</v>
      </c>
    </row>
    <row r="114" spans="1:12" ht="24" x14ac:dyDescent="0.3">
      <c r="A114" s="59" t="s">
        <v>2131</v>
      </c>
      <c r="B114" s="46">
        <v>102</v>
      </c>
      <c r="C114" s="112" t="s">
        <v>2086</v>
      </c>
      <c r="D114" s="112" t="s">
        <v>938</v>
      </c>
      <c r="E114" s="112" t="s">
        <v>1934</v>
      </c>
      <c r="F114" s="46" t="s">
        <v>2547</v>
      </c>
      <c r="G114" s="59" t="s">
        <v>117</v>
      </c>
      <c r="H114" s="46" t="s">
        <v>117</v>
      </c>
      <c r="I114" s="46" t="s">
        <v>2212</v>
      </c>
      <c r="J114" s="59" t="s">
        <v>2546</v>
      </c>
      <c r="K114" s="55" t="s">
        <v>2556</v>
      </c>
      <c r="L114" s="46" t="s">
        <v>2561</v>
      </c>
    </row>
    <row r="115" spans="1:12" ht="24" x14ac:dyDescent="0.3">
      <c r="A115" s="59" t="s">
        <v>2132</v>
      </c>
      <c r="B115" s="46">
        <v>103</v>
      </c>
      <c r="C115" s="112" t="s">
        <v>2086</v>
      </c>
      <c r="D115" s="112" t="s">
        <v>938</v>
      </c>
      <c r="E115" s="112" t="s">
        <v>1934</v>
      </c>
      <c r="F115" s="46" t="s">
        <v>2547</v>
      </c>
      <c r="G115" s="59" t="s">
        <v>118</v>
      </c>
      <c r="H115" s="46" t="s">
        <v>118</v>
      </c>
      <c r="I115" s="46" t="s">
        <v>2213</v>
      </c>
      <c r="J115" s="59" t="s">
        <v>2555</v>
      </c>
      <c r="K115" s="53" t="s">
        <v>2558</v>
      </c>
      <c r="L115" s="46" t="s">
        <v>2562</v>
      </c>
    </row>
    <row r="116" spans="1:12" ht="24" x14ac:dyDescent="0.3">
      <c r="A116" s="59" t="s">
        <v>2133</v>
      </c>
      <c r="B116" s="46">
        <v>104</v>
      </c>
      <c r="C116" s="112" t="s">
        <v>2086</v>
      </c>
      <c r="D116" s="112" t="s">
        <v>938</v>
      </c>
      <c r="E116" s="112" t="s">
        <v>1934</v>
      </c>
      <c r="F116" s="46" t="s">
        <v>882</v>
      </c>
      <c r="G116" s="59" t="s">
        <v>114</v>
      </c>
      <c r="H116" s="46" t="s">
        <v>2337</v>
      </c>
      <c r="I116" s="46" t="s">
        <v>2214</v>
      </c>
      <c r="J116" s="59" t="s">
        <v>990</v>
      </c>
      <c r="K116" s="53" t="s">
        <v>2384</v>
      </c>
      <c r="L116" s="46" t="s">
        <v>2274</v>
      </c>
    </row>
    <row r="117" spans="1:12" ht="24" x14ac:dyDescent="0.3">
      <c r="A117" s="59" t="s">
        <v>2153</v>
      </c>
      <c r="B117" s="46">
        <v>105</v>
      </c>
      <c r="C117" s="112" t="s">
        <v>2086</v>
      </c>
      <c r="D117" s="112" t="s">
        <v>938</v>
      </c>
      <c r="E117" s="112" t="s">
        <v>1934</v>
      </c>
      <c r="F117" s="46" t="s">
        <v>882</v>
      </c>
      <c r="G117" s="59" t="s">
        <v>942</v>
      </c>
      <c r="H117" s="46" t="s">
        <v>2339</v>
      </c>
      <c r="I117" s="46" t="s">
        <v>2215</v>
      </c>
      <c r="J117" s="59" t="s">
        <v>1018</v>
      </c>
      <c r="K117" s="53" t="s">
        <v>2385</v>
      </c>
      <c r="L117" s="46" t="s">
        <v>2275</v>
      </c>
    </row>
    <row r="118" spans="1:12" x14ac:dyDescent="0.3">
      <c r="A118" s="59" t="s">
        <v>2134</v>
      </c>
      <c r="B118" s="46">
        <v>106</v>
      </c>
      <c r="C118" s="112" t="s">
        <v>2086</v>
      </c>
      <c r="D118" s="112" t="s">
        <v>938</v>
      </c>
      <c r="E118" s="112" t="s">
        <v>1934</v>
      </c>
      <c r="F118" s="46" t="s">
        <v>1940</v>
      </c>
      <c r="G118" s="59" t="s">
        <v>2599</v>
      </c>
      <c r="H118" s="46" t="s">
        <v>2611</v>
      </c>
      <c r="I118" s="46" t="s">
        <v>2616</v>
      </c>
      <c r="J118" s="59" t="s">
        <v>953</v>
      </c>
      <c r="K118" s="53" t="s">
        <v>2386</v>
      </c>
      <c r="L118" s="46" t="s">
        <v>2276</v>
      </c>
    </row>
    <row r="119" spans="1:12" ht="24" x14ac:dyDescent="0.3">
      <c r="A119" s="59" t="s">
        <v>2135</v>
      </c>
      <c r="B119" s="46">
        <v>107</v>
      </c>
      <c r="C119" s="112" t="s">
        <v>2086</v>
      </c>
      <c r="D119" s="112" t="s">
        <v>938</v>
      </c>
      <c r="E119" s="112" t="s">
        <v>1934</v>
      </c>
      <c r="F119" s="46" t="s">
        <v>882</v>
      </c>
      <c r="G119" s="59" t="s">
        <v>898</v>
      </c>
      <c r="H119" s="46" t="s">
        <v>2342</v>
      </c>
      <c r="I119" s="46" t="s">
        <v>2216</v>
      </c>
      <c r="J119" s="59" t="s">
        <v>996</v>
      </c>
      <c r="K119" s="53" t="s">
        <v>2387</v>
      </c>
      <c r="L119" s="46" t="s">
        <v>2277</v>
      </c>
    </row>
    <row r="120" spans="1:12" ht="24" x14ac:dyDescent="0.3">
      <c r="A120" s="59" t="s">
        <v>2136</v>
      </c>
      <c r="B120" s="46">
        <v>108</v>
      </c>
      <c r="C120" s="112" t="s">
        <v>2086</v>
      </c>
      <c r="D120" s="112" t="s">
        <v>938</v>
      </c>
      <c r="E120" s="112" t="s">
        <v>1934</v>
      </c>
      <c r="F120" s="46" t="s">
        <v>882</v>
      </c>
      <c r="G120" s="59" t="s">
        <v>899</v>
      </c>
      <c r="H120" s="46" t="s">
        <v>2344</v>
      </c>
      <c r="I120" s="46" t="s">
        <v>2217</v>
      </c>
      <c r="J120" s="59" t="s">
        <v>1005</v>
      </c>
      <c r="K120" s="53" t="s">
        <v>2388</v>
      </c>
      <c r="L120" s="46" t="s">
        <v>2278</v>
      </c>
    </row>
    <row r="121" spans="1:12" ht="24" x14ac:dyDescent="0.3">
      <c r="A121" s="59" t="s">
        <v>2148</v>
      </c>
      <c r="B121" s="46">
        <v>109</v>
      </c>
      <c r="C121" s="112" t="s">
        <v>2086</v>
      </c>
      <c r="D121" s="112" t="s">
        <v>938</v>
      </c>
      <c r="E121" s="112" t="s">
        <v>1934</v>
      </c>
      <c r="F121" s="46" t="s">
        <v>882</v>
      </c>
      <c r="G121" s="59" t="s">
        <v>2598</v>
      </c>
      <c r="H121" s="46" t="s">
        <v>2389</v>
      </c>
      <c r="I121" s="46" t="s">
        <v>2230</v>
      </c>
      <c r="J121" s="59" t="s">
        <v>1006</v>
      </c>
      <c r="K121" s="53" t="s">
        <v>2390</v>
      </c>
      <c r="L121" s="46" t="s">
        <v>2279</v>
      </c>
    </row>
    <row r="122" spans="1:12" x14ac:dyDescent="0.3">
      <c r="A122" s="59" t="s">
        <v>2137</v>
      </c>
      <c r="B122" s="46">
        <v>110</v>
      </c>
      <c r="C122" s="112" t="s">
        <v>2086</v>
      </c>
      <c r="D122" s="112" t="s">
        <v>938</v>
      </c>
      <c r="E122" s="112" t="s">
        <v>1934</v>
      </c>
      <c r="F122" s="46" t="s">
        <v>882</v>
      </c>
      <c r="G122" s="59" t="s">
        <v>902</v>
      </c>
      <c r="H122" s="46" t="s">
        <v>2201</v>
      </c>
      <c r="I122" s="46" t="s">
        <v>2202</v>
      </c>
      <c r="J122" s="59" t="s">
        <v>1004</v>
      </c>
      <c r="K122" s="53" t="s">
        <v>2391</v>
      </c>
      <c r="L122" s="46" t="s">
        <v>2280</v>
      </c>
    </row>
    <row r="123" spans="1:12" ht="24" x14ac:dyDescent="0.3">
      <c r="A123" s="59" t="s">
        <v>2138</v>
      </c>
      <c r="B123" s="46">
        <v>111</v>
      </c>
      <c r="C123" s="112" t="s">
        <v>2086</v>
      </c>
      <c r="D123" s="112" t="s">
        <v>938</v>
      </c>
      <c r="E123" s="112" t="s">
        <v>1934</v>
      </c>
      <c r="F123" s="46" t="s">
        <v>1940</v>
      </c>
      <c r="G123" s="59" t="s">
        <v>2600</v>
      </c>
      <c r="H123" s="46" t="s">
        <v>2600</v>
      </c>
      <c r="I123" s="46" t="s">
        <v>2614</v>
      </c>
      <c r="J123" s="59" t="s">
        <v>956</v>
      </c>
      <c r="K123" s="53" t="s">
        <v>2392</v>
      </c>
      <c r="L123" s="46" t="s">
        <v>2281</v>
      </c>
    </row>
    <row r="124" spans="1:12" x14ac:dyDescent="0.3">
      <c r="A124" s="59" t="s">
        <v>2139</v>
      </c>
      <c r="B124" s="46">
        <v>112</v>
      </c>
      <c r="C124" s="112" t="s">
        <v>2086</v>
      </c>
      <c r="D124" s="112" t="s">
        <v>938</v>
      </c>
      <c r="E124" s="112" t="s">
        <v>1934</v>
      </c>
      <c r="F124" s="46" t="s">
        <v>1940</v>
      </c>
      <c r="G124" s="59" t="s">
        <v>2601</v>
      </c>
      <c r="H124" s="46" t="s">
        <v>2613</v>
      </c>
      <c r="I124" s="46" t="s">
        <v>2615</v>
      </c>
      <c r="J124" s="59" t="s">
        <v>987</v>
      </c>
      <c r="K124" s="53" t="s">
        <v>2393</v>
      </c>
      <c r="L124" s="46" t="s">
        <v>2282</v>
      </c>
    </row>
    <row r="125" spans="1:12" x14ac:dyDescent="0.3">
      <c r="A125" s="59" t="s">
        <v>2140</v>
      </c>
      <c r="B125" s="46">
        <v>113</v>
      </c>
      <c r="C125" s="112" t="s">
        <v>2086</v>
      </c>
      <c r="D125" s="112" t="s">
        <v>938</v>
      </c>
      <c r="E125" s="112" t="s">
        <v>1934</v>
      </c>
      <c r="F125" s="46" t="s">
        <v>882</v>
      </c>
      <c r="G125" s="59" t="s">
        <v>902</v>
      </c>
      <c r="H125" s="46" t="s">
        <v>2201</v>
      </c>
      <c r="I125" s="46" t="s">
        <v>2202</v>
      </c>
      <c r="J125" s="59" t="s">
        <v>981</v>
      </c>
      <c r="K125" s="53" t="s">
        <v>2394</v>
      </c>
      <c r="L125" s="46" t="s">
        <v>2283</v>
      </c>
    </row>
    <row r="126" spans="1:12" ht="24" x14ac:dyDescent="0.3">
      <c r="A126" s="59" t="s">
        <v>2141</v>
      </c>
      <c r="B126" s="46">
        <v>114</v>
      </c>
      <c r="C126" s="112" t="s">
        <v>2086</v>
      </c>
      <c r="D126" s="112" t="s">
        <v>938</v>
      </c>
      <c r="E126" s="112" t="s">
        <v>1934</v>
      </c>
      <c r="F126" s="46" t="s">
        <v>1940</v>
      </c>
      <c r="G126" s="59" t="s">
        <v>2600</v>
      </c>
      <c r="H126" s="46" t="s">
        <v>2600</v>
      </c>
      <c r="I126" s="46" t="s">
        <v>2614</v>
      </c>
      <c r="J126" s="59" t="s">
        <v>979</v>
      </c>
      <c r="K126" s="53" t="s">
        <v>2395</v>
      </c>
      <c r="L126" s="46" t="s">
        <v>2284</v>
      </c>
    </row>
    <row r="127" spans="1:12" x14ac:dyDescent="0.3">
      <c r="A127" s="59" t="s">
        <v>2142</v>
      </c>
      <c r="B127" s="46">
        <v>115</v>
      </c>
      <c r="C127" s="112" t="s">
        <v>2086</v>
      </c>
      <c r="D127" s="112" t="s">
        <v>938</v>
      </c>
      <c r="E127" s="112" t="s">
        <v>1934</v>
      </c>
      <c r="F127" s="46" t="s">
        <v>1940</v>
      </c>
      <c r="G127" s="59" t="s">
        <v>2601</v>
      </c>
      <c r="H127" s="46" t="s">
        <v>2613</v>
      </c>
      <c r="I127" s="46" t="s">
        <v>2615</v>
      </c>
      <c r="J127" s="59" t="s">
        <v>988</v>
      </c>
      <c r="K127" s="53" t="s">
        <v>2396</v>
      </c>
      <c r="L127" s="46" t="s">
        <v>2285</v>
      </c>
    </row>
    <row r="128" spans="1:12" ht="24" x14ac:dyDescent="0.3">
      <c r="A128" s="51" t="s">
        <v>2577</v>
      </c>
      <c r="B128" s="46">
        <v>116</v>
      </c>
      <c r="C128" s="112" t="s">
        <v>2086</v>
      </c>
      <c r="D128" s="112" t="s">
        <v>938</v>
      </c>
      <c r="E128" s="112" t="s">
        <v>1934</v>
      </c>
      <c r="F128" s="46" t="s">
        <v>882</v>
      </c>
      <c r="G128" s="59" t="s">
        <v>2078</v>
      </c>
      <c r="H128" s="46" t="s">
        <v>2078</v>
      </c>
      <c r="I128" s="46" t="s">
        <v>2078</v>
      </c>
      <c r="J128" s="59" t="s">
        <v>972</v>
      </c>
      <c r="K128" s="53" t="s">
        <v>2397</v>
      </c>
      <c r="L128" s="46" t="s">
        <v>2286</v>
      </c>
    </row>
    <row r="129" spans="1:12" ht="24" x14ac:dyDescent="0.3">
      <c r="A129" s="51" t="s">
        <v>2578</v>
      </c>
      <c r="B129" s="46">
        <v>117</v>
      </c>
      <c r="C129" s="112" t="s">
        <v>2086</v>
      </c>
      <c r="D129" s="112" t="s">
        <v>938</v>
      </c>
      <c r="E129" s="112" t="s">
        <v>1934</v>
      </c>
      <c r="F129" s="46" t="s">
        <v>882</v>
      </c>
      <c r="G129" s="59" t="s">
        <v>884</v>
      </c>
      <c r="H129" s="46" t="s">
        <v>2357</v>
      </c>
      <c r="I129" s="46" t="s">
        <v>2531</v>
      </c>
      <c r="J129" s="59" t="s">
        <v>966</v>
      </c>
      <c r="K129" s="53" t="s">
        <v>2398</v>
      </c>
      <c r="L129" s="46" t="s">
        <v>2287</v>
      </c>
    </row>
    <row r="130" spans="1:12" ht="24" x14ac:dyDescent="0.3">
      <c r="A130" s="51" t="s">
        <v>2579</v>
      </c>
      <c r="B130" s="46">
        <v>118</v>
      </c>
      <c r="C130" s="112" t="s">
        <v>2086</v>
      </c>
      <c r="D130" s="112" t="s">
        <v>938</v>
      </c>
      <c r="E130" s="112" t="s">
        <v>1934</v>
      </c>
      <c r="F130" s="46" t="s">
        <v>882</v>
      </c>
      <c r="G130" s="59" t="s">
        <v>885</v>
      </c>
      <c r="H130" s="46" t="s">
        <v>2359</v>
      </c>
      <c r="I130" s="46" t="s">
        <v>2219</v>
      </c>
      <c r="J130" s="59" t="s">
        <v>967</v>
      </c>
      <c r="K130" s="53" t="s">
        <v>2399</v>
      </c>
      <c r="L130" s="46" t="s">
        <v>2288</v>
      </c>
    </row>
    <row r="131" spans="1:12" ht="24" x14ac:dyDescent="0.3">
      <c r="A131" s="51" t="s">
        <v>2580</v>
      </c>
      <c r="B131" s="46">
        <v>119</v>
      </c>
      <c r="C131" s="112" t="s">
        <v>2086</v>
      </c>
      <c r="D131" s="112" t="s">
        <v>938</v>
      </c>
      <c r="E131" s="112" t="s">
        <v>1934</v>
      </c>
      <c r="F131" s="46" t="s">
        <v>882</v>
      </c>
      <c r="G131" s="59" t="s">
        <v>886</v>
      </c>
      <c r="H131" s="46" t="s">
        <v>2361</v>
      </c>
      <c r="I131" s="46" t="s">
        <v>2220</v>
      </c>
      <c r="J131" s="59" t="s">
        <v>968</v>
      </c>
      <c r="K131" s="53" t="s">
        <v>2400</v>
      </c>
      <c r="L131" s="46" t="s">
        <v>2289</v>
      </c>
    </row>
    <row r="132" spans="1:12" ht="24" x14ac:dyDescent="0.3">
      <c r="A132" s="51" t="s">
        <v>2581</v>
      </c>
      <c r="B132" s="46">
        <v>120</v>
      </c>
      <c r="C132" s="112" t="s">
        <v>2086</v>
      </c>
      <c r="D132" s="112" t="s">
        <v>938</v>
      </c>
      <c r="E132" s="112" t="s">
        <v>1934</v>
      </c>
      <c r="F132" s="46" t="s">
        <v>882</v>
      </c>
      <c r="G132" s="59" t="s">
        <v>887</v>
      </c>
      <c r="H132" s="46" t="s">
        <v>2363</v>
      </c>
      <c r="I132" s="46" t="s">
        <v>2221</v>
      </c>
      <c r="J132" s="59" t="s">
        <v>969</v>
      </c>
      <c r="K132" s="53" t="s">
        <v>2401</v>
      </c>
      <c r="L132" s="46" t="s">
        <v>2290</v>
      </c>
    </row>
    <row r="133" spans="1:12" ht="24" x14ac:dyDescent="0.3">
      <c r="A133" s="51" t="s">
        <v>2582</v>
      </c>
      <c r="B133" s="46">
        <v>121</v>
      </c>
      <c r="C133" s="112" t="s">
        <v>2086</v>
      </c>
      <c r="D133" s="112" t="s">
        <v>938</v>
      </c>
      <c r="E133" s="112" t="s">
        <v>1934</v>
      </c>
      <c r="F133" s="46" t="s">
        <v>882</v>
      </c>
      <c r="G133" s="59" t="s">
        <v>888</v>
      </c>
      <c r="H133" s="46" t="s">
        <v>2365</v>
      </c>
      <c r="I133" s="46" t="s">
        <v>2222</v>
      </c>
      <c r="J133" s="59" t="s">
        <v>970</v>
      </c>
      <c r="K133" s="53" t="s">
        <v>2402</v>
      </c>
      <c r="L133" s="46" t="s">
        <v>2291</v>
      </c>
    </row>
    <row r="134" spans="1:12" ht="24" x14ac:dyDescent="0.3">
      <c r="A134" s="51" t="s">
        <v>2583</v>
      </c>
      <c r="B134" s="46">
        <v>122</v>
      </c>
      <c r="C134" s="112" t="s">
        <v>2086</v>
      </c>
      <c r="D134" s="112" t="s">
        <v>938</v>
      </c>
      <c r="E134" s="112" t="s">
        <v>1934</v>
      </c>
      <c r="F134" s="46" t="s">
        <v>882</v>
      </c>
      <c r="G134" s="59" t="s">
        <v>889</v>
      </c>
      <c r="H134" s="46" t="s">
        <v>2367</v>
      </c>
      <c r="I134" s="46" t="s">
        <v>2223</v>
      </c>
      <c r="J134" s="59" t="s">
        <v>971</v>
      </c>
      <c r="K134" s="53" t="s">
        <v>2403</v>
      </c>
      <c r="L134" s="46" t="s">
        <v>2292</v>
      </c>
    </row>
    <row r="135" spans="1:12" ht="24" x14ac:dyDescent="0.3">
      <c r="A135" s="59" t="s">
        <v>2147</v>
      </c>
      <c r="B135" s="46">
        <v>123</v>
      </c>
      <c r="C135" s="112" t="s">
        <v>2086</v>
      </c>
      <c r="D135" s="112" t="s">
        <v>938</v>
      </c>
      <c r="E135" s="112" t="s">
        <v>1934</v>
      </c>
      <c r="F135" s="46" t="s">
        <v>882</v>
      </c>
      <c r="G135" s="59" t="s">
        <v>801</v>
      </c>
      <c r="H135" s="46" t="s">
        <v>2369</v>
      </c>
      <c r="I135" s="46" t="s">
        <v>2224</v>
      </c>
      <c r="J135" s="59" t="s">
        <v>978</v>
      </c>
      <c r="K135" s="53" t="s">
        <v>2404</v>
      </c>
      <c r="L135" s="46" t="s">
        <v>2293</v>
      </c>
    </row>
    <row r="136" spans="1:12" ht="24" x14ac:dyDescent="0.3">
      <c r="A136" s="59" t="s">
        <v>2144</v>
      </c>
      <c r="B136" s="46">
        <v>124</v>
      </c>
      <c r="C136" s="112" t="s">
        <v>2086</v>
      </c>
      <c r="D136" s="112" t="s">
        <v>938</v>
      </c>
      <c r="E136" s="112" t="s">
        <v>1934</v>
      </c>
      <c r="F136" s="46" t="s">
        <v>882</v>
      </c>
      <c r="G136" s="59" t="s">
        <v>2674</v>
      </c>
      <c r="H136" s="46" t="s">
        <v>2671</v>
      </c>
      <c r="I136" s="46" t="s">
        <v>2672</v>
      </c>
      <c r="J136" s="59" t="s">
        <v>1019</v>
      </c>
      <c r="K136" s="53" t="s">
        <v>2405</v>
      </c>
      <c r="L136" s="46" t="s">
        <v>2294</v>
      </c>
    </row>
    <row r="137" spans="1:12" x14ac:dyDescent="0.3">
      <c r="A137" s="59" t="s">
        <v>2143</v>
      </c>
      <c r="B137" s="46">
        <v>125</v>
      </c>
      <c r="C137" s="112" t="s">
        <v>2086</v>
      </c>
      <c r="D137" s="112" t="s">
        <v>938</v>
      </c>
      <c r="E137" s="112" t="s">
        <v>1934</v>
      </c>
      <c r="F137" s="46" t="s">
        <v>882</v>
      </c>
      <c r="G137" s="59" t="s">
        <v>900</v>
      </c>
      <c r="H137" s="46" t="s">
        <v>2406</v>
      </c>
      <c r="I137" s="46" t="s">
        <v>2231</v>
      </c>
      <c r="J137" s="59" t="s">
        <v>2595</v>
      </c>
      <c r="K137" s="53" t="s">
        <v>2407</v>
      </c>
      <c r="L137" s="46" t="s">
        <v>2295</v>
      </c>
    </row>
    <row r="138" spans="1:12" ht="24" x14ac:dyDescent="0.3">
      <c r="A138" s="59" t="s">
        <v>2196</v>
      </c>
      <c r="B138" s="46">
        <v>126</v>
      </c>
      <c r="C138" s="112" t="s">
        <v>2086</v>
      </c>
      <c r="D138" s="112" t="s">
        <v>938</v>
      </c>
      <c r="E138" s="112" t="s">
        <v>1934</v>
      </c>
      <c r="F138" s="46" t="s">
        <v>882</v>
      </c>
      <c r="G138" s="59" t="s">
        <v>901</v>
      </c>
      <c r="H138" s="46" t="s">
        <v>2378</v>
      </c>
      <c r="I138" s="46" t="s">
        <v>2232</v>
      </c>
      <c r="J138" s="59" t="s">
        <v>1038</v>
      </c>
      <c r="K138" s="53" t="s">
        <v>2408</v>
      </c>
      <c r="L138" s="46" t="s">
        <v>2296</v>
      </c>
    </row>
    <row r="139" spans="1:12" ht="36" x14ac:dyDescent="0.3">
      <c r="A139" s="59" t="s">
        <v>2151</v>
      </c>
      <c r="B139" s="46">
        <v>127</v>
      </c>
      <c r="C139" s="112" t="s">
        <v>2086</v>
      </c>
      <c r="D139" s="112" t="s">
        <v>938</v>
      </c>
      <c r="E139" s="112" t="s">
        <v>1934</v>
      </c>
      <c r="F139" s="46" t="s">
        <v>882</v>
      </c>
      <c r="G139" s="59" t="s">
        <v>119</v>
      </c>
      <c r="H139" s="46" t="s">
        <v>2409</v>
      </c>
      <c r="I139" s="46" t="s">
        <v>2233</v>
      </c>
      <c r="J139" s="59" t="s">
        <v>980</v>
      </c>
      <c r="K139" s="53" t="s">
        <v>2410</v>
      </c>
      <c r="L139" s="46" t="s">
        <v>2297</v>
      </c>
    </row>
    <row r="140" spans="1:12" ht="24" x14ac:dyDescent="0.3">
      <c r="A140" s="59" t="s">
        <v>2150</v>
      </c>
      <c r="B140" s="46">
        <v>128</v>
      </c>
      <c r="C140" s="112" t="s">
        <v>2086</v>
      </c>
      <c r="D140" s="112" t="s">
        <v>938</v>
      </c>
      <c r="E140" s="112" t="s">
        <v>1934</v>
      </c>
      <c r="F140" s="46" t="s">
        <v>882</v>
      </c>
      <c r="G140" s="59" t="s">
        <v>1036</v>
      </c>
      <c r="H140" s="46" t="s">
        <v>2411</v>
      </c>
      <c r="I140" s="46" t="s">
        <v>2234</v>
      </c>
      <c r="J140" s="59" t="s">
        <v>977</v>
      </c>
      <c r="K140" s="53" t="s">
        <v>2412</v>
      </c>
      <c r="L140" s="46" t="s">
        <v>2298</v>
      </c>
    </row>
    <row r="141" spans="1:12" x14ac:dyDescent="0.3">
      <c r="A141" s="46" t="s">
        <v>1935</v>
      </c>
      <c r="B141" s="46">
        <v>129</v>
      </c>
      <c r="C141" s="46" t="s">
        <v>2171</v>
      </c>
      <c r="D141" s="112" t="s">
        <v>938</v>
      </c>
      <c r="E141" s="46" t="s">
        <v>1936</v>
      </c>
      <c r="F141" s="112" t="s">
        <v>952</v>
      </c>
      <c r="G141" s="59" t="s">
        <v>1020</v>
      </c>
      <c r="H141" s="54" t="s">
        <v>2476</v>
      </c>
      <c r="I141" s="54" t="s">
        <v>2314</v>
      </c>
      <c r="J141" s="46" t="s">
        <v>952</v>
      </c>
      <c r="K141" s="46" t="s">
        <v>952</v>
      </c>
      <c r="L141" s="46" t="s">
        <v>952</v>
      </c>
    </row>
    <row r="142" spans="1:12" x14ac:dyDescent="0.3">
      <c r="A142" s="50" t="s">
        <v>2183</v>
      </c>
      <c r="B142" s="46">
        <v>130</v>
      </c>
      <c r="C142" s="46" t="s">
        <v>2171</v>
      </c>
      <c r="D142" s="112" t="s">
        <v>938</v>
      </c>
      <c r="E142" s="46" t="s">
        <v>1936</v>
      </c>
      <c r="F142" s="112" t="s">
        <v>952</v>
      </c>
      <c r="G142" s="59" t="s">
        <v>1021</v>
      </c>
      <c r="H142" s="54" t="s">
        <v>2477</v>
      </c>
      <c r="I142" s="54" t="s">
        <v>2316</v>
      </c>
      <c r="J142" s="46" t="s">
        <v>952</v>
      </c>
      <c r="K142" s="46" t="s">
        <v>952</v>
      </c>
      <c r="L142" s="46" t="s">
        <v>952</v>
      </c>
    </row>
    <row r="143" spans="1:12" x14ac:dyDescent="0.3">
      <c r="A143" s="59" t="s">
        <v>2184</v>
      </c>
      <c r="B143" s="46">
        <v>131</v>
      </c>
      <c r="C143" s="46" t="s">
        <v>2171</v>
      </c>
      <c r="D143" s="112" t="s">
        <v>938</v>
      </c>
      <c r="E143" s="46" t="s">
        <v>1936</v>
      </c>
      <c r="F143" s="112" t="s">
        <v>952</v>
      </c>
      <c r="G143" s="59" t="s">
        <v>23</v>
      </c>
      <c r="H143" s="54" t="s">
        <v>2457</v>
      </c>
      <c r="I143" s="54" t="s">
        <v>2315</v>
      </c>
      <c r="J143" s="46" t="s">
        <v>952</v>
      </c>
      <c r="K143" s="46" t="s">
        <v>952</v>
      </c>
      <c r="L143" s="46" t="s">
        <v>952</v>
      </c>
    </row>
    <row r="144" spans="1:12" ht="24" x14ac:dyDescent="0.3">
      <c r="A144" s="46" t="s">
        <v>2112</v>
      </c>
      <c r="B144" s="46">
        <v>132</v>
      </c>
      <c r="C144" s="112" t="s">
        <v>2171</v>
      </c>
      <c r="D144" s="112" t="s">
        <v>938</v>
      </c>
      <c r="E144" s="112" t="s">
        <v>1934</v>
      </c>
      <c r="F144" s="112" t="s">
        <v>2207</v>
      </c>
      <c r="G144" s="46" t="s">
        <v>22</v>
      </c>
      <c r="H144" s="46" t="s">
        <v>2339</v>
      </c>
      <c r="I144" s="46" t="s">
        <v>2215</v>
      </c>
      <c r="J144" s="59" t="s">
        <v>1040</v>
      </c>
      <c r="K144" s="53" t="s">
        <v>2413</v>
      </c>
      <c r="L144" s="46" t="s">
        <v>2299</v>
      </c>
    </row>
    <row r="145" spans="1:12" x14ac:dyDescent="0.3">
      <c r="A145" s="46" t="s">
        <v>2162</v>
      </c>
      <c r="B145" s="46">
        <v>133</v>
      </c>
      <c r="C145" s="112" t="s">
        <v>2171</v>
      </c>
      <c r="D145" s="112" t="s">
        <v>938</v>
      </c>
      <c r="E145" s="112" t="s">
        <v>1934</v>
      </c>
      <c r="F145" s="46" t="s">
        <v>882</v>
      </c>
      <c r="G145" s="46" t="s">
        <v>8</v>
      </c>
      <c r="H145" s="46" t="s">
        <v>2414</v>
      </c>
      <c r="I145" s="46" t="s">
        <v>2300</v>
      </c>
      <c r="J145" s="59" t="s">
        <v>1022</v>
      </c>
      <c r="K145" s="53" t="s">
        <v>2414</v>
      </c>
      <c r="L145" s="46" t="s">
        <v>2301</v>
      </c>
    </row>
    <row r="146" spans="1:12" x14ac:dyDescent="0.3">
      <c r="A146" s="46" t="s">
        <v>2164</v>
      </c>
      <c r="B146" s="46">
        <v>134</v>
      </c>
      <c r="C146" s="112" t="s">
        <v>2171</v>
      </c>
      <c r="D146" s="112" t="s">
        <v>938</v>
      </c>
      <c r="E146" s="112" t="s">
        <v>1934</v>
      </c>
      <c r="F146" s="112" t="s">
        <v>1940</v>
      </c>
      <c r="G146" s="46" t="s">
        <v>2602</v>
      </c>
      <c r="H146" s="46" t="s">
        <v>2617</v>
      </c>
      <c r="I146" s="46" t="s">
        <v>2618</v>
      </c>
      <c r="J146" s="59" t="s">
        <v>1023</v>
      </c>
      <c r="K146" s="53" t="s">
        <v>2417</v>
      </c>
      <c r="L146" s="46" t="s">
        <v>2304</v>
      </c>
    </row>
    <row r="147" spans="1:12" x14ac:dyDescent="0.3">
      <c r="A147" s="46" t="s">
        <v>2163</v>
      </c>
      <c r="B147" s="46">
        <v>135</v>
      </c>
      <c r="C147" s="112" t="s">
        <v>2171</v>
      </c>
      <c r="D147" s="112" t="s">
        <v>938</v>
      </c>
      <c r="E147" s="112" t="s">
        <v>1934</v>
      </c>
      <c r="F147" s="46" t="s">
        <v>882</v>
      </c>
      <c r="G147" s="46" t="s">
        <v>1014</v>
      </c>
      <c r="H147" s="46" t="s">
        <v>2415</v>
      </c>
      <c r="I147" s="46" t="s">
        <v>2302</v>
      </c>
      <c r="J147" s="59" t="s">
        <v>1024</v>
      </c>
      <c r="K147" s="53" t="s">
        <v>2416</v>
      </c>
      <c r="L147" s="46" t="s">
        <v>2303</v>
      </c>
    </row>
    <row r="148" spans="1:12" ht="24" x14ac:dyDescent="0.3">
      <c r="A148" s="46" t="s">
        <v>1941</v>
      </c>
      <c r="B148" s="46">
        <v>136</v>
      </c>
      <c r="C148" s="112" t="s">
        <v>2171</v>
      </c>
      <c r="D148" s="112" t="s">
        <v>938</v>
      </c>
      <c r="E148" s="112" t="s">
        <v>1934</v>
      </c>
      <c r="F148" s="112" t="s">
        <v>1940</v>
      </c>
      <c r="G148" s="46" t="s">
        <v>2599</v>
      </c>
      <c r="H148" s="46" t="s">
        <v>2611</v>
      </c>
      <c r="I148" s="46" t="s">
        <v>2616</v>
      </c>
      <c r="J148" s="59" t="s">
        <v>1025</v>
      </c>
      <c r="K148" s="53" t="s">
        <v>2418</v>
      </c>
      <c r="L148" s="46" t="s">
        <v>2305</v>
      </c>
    </row>
    <row r="149" spans="1:12" x14ac:dyDescent="0.3">
      <c r="A149" s="46" t="s">
        <v>2166</v>
      </c>
      <c r="B149" s="46">
        <v>137</v>
      </c>
      <c r="C149" s="112" t="s">
        <v>2171</v>
      </c>
      <c r="D149" s="112" t="s">
        <v>938</v>
      </c>
      <c r="E149" s="112" t="s">
        <v>1934</v>
      </c>
      <c r="F149" s="112" t="s">
        <v>750</v>
      </c>
      <c r="G149" s="46" t="s">
        <v>1015</v>
      </c>
      <c r="H149" s="46" t="s">
        <v>2419</v>
      </c>
      <c r="I149" s="46" t="s">
        <v>1015</v>
      </c>
      <c r="J149" s="59" t="s">
        <v>1026</v>
      </c>
      <c r="K149" s="53" t="s">
        <v>2420</v>
      </c>
      <c r="L149" s="46" t="s">
        <v>2306</v>
      </c>
    </row>
    <row r="150" spans="1:12" x14ac:dyDescent="0.3">
      <c r="A150" s="46" t="s">
        <v>2165</v>
      </c>
      <c r="B150" s="46">
        <v>138</v>
      </c>
      <c r="C150" s="112" t="s">
        <v>2171</v>
      </c>
      <c r="D150" s="112" t="s">
        <v>938</v>
      </c>
      <c r="E150" s="112" t="s">
        <v>1934</v>
      </c>
      <c r="F150" s="112" t="s">
        <v>750</v>
      </c>
      <c r="G150" s="46" t="s">
        <v>1016</v>
      </c>
      <c r="H150" s="46" t="s">
        <v>2421</v>
      </c>
      <c r="I150" s="46" t="s">
        <v>2307</v>
      </c>
      <c r="J150" s="59" t="s">
        <v>1027</v>
      </c>
      <c r="K150" s="53" t="s">
        <v>2422</v>
      </c>
      <c r="L150" s="46" t="s">
        <v>2308</v>
      </c>
    </row>
    <row r="151" spans="1:12" ht="24" x14ac:dyDescent="0.3">
      <c r="A151" s="46" t="s">
        <v>2167</v>
      </c>
      <c r="B151" s="46">
        <v>139</v>
      </c>
      <c r="C151" s="112" t="s">
        <v>2171</v>
      </c>
      <c r="D151" s="112" t="s">
        <v>938</v>
      </c>
      <c r="E151" s="112" t="s">
        <v>1934</v>
      </c>
      <c r="F151" s="46" t="s">
        <v>1955</v>
      </c>
      <c r="G151" s="46" t="s">
        <v>1012</v>
      </c>
      <c r="H151" s="46" t="s">
        <v>2423</v>
      </c>
      <c r="I151" s="46" t="s">
        <v>2309</v>
      </c>
      <c r="J151" s="59" t="s">
        <v>1041</v>
      </c>
      <c r="K151" s="53" t="s">
        <v>2655</v>
      </c>
      <c r="L151" s="46" t="s">
        <v>2310</v>
      </c>
    </row>
    <row r="152" spans="1:12" ht="24" x14ac:dyDescent="0.3">
      <c r="A152" s="46" t="s">
        <v>2168</v>
      </c>
      <c r="B152" s="46">
        <v>140</v>
      </c>
      <c r="C152" s="112" t="s">
        <v>2171</v>
      </c>
      <c r="D152" s="112" t="s">
        <v>938</v>
      </c>
      <c r="E152" s="112" t="s">
        <v>1934</v>
      </c>
      <c r="F152" s="46" t="s">
        <v>1955</v>
      </c>
      <c r="G152" s="46" t="s">
        <v>1013</v>
      </c>
      <c r="H152" s="46" t="s">
        <v>2424</v>
      </c>
      <c r="I152" s="46" t="s">
        <v>2311</v>
      </c>
      <c r="J152" s="59" t="s">
        <v>2634</v>
      </c>
      <c r="K152" s="53" t="s">
        <v>2637</v>
      </c>
      <c r="L152" s="46" t="s">
        <v>2312</v>
      </c>
    </row>
    <row r="153" spans="1:12" x14ac:dyDescent="0.3">
      <c r="A153" s="59" t="s">
        <v>2206</v>
      </c>
      <c r="B153" s="46">
        <v>141</v>
      </c>
      <c r="C153" s="112" t="s">
        <v>2171</v>
      </c>
      <c r="D153" s="112" t="s">
        <v>938</v>
      </c>
      <c r="E153" s="112" t="s">
        <v>1934</v>
      </c>
      <c r="F153" s="46" t="s">
        <v>882</v>
      </c>
      <c r="G153" s="46" t="s">
        <v>2440</v>
      </c>
      <c r="H153" s="46" t="s">
        <v>2441</v>
      </c>
      <c r="I153" s="46" t="s">
        <v>2442</v>
      </c>
      <c r="J153" s="59" t="s">
        <v>1028</v>
      </c>
      <c r="K153" s="53" t="s">
        <v>2425</v>
      </c>
      <c r="L153" s="46" t="s">
        <v>2313</v>
      </c>
    </row>
    <row r="154" spans="1:12" x14ac:dyDescent="0.3">
      <c r="A154" s="46" t="s">
        <v>2199</v>
      </c>
      <c r="B154" s="46">
        <v>142</v>
      </c>
      <c r="C154" s="112" t="s">
        <v>2172</v>
      </c>
      <c r="D154" s="112" t="s">
        <v>938</v>
      </c>
      <c r="E154" s="112" t="s">
        <v>1936</v>
      </c>
      <c r="F154" s="112" t="s">
        <v>952</v>
      </c>
      <c r="G154" s="113" t="s">
        <v>2198</v>
      </c>
      <c r="H154" s="54" t="s">
        <v>2474</v>
      </c>
      <c r="I154" s="46" t="s">
        <v>2498</v>
      </c>
      <c r="J154" s="46" t="s">
        <v>952</v>
      </c>
      <c r="K154" s="46" t="s">
        <v>952</v>
      </c>
      <c r="L154" s="46" t="s">
        <v>952</v>
      </c>
    </row>
    <row r="155" spans="1:12" x14ac:dyDescent="0.3">
      <c r="A155" s="46" t="s">
        <v>2200</v>
      </c>
      <c r="B155" s="46">
        <v>143</v>
      </c>
      <c r="C155" s="112" t="s">
        <v>2172</v>
      </c>
      <c r="D155" s="112" t="s">
        <v>938</v>
      </c>
      <c r="E155" s="112" t="s">
        <v>1936</v>
      </c>
      <c r="F155" s="112" t="s">
        <v>952</v>
      </c>
      <c r="G155" s="113" t="s">
        <v>23</v>
      </c>
      <c r="H155" s="46" t="s">
        <v>2460</v>
      </c>
      <c r="I155" s="46" t="s">
        <v>2315</v>
      </c>
      <c r="J155" s="46" t="s">
        <v>952</v>
      </c>
      <c r="K155" s="46" t="s">
        <v>952</v>
      </c>
      <c r="L155" s="46" t="s">
        <v>952</v>
      </c>
    </row>
    <row r="156" spans="1:12" ht="36" x14ac:dyDescent="0.3">
      <c r="A156" s="54" t="s">
        <v>2185</v>
      </c>
      <c r="B156" s="46">
        <v>144</v>
      </c>
      <c r="C156" s="114" t="s">
        <v>2172</v>
      </c>
      <c r="D156" s="112" t="s">
        <v>938</v>
      </c>
      <c r="E156" s="114" t="s">
        <v>1934</v>
      </c>
      <c r="F156" s="114" t="s">
        <v>2207</v>
      </c>
      <c r="G156" s="54" t="s">
        <v>943</v>
      </c>
      <c r="H156" s="46" t="s">
        <v>2426</v>
      </c>
      <c r="I156" s="54" t="s">
        <v>2317</v>
      </c>
      <c r="J156" s="54" t="s">
        <v>1042</v>
      </c>
      <c r="K156" s="53" t="s">
        <v>2427</v>
      </c>
      <c r="L156" s="54" t="s">
        <v>2318</v>
      </c>
    </row>
    <row r="157" spans="1:12" x14ac:dyDescent="0.3">
      <c r="A157" s="54" t="s">
        <v>2189</v>
      </c>
      <c r="B157" s="46">
        <v>149</v>
      </c>
      <c r="C157" s="115" t="s">
        <v>2172</v>
      </c>
      <c r="D157" s="112" t="s">
        <v>938</v>
      </c>
      <c r="E157" s="115" t="s">
        <v>1934</v>
      </c>
      <c r="F157" s="46" t="s">
        <v>882</v>
      </c>
      <c r="G157" s="54" t="s">
        <v>2603</v>
      </c>
      <c r="H157" s="46" t="s">
        <v>2619</v>
      </c>
      <c r="I157" s="54" t="s">
        <v>2620</v>
      </c>
      <c r="J157" s="54" t="s">
        <v>1032</v>
      </c>
      <c r="K157" s="53" t="s">
        <v>2435</v>
      </c>
      <c r="L157" s="54" t="s">
        <v>2327</v>
      </c>
    </row>
    <row r="158" spans="1:12" ht="24" x14ac:dyDescent="0.3">
      <c r="A158" s="54" t="s">
        <v>2186</v>
      </c>
      <c r="B158" s="46">
        <v>146</v>
      </c>
      <c r="C158" s="115" t="s">
        <v>2172</v>
      </c>
      <c r="D158" s="112" t="s">
        <v>938</v>
      </c>
      <c r="E158" s="115" t="s">
        <v>1934</v>
      </c>
      <c r="F158" s="46" t="s">
        <v>882</v>
      </c>
      <c r="G158" s="54" t="s">
        <v>941</v>
      </c>
      <c r="H158" s="46" t="s">
        <v>2429</v>
      </c>
      <c r="I158" s="54" t="s">
        <v>2321</v>
      </c>
      <c r="J158" s="54" t="s">
        <v>1029</v>
      </c>
      <c r="K158" s="53" t="s">
        <v>2430</v>
      </c>
      <c r="L158" s="54" t="s">
        <v>2322</v>
      </c>
    </row>
    <row r="159" spans="1:12" x14ac:dyDescent="0.3">
      <c r="A159" s="54" t="s">
        <v>8</v>
      </c>
      <c r="B159" s="46">
        <v>145</v>
      </c>
      <c r="C159" s="115" t="s">
        <v>2172</v>
      </c>
      <c r="D159" s="112" t="s">
        <v>938</v>
      </c>
      <c r="E159" s="115" t="s">
        <v>1934</v>
      </c>
      <c r="F159" s="46" t="s">
        <v>882</v>
      </c>
      <c r="G159" s="54" t="s">
        <v>940</v>
      </c>
      <c r="H159" s="46" t="s">
        <v>2428</v>
      </c>
      <c r="I159" s="54" t="s">
        <v>2319</v>
      </c>
      <c r="J159" s="54" t="s">
        <v>1030</v>
      </c>
      <c r="K159" s="53" t="s">
        <v>2475</v>
      </c>
      <c r="L159" s="54" t="s">
        <v>2320</v>
      </c>
    </row>
    <row r="160" spans="1:12" x14ac:dyDescent="0.3">
      <c r="A160" s="54" t="s">
        <v>4</v>
      </c>
      <c r="B160" s="46">
        <v>150</v>
      </c>
      <c r="C160" s="115" t="s">
        <v>2172</v>
      </c>
      <c r="D160" s="112" t="s">
        <v>938</v>
      </c>
      <c r="E160" s="115" t="s">
        <v>1934</v>
      </c>
      <c r="F160" s="46" t="s">
        <v>882</v>
      </c>
      <c r="G160" s="115" t="s">
        <v>946</v>
      </c>
      <c r="H160" s="115" t="s">
        <v>2433</v>
      </c>
      <c r="I160" s="115" t="s">
        <v>2325</v>
      </c>
      <c r="J160" s="115" t="s">
        <v>1031</v>
      </c>
      <c r="K160" s="116" t="s">
        <v>2434</v>
      </c>
      <c r="L160" s="117" t="s">
        <v>2326</v>
      </c>
    </row>
    <row r="161" spans="1:12" x14ac:dyDescent="0.3">
      <c r="A161" s="54" t="s">
        <v>2190</v>
      </c>
      <c r="B161" s="46">
        <v>151</v>
      </c>
      <c r="C161" s="115" t="s">
        <v>2172</v>
      </c>
      <c r="D161" s="112" t="s">
        <v>938</v>
      </c>
      <c r="E161" s="115" t="s">
        <v>1934</v>
      </c>
      <c r="F161" s="46" t="s">
        <v>882</v>
      </c>
      <c r="G161" s="54" t="s">
        <v>2439</v>
      </c>
      <c r="H161" s="46" t="s">
        <v>2436</v>
      </c>
      <c r="I161" s="54" t="s">
        <v>2328</v>
      </c>
      <c r="J161" s="54" t="s">
        <v>1033</v>
      </c>
      <c r="K161" s="53" t="s">
        <v>2437</v>
      </c>
      <c r="L161" s="54" t="s">
        <v>2329</v>
      </c>
    </row>
    <row r="162" spans="1:12" x14ac:dyDescent="0.3">
      <c r="A162" s="54" t="s">
        <v>2191</v>
      </c>
      <c r="B162" s="46">
        <v>152</v>
      </c>
      <c r="C162" s="115" t="s">
        <v>2172</v>
      </c>
      <c r="D162" s="112" t="s">
        <v>938</v>
      </c>
      <c r="E162" s="115" t="s">
        <v>1934</v>
      </c>
      <c r="F162" s="46" t="s">
        <v>882</v>
      </c>
      <c r="G162" s="54" t="s">
        <v>5</v>
      </c>
      <c r="H162" s="46" t="s">
        <v>2007</v>
      </c>
      <c r="I162" s="54" t="s">
        <v>2006</v>
      </c>
      <c r="J162" s="54" t="s">
        <v>1034</v>
      </c>
      <c r="K162" s="53" t="s">
        <v>2438</v>
      </c>
      <c r="L162" s="54" t="s">
        <v>2330</v>
      </c>
    </row>
    <row r="163" spans="1:12" ht="24" x14ac:dyDescent="0.3">
      <c r="A163" s="54" t="s">
        <v>2187</v>
      </c>
      <c r="B163" s="46">
        <v>147</v>
      </c>
      <c r="C163" s="115" t="s">
        <v>2172</v>
      </c>
      <c r="D163" s="112" t="s">
        <v>938</v>
      </c>
      <c r="E163" s="115" t="s">
        <v>1934</v>
      </c>
      <c r="F163" s="46" t="s">
        <v>1955</v>
      </c>
      <c r="G163" s="54" t="s">
        <v>944</v>
      </c>
      <c r="H163" s="46" t="s">
        <v>2431</v>
      </c>
      <c r="I163" s="54" t="s">
        <v>2323</v>
      </c>
      <c r="J163" s="54" t="s">
        <v>2635</v>
      </c>
      <c r="K163" s="53" t="s">
        <v>2638</v>
      </c>
      <c r="L163" s="54" t="s">
        <v>2596</v>
      </c>
    </row>
    <row r="164" spans="1:12" ht="24" x14ac:dyDescent="0.3">
      <c r="A164" s="54" t="s">
        <v>2188</v>
      </c>
      <c r="B164" s="46">
        <v>148</v>
      </c>
      <c r="C164" s="115" t="s">
        <v>2172</v>
      </c>
      <c r="D164" s="112" t="s">
        <v>938</v>
      </c>
      <c r="E164" s="115" t="s">
        <v>1934</v>
      </c>
      <c r="F164" s="46" t="s">
        <v>1955</v>
      </c>
      <c r="G164" s="54" t="s">
        <v>945</v>
      </c>
      <c r="H164" s="46" t="s">
        <v>2432</v>
      </c>
      <c r="I164" s="54" t="s">
        <v>2324</v>
      </c>
      <c r="J164" s="54" t="s">
        <v>2636</v>
      </c>
      <c r="K164" s="53" t="s">
        <v>2639</v>
      </c>
      <c r="L164" s="54" t="s">
        <v>2597</v>
      </c>
    </row>
    <row r="165" spans="1:12" x14ac:dyDescent="0.3">
      <c r="A165" s="59" t="s">
        <v>2205</v>
      </c>
      <c r="B165" s="46">
        <v>153</v>
      </c>
      <c r="C165" s="115" t="s">
        <v>2172</v>
      </c>
      <c r="D165" s="112" t="s">
        <v>938</v>
      </c>
      <c r="E165" s="115" t="s">
        <v>1934</v>
      </c>
      <c r="F165" s="46" t="s">
        <v>882</v>
      </c>
      <c r="G165" s="54" t="s">
        <v>2444</v>
      </c>
      <c r="H165" s="46" t="s">
        <v>2443</v>
      </c>
      <c r="I165" s="46" t="s">
        <v>2445</v>
      </c>
      <c r="J165" s="59" t="s">
        <v>2508</v>
      </c>
      <c r="K165" s="53" t="s">
        <v>2510</v>
      </c>
      <c r="L165" s="46" t="s">
        <v>2509</v>
      </c>
    </row>
    <row r="166" spans="1:12" x14ac:dyDescent="0.3">
      <c r="A166" s="46" t="s">
        <v>1933</v>
      </c>
      <c r="B166" s="46">
        <v>158</v>
      </c>
      <c r="C166" s="46" t="s">
        <v>2502</v>
      </c>
      <c r="D166" s="46" t="s">
        <v>951</v>
      </c>
      <c r="E166" s="46" t="s">
        <v>1932</v>
      </c>
      <c r="F166" s="46" t="s">
        <v>952</v>
      </c>
      <c r="G166" s="46" t="s">
        <v>1931</v>
      </c>
      <c r="H166" s="46" t="s">
        <v>1931</v>
      </c>
      <c r="I166" s="46" t="s">
        <v>1930</v>
      </c>
      <c r="J166" s="46" t="s">
        <v>1929</v>
      </c>
      <c r="K166" s="46" t="s">
        <v>1928</v>
      </c>
      <c r="L166" s="46" t="s">
        <v>1927</v>
      </c>
    </row>
    <row r="167" spans="1:12" x14ac:dyDescent="0.3">
      <c r="A167" s="46" t="s">
        <v>1926</v>
      </c>
      <c r="B167" s="46">
        <v>159</v>
      </c>
      <c r="C167" s="46" t="s">
        <v>2502</v>
      </c>
      <c r="D167" s="46" t="s">
        <v>951</v>
      </c>
      <c r="E167" s="46" t="s">
        <v>1899</v>
      </c>
      <c r="F167" s="46" t="s">
        <v>952</v>
      </c>
      <c r="G167" s="46" t="s">
        <v>2499</v>
      </c>
      <c r="H167" s="46" t="s">
        <v>2501</v>
      </c>
      <c r="I167" s="46" t="s">
        <v>2500</v>
      </c>
      <c r="J167" s="46" t="s">
        <v>952</v>
      </c>
      <c r="K167" s="46" t="s">
        <v>952</v>
      </c>
      <c r="L167" s="46" t="s">
        <v>952</v>
      </c>
    </row>
    <row r="168" spans="1:12" ht="36" x14ac:dyDescent="0.3">
      <c r="A168" s="46" t="s">
        <v>1925</v>
      </c>
      <c r="B168" s="46">
        <v>160</v>
      </c>
      <c r="C168" s="46" t="s">
        <v>2502</v>
      </c>
      <c r="D168" s="46" t="s">
        <v>951</v>
      </c>
      <c r="E168" s="46" t="s">
        <v>1867</v>
      </c>
      <c r="F168" s="46" t="s">
        <v>952</v>
      </c>
      <c r="G168" s="46" t="s">
        <v>1924</v>
      </c>
      <c r="H168" s="46" t="s">
        <v>1924</v>
      </c>
      <c r="I168" s="46" t="s">
        <v>1924</v>
      </c>
      <c r="J168" s="46" t="s">
        <v>1923</v>
      </c>
      <c r="K168" s="46" t="s">
        <v>1922</v>
      </c>
      <c r="L168" s="46" t="s">
        <v>1921</v>
      </c>
    </row>
    <row r="169" spans="1:12" ht="36" x14ac:dyDescent="0.3">
      <c r="A169" s="46" t="s">
        <v>1920</v>
      </c>
      <c r="B169" s="46">
        <v>161</v>
      </c>
      <c r="C169" s="46" t="s">
        <v>2502</v>
      </c>
      <c r="D169" s="46" t="s">
        <v>951</v>
      </c>
      <c r="E169" s="46" t="s">
        <v>1867</v>
      </c>
      <c r="F169" s="46" t="s">
        <v>952</v>
      </c>
      <c r="G169" s="46" t="s">
        <v>1919</v>
      </c>
      <c r="H169" s="46" t="s">
        <v>1919</v>
      </c>
      <c r="I169" s="46" t="s">
        <v>1919</v>
      </c>
      <c r="J169" s="46" t="s">
        <v>1918</v>
      </c>
      <c r="K169" s="46" t="s">
        <v>1917</v>
      </c>
      <c r="L169" s="46" t="s">
        <v>1916</v>
      </c>
    </row>
    <row r="170" spans="1:12" ht="36" x14ac:dyDescent="0.3">
      <c r="A170" s="46" t="s">
        <v>1915</v>
      </c>
      <c r="B170" s="46">
        <v>162</v>
      </c>
      <c r="C170" s="46" t="s">
        <v>2502</v>
      </c>
      <c r="D170" s="46" t="s">
        <v>951</v>
      </c>
      <c r="E170" s="46" t="s">
        <v>1867</v>
      </c>
      <c r="F170" s="46" t="s">
        <v>952</v>
      </c>
      <c r="G170" s="46" t="s">
        <v>1914</v>
      </c>
      <c r="H170" s="46" t="s">
        <v>1914</v>
      </c>
      <c r="I170" s="46" t="s">
        <v>1914</v>
      </c>
      <c r="J170" s="46" t="s">
        <v>1913</v>
      </c>
      <c r="K170" s="46" t="s">
        <v>1912</v>
      </c>
      <c r="L170" s="46" t="s">
        <v>1911</v>
      </c>
    </row>
    <row r="171" spans="1:12" ht="36" x14ac:dyDescent="0.3">
      <c r="A171" s="46" t="s">
        <v>1910</v>
      </c>
      <c r="B171" s="46">
        <v>163</v>
      </c>
      <c r="C171" s="46" t="s">
        <v>2502</v>
      </c>
      <c r="D171" s="46" t="s">
        <v>951</v>
      </c>
      <c r="E171" s="46" t="s">
        <v>1867</v>
      </c>
      <c r="F171" s="46" t="s">
        <v>952</v>
      </c>
      <c r="G171" s="46" t="s">
        <v>1909</v>
      </c>
      <c r="H171" s="46" t="s">
        <v>1909</v>
      </c>
      <c r="I171" s="46" t="s">
        <v>1909</v>
      </c>
      <c r="J171" s="46" t="s">
        <v>1908</v>
      </c>
      <c r="K171" s="46" t="s">
        <v>1907</v>
      </c>
      <c r="L171" s="46" t="s">
        <v>1906</v>
      </c>
    </row>
    <row r="172" spans="1:12" ht="24" x14ac:dyDescent="0.3">
      <c r="A172" s="46" t="s">
        <v>1905</v>
      </c>
      <c r="B172" s="46">
        <v>164</v>
      </c>
      <c r="C172" s="46" t="s">
        <v>2502</v>
      </c>
      <c r="D172" s="46" t="s">
        <v>951</v>
      </c>
      <c r="E172" s="46" t="s">
        <v>1867</v>
      </c>
      <c r="F172" s="46" t="s">
        <v>952</v>
      </c>
      <c r="G172" s="46" t="s">
        <v>1904</v>
      </c>
      <c r="H172" s="46" t="s">
        <v>1904</v>
      </c>
      <c r="I172" s="46" t="s">
        <v>1904</v>
      </c>
      <c r="J172" s="46" t="s">
        <v>1903</v>
      </c>
      <c r="K172" s="46" t="s">
        <v>1902</v>
      </c>
      <c r="L172" s="46" t="s">
        <v>1901</v>
      </c>
    </row>
    <row r="173" spans="1:12" x14ac:dyDescent="0.3">
      <c r="A173" s="46" t="s">
        <v>1900</v>
      </c>
      <c r="B173" s="46">
        <v>165</v>
      </c>
      <c r="C173" s="46" t="s">
        <v>2502</v>
      </c>
      <c r="D173" s="46" t="s">
        <v>2503</v>
      </c>
      <c r="E173" s="46" t="s">
        <v>1899</v>
      </c>
      <c r="F173" s="46" t="s">
        <v>952</v>
      </c>
      <c r="G173" s="46" t="s">
        <v>1898</v>
      </c>
      <c r="H173" s="46" t="s">
        <v>1897</v>
      </c>
      <c r="I173" s="46" t="s">
        <v>1896</v>
      </c>
      <c r="J173" s="46" t="s">
        <v>952</v>
      </c>
      <c r="K173" s="46" t="s">
        <v>952</v>
      </c>
      <c r="L173" s="46" t="s">
        <v>952</v>
      </c>
    </row>
    <row r="174" spans="1:12" x14ac:dyDescent="0.3">
      <c r="A174" s="47" t="s">
        <v>1895</v>
      </c>
      <c r="B174" s="46">
        <v>166</v>
      </c>
      <c r="C174" s="46" t="s">
        <v>2502</v>
      </c>
      <c r="D174" s="46" t="s">
        <v>2503</v>
      </c>
      <c r="E174" s="46" t="s">
        <v>1867</v>
      </c>
      <c r="F174" s="46" t="s">
        <v>952</v>
      </c>
      <c r="G174" s="46" t="s">
        <v>1894</v>
      </c>
      <c r="H174" s="46" t="s">
        <v>1893</v>
      </c>
      <c r="I174" s="46" t="s">
        <v>1892</v>
      </c>
      <c r="J174" s="46" t="s">
        <v>952</v>
      </c>
      <c r="K174" s="46" t="s">
        <v>952</v>
      </c>
      <c r="L174" s="46" t="s">
        <v>952</v>
      </c>
    </row>
    <row r="175" spans="1:12" x14ac:dyDescent="0.3">
      <c r="A175" s="47" t="s">
        <v>1891</v>
      </c>
      <c r="B175" s="46">
        <v>167</v>
      </c>
      <c r="C175" s="46" t="s">
        <v>2502</v>
      </c>
      <c r="D175" s="46" t="s">
        <v>2503</v>
      </c>
      <c r="E175" s="46" t="s">
        <v>1867</v>
      </c>
      <c r="F175" s="46" t="s">
        <v>952</v>
      </c>
      <c r="G175" s="46" t="s">
        <v>1890</v>
      </c>
      <c r="H175" s="46" t="s">
        <v>1889</v>
      </c>
      <c r="I175" s="46" t="s">
        <v>1888</v>
      </c>
      <c r="J175" s="46" t="s">
        <v>952</v>
      </c>
      <c r="K175" s="46" t="s">
        <v>952</v>
      </c>
      <c r="L175" s="46" t="s">
        <v>952</v>
      </c>
    </row>
    <row r="176" spans="1:12" x14ac:dyDescent="0.3">
      <c r="A176" s="46" t="s">
        <v>1887</v>
      </c>
      <c r="B176" s="46">
        <v>168</v>
      </c>
      <c r="C176" s="46" t="s">
        <v>2502</v>
      </c>
      <c r="D176" s="46" t="s">
        <v>2503</v>
      </c>
      <c r="E176" s="46" t="s">
        <v>1867</v>
      </c>
      <c r="F176" s="46" t="s">
        <v>952</v>
      </c>
      <c r="G176" s="46" t="s">
        <v>1886</v>
      </c>
      <c r="H176" s="46" t="s">
        <v>1885</v>
      </c>
      <c r="I176" s="46" t="s">
        <v>1884</v>
      </c>
      <c r="J176" s="46" t="s">
        <v>952</v>
      </c>
      <c r="K176" s="46" t="s">
        <v>952</v>
      </c>
      <c r="L176" s="46" t="s">
        <v>952</v>
      </c>
    </row>
    <row r="177" spans="1:12" x14ac:dyDescent="0.3">
      <c r="A177" s="46" t="s">
        <v>1883</v>
      </c>
      <c r="B177" s="46">
        <v>169</v>
      </c>
      <c r="C177" s="46" t="s">
        <v>2502</v>
      </c>
      <c r="D177" s="46" t="s">
        <v>2503</v>
      </c>
      <c r="E177" s="46" t="s">
        <v>1867</v>
      </c>
      <c r="F177" s="46" t="s">
        <v>952</v>
      </c>
      <c r="G177" s="46" t="s">
        <v>1007</v>
      </c>
      <c r="H177" s="46" t="s">
        <v>1882</v>
      </c>
      <c r="I177" s="46" t="s">
        <v>1881</v>
      </c>
      <c r="J177" s="46" t="s">
        <v>952</v>
      </c>
      <c r="K177" s="46" t="s">
        <v>952</v>
      </c>
      <c r="L177" s="46" t="s">
        <v>952</v>
      </c>
    </row>
    <row r="178" spans="1:12" x14ac:dyDescent="0.3">
      <c r="A178" s="46" t="s">
        <v>1880</v>
      </c>
      <c r="B178" s="46">
        <v>170</v>
      </c>
      <c r="C178" s="46" t="s">
        <v>2502</v>
      </c>
      <c r="D178" s="46" t="s">
        <v>2503</v>
      </c>
      <c r="E178" s="46" t="s">
        <v>1867</v>
      </c>
      <c r="F178" s="46" t="s">
        <v>952</v>
      </c>
      <c r="G178" s="46" t="s">
        <v>1879</v>
      </c>
      <c r="H178" s="46" t="s">
        <v>1878</v>
      </c>
      <c r="I178" s="46" t="s">
        <v>1877</v>
      </c>
      <c r="J178" s="46" t="s">
        <v>952</v>
      </c>
      <c r="K178" s="46" t="s">
        <v>952</v>
      </c>
      <c r="L178" s="46" t="s">
        <v>952</v>
      </c>
    </row>
    <row r="179" spans="1:12" x14ac:dyDescent="0.3">
      <c r="A179" s="46" t="s">
        <v>1876</v>
      </c>
      <c r="B179" s="46">
        <v>171</v>
      </c>
      <c r="C179" s="46" t="s">
        <v>2502</v>
      </c>
      <c r="D179" s="46" t="s">
        <v>2503</v>
      </c>
      <c r="E179" s="46" t="s">
        <v>1867</v>
      </c>
      <c r="F179" s="46" t="s">
        <v>952</v>
      </c>
      <c r="G179" s="49" t="s">
        <v>1875</v>
      </c>
      <c r="H179" s="49" t="s">
        <v>1874</v>
      </c>
      <c r="I179" s="49" t="s">
        <v>1873</v>
      </c>
      <c r="J179" s="46" t="s">
        <v>952</v>
      </c>
      <c r="K179" s="46" t="s">
        <v>952</v>
      </c>
      <c r="L179" s="46" t="s">
        <v>952</v>
      </c>
    </row>
    <row r="180" spans="1:12" x14ac:dyDescent="0.3">
      <c r="A180" s="46" t="s">
        <v>1872</v>
      </c>
      <c r="B180" s="46">
        <v>172</v>
      </c>
      <c r="C180" s="46" t="s">
        <v>2502</v>
      </c>
      <c r="D180" s="46" t="s">
        <v>2503</v>
      </c>
      <c r="E180" s="46" t="s">
        <v>1867</v>
      </c>
      <c r="F180" s="46" t="s">
        <v>952</v>
      </c>
      <c r="G180" s="49" t="s">
        <v>1871</v>
      </c>
      <c r="H180" s="49" t="s">
        <v>1870</v>
      </c>
      <c r="I180" s="49" t="s">
        <v>1869</v>
      </c>
      <c r="J180" s="46" t="s">
        <v>952</v>
      </c>
      <c r="K180" s="46" t="s">
        <v>952</v>
      </c>
      <c r="L180" s="46" t="s">
        <v>952</v>
      </c>
    </row>
    <row r="181" spans="1:12" x14ac:dyDescent="0.3">
      <c r="A181" s="47" t="s">
        <v>1868</v>
      </c>
      <c r="B181" s="46">
        <v>173</v>
      </c>
      <c r="C181" s="46" t="s">
        <v>2502</v>
      </c>
      <c r="D181" s="46" t="s">
        <v>2503</v>
      </c>
      <c r="E181" s="46" t="s">
        <v>1867</v>
      </c>
      <c r="F181" s="46" t="s">
        <v>952</v>
      </c>
      <c r="G181" s="46" t="s">
        <v>948</v>
      </c>
      <c r="H181" s="46" t="s">
        <v>948</v>
      </c>
      <c r="I181" s="46" t="s">
        <v>1866</v>
      </c>
      <c r="J181" s="46" t="s">
        <v>952</v>
      </c>
      <c r="K181" s="46" t="s">
        <v>952</v>
      </c>
      <c r="L181" s="46" t="s">
        <v>952</v>
      </c>
    </row>
  </sheetData>
  <sheetProtection algorithmName="SHA-512" hashValue="iv5SH2laGMqYF/cC8uC6TUvJLQqeNpEJ2Z3PFVe77f20OC83o4z5qKiYRvk6qIXkumQTE4mZMMp/wSl8Erhleg==" saltValue="2WxidPscusgvBPd2avlNQA==" spinCount="100000" sheet="1" objects="1" scenarios="1" formatCells="0" autoFilter="0"/>
  <mergeCells count="1">
    <mergeCell ref="A1: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33</vt:i4>
      </vt:variant>
    </vt:vector>
  </HeadingPairs>
  <TitlesOfParts>
    <vt:vector size="40" baseType="lpstr">
      <vt:lpstr>TG02A</vt:lpstr>
      <vt:lpstr>TG02B</vt:lpstr>
      <vt:lpstr>TG02C</vt:lpstr>
      <vt:lpstr>Codes</vt:lpstr>
      <vt:lpstr>Instructions</vt:lpstr>
      <vt:lpstr>Filters</vt:lpstr>
      <vt:lpstr>Translation</vt:lpstr>
      <vt:lpstr>BaitTypeCode</vt:lpstr>
      <vt:lpstr>BWindSpeedID</vt:lpstr>
      <vt:lpstr>Content</vt:lpstr>
      <vt:lpstr>DSeaStateID</vt:lpstr>
      <vt:lpstr>FlagA2ISO</vt:lpstr>
      <vt:lpstr>FlagA3ISO</vt:lpstr>
      <vt:lpstr>FlagCode</vt:lpstr>
      <vt:lpstr>FlagName</vt:lpstr>
      <vt:lpstr>fmtLatitude</vt:lpstr>
      <vt:lpstr>fmtLongitude</vt:lpstr>
      <vt:lpstr>fmtTagCodes</vt:lpstr>
      <vt:lpstr>GearCode</vt:lpstr>
      <vt:lpstr>Idiom</vt:lpstr>
      <vt:lpstr>InjuryStateCode</vt:lpstr>
      <vt:lpstr>LangFieldID</vt:lpstr>
      <vt:lpstr>LangNameID</vt:lpstr>
      <vt:lpstr>LenMethodCode</vt:lpstr>
      <vt:lpstr>LenTypeCode</vt:lpstr>
      <vt:lpstr>PersonID</vt:lpstr>
      <vt:lpstr>PersonTypeCode</vt:lpstr>
      <vt:lpstr>QualInfoScoreCode</vt:lpstr>
      <vt:lpstr>RCStageCode</vt:lpstr>
      <vt:lpstr>RecPlaceCode</vt:lpstr>
      <vt:lpstr>SchoolTypeCode</vt:lpstr>
      <vt:lpstr>SexCode</vt:lpstr>
      <vt:lpstr>SkyCoverageCode</vt:lpstr>
      <vt:lpstr>SpeciesCode</vt:lpstr>
      <vt:lpstr>Status</vt:lpstr>
      <vt:lpstr>TagTypeCode</vt:lpstr>
      <vt:lpstr>Version</vt:lpstr>
      <vt:lpstr>VesselID</vt:lpstr>
      <vt:lpstr>WgtMethodCode</vt:lpstr>
      <vt:lpstr>WgtTypeCode</vt:lpstr>
    </vt:vector>
  </TitlesOfParts>
  <Company>ICCAT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Juan Luis Gallego</cp:lastModifiedBy>
  <cp:lastPrinted>2008-04-29T07:26:20Z</cp:lastPrinted>
  <dcterms:created xsi:type="dcterms:W3CDTF">2008-03-29T09:05:12Z</dcterms:created>
  <dcterms:modified xsi:type="dcterms:W3CDTF">2022-06-23T10:28:22Z</dcterms:modified>
</cp:coreProperties>
</file>