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drawings/drawing1.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defaultThemeVersion="124226"/>
  <mc:AlternateContent xmlns:mc="http://schemas.openxmlformats.org/markup-compatibility/2006">
    <mc:Choice Requires="x15">
      <x15ac:absPath xmlns:x15ac="http://schemas.microsoft.com/office/spreadsheetml/2010/11/ac" url="D:\eforms\2024\ST01-10-TRI_2024a\"/>
    </mc:Choice>
  </mc:AlternateContent>
  <xr:revisionPtr revIDLastSave="0" documentId="13_ncr:1_{F3D3DCEF-771D-4D14-8D2E-EF32221AD5E9}" xr6:coauthVersionLast="47" xr6:coauthVersionMax="47" xr10:uidLastSave="{00000000-0000-0000-0000-000000000000}"/>
  <workbookProtection workbookAlgorithmName="SHA-512" workbookHashValue="IqUUN1CoCRBTiF4pleX3IyIV/pO2ghQGPhilR9UC2m4hF6/fUSlEfoBY+aeZIEo/ME08hxsHq8dmPwKSYDyvJQ==" workbookSaltValue="1IKewfG3+Yj1/VE4a0pStQ==" workbookSpinCount="100000" lockStructure="1"/>
  <bookViews>
    <workbookView xWindow="-103" yWindow="-103" windowWidth="33120" windowHeight="18000" tabRatio="731" xr2:uid="{00000000-000D-0000-FFFF-FFFF00000000}"/>
  </bookViews>
  <sheets>
    <sheet name="ST10A-PrtSmp" sheetId="1" r:id="rId1"/>
    <sheet name="ST10B-PrtSmpSZ" sheetId="6" r:id="rId2"/>
    <sheet name="Codes" sheetId="3" r:id="rId3"/>
    <sheet name="Instructions" sheetId="4" r:id="rId4"/>
    <sheet name="Filters" sheetId="7" r:id="rId5"/>
    <sheet name="Translation" sheetId="5" state="hidden" r:id="rId6"/>
  </sheets>
  <definedNames>
    <definedName name="_xlnm._FilterDatabase" localSheetId="2" hidden="1">Codes!$A$2:$F$160</definedName>
    <definedName name="_xlnm._FilterDatabase" localSheetId="0" hidden="1">'ST10A-PrtSmp'!$A$21:$R$26</definedName>
    <definedName name="_xlnm._FilterDatabase" localSheetId="5" hidden="1">Translation!#REF!</definedName>
    <definedName name="Content">Codes!$T$39:$T$42</definedName>
    <definedName name="FlagA3ISO">Codes!$E$3:$E$175</definedName>
    <definedName name="FlagCode">Codes!$B$3:$B$175</definedName>
    <definedName name="FlagName">Codes!$A$3:$A$175</definedName>
    <definedName name="FreqType">Codes!$U$3:$U$12</definedName>
    <definedName name="FreqTypeCode">Codes!$T$3:$T$12</definedName>
    <definedName name="GearCode">Codes!$P$3:$P$50</definedName>
    <definedName name="IccSpcGrp">Codes!$M$3:$M$204</definedName>
    <definedName name="Idiom">'ST10A-PrtSmp'!$R$2</definedName>
    <definedName name="LandingID">'ST10A-PrtSmp'!$A$27:$A$50</definedName>
    <definedName name="LangFieldID">Translation!$I$1</definedName>
    <definedName name="LangNameID">Translation!$I$2</definedName>
    <definedName name="PortsZones">Codes!$D$3:$D$175</definedName>
    <definedName name="ProdTypeCode">Codes!$T$17:$T$20</definedName>
    <definedName name="SexCode">Codes!$T$25:$T$28</definedName>
    <definedName name="SpeciesCode">Codes!$H$3:$H$204</definedName>
    <definedName name="Version">Codes!$T$33:$T$34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9" i="1" l="1"/>
  <c r="E12" i="1"/>
  <c r="J11" i="1" s="1"/>
  <c r="F4" i="7"/>
  <c r="G3" i="7" l="1"/>
  <c r="C25" i="1" l="1"/>
  <c r="N25" i="1" l="1"/>
  <c r="A17" i="6"/>
  <c r="C17" i="6" l="1"/>
  <c r="G46" i="4" l="1"/>
  <c r="G45" i="4"/>
  <c r="G24" i="4"/>
  <c r="G23" i="4"/>
  <c r="G22" i="4"/>
  <c r="G21" i="4"/>
  <c r="G20" i="4"/>
  <c r="G52" i="4"/>
  <c r="G51" i="4"/>
  <c r="G50" i="4"/>
  <c r="G49" i="4"/>
  <c r="G48" i="4"/>
  <c r="G47" i="4"/>
  <c r="G44" i="4"/>
  <c r="G43" i="4"/>
  <c r="G42" i="4"/>
  <c r="G41" i="4"/>
  <c r="G40" i="4"/>
  <c r="G39" i="4"/>
  <c r="G38" i="4"/>
  <c r="G37" i="4"/>
  <c r="G36" i="4"/>
  <c r="G35" i="4"/>
  <c r="G34" i="4"/>
  <c r="G33" i="4"/>
  <c r="G32" i="4"/>
  <c r="G31" i="4"/>
  <c r="G30" i="4"/>
  <c r="G29" i="4"/>
  <c r="G28" i="4"/>
  <c r="G27" i="4"/>
  <c r="G26" i="4"/>
  <c r="G25" i="4"/>
  <c r="G19" i="4"/>
  <c r="G18" i="4"/>
  <c r="G17" i="4"/>
  <c r="G16" i="4"/>
  <c r="G15" i="4"/>
  <c r="G14" i="4"/>
  <c r="G13" i="4"/>
  <c r="G12" i="4"/>
  <c r="G11" i="4"/>
  <c r="I2" i="5" l="1"/>
  <c r="I1" i="5"/>
  <c r="A3" i="7" l="1"/>
  <c r="A4" i="7"/>
  <c r="C2" i="1"/>
  <c r="F11" i="6"/>
  <c r="E16" i="4"/>
  <c r="E10" i="4"/>
  <c r="B11" i="4"/>
  <c r="E13" i="4"/>
  <c r="F45" i="4"/>
  <c r="F21" i="4"/>
  <c r="D10" i="4"/>
  <c r="F12" i="4"/>
  <c r="F11" i="4"/>
  <c r="F20" i="4"/>
  <c r="D30" i="4"/>
  <c r="C45" i="4"/>
  <c r="C10" i="4"/>
  <c r="A2" i="4"/>
  <c r="F17" i="1"/>
  <c r="A10" i="4"/>
  <c r="E23" i="4"/>
  <c r="F23" i="4"/>
  <c r="B10" i="4"/>
  <c r="C11" i="4"/>
  <c r="G10" i="4"/>
  <c r="A9" i="4"/>
  <c r="H10" i="4"/>
  <c r="B45" i="4"/>
  <c r="F46" i="4"/>
  <c r="F22" i="4"/>
  <c r="F10" i="4"/>
  <c r="F24" i="4"/>
  <c r="R1" i="1"/>
  <c r="Q1" i="1"/>
  <c r="G11" i="6"/>
  <c r="H23" i="4"/>
  <c r="B3" i="4"/>
  <c r="H24" i="4"/>
  <c r="H20" i="4"/>
  <c r="H11" i="4"/>
  <c r="B6" i="4"/>
  <c r="G17" i="1"/>
  <c r="A1" i="4"/>
  <c r="H46" i="4"/>
  <c r="H22" i="4"/>
  <c r="B7" i="4"/>
  <c r="H45" i="4"/>
  <c r="H21" i="4"/>
  <c r="B5" i="4"/>
  <c r="B4" i="4"/>
  <c r="H12" i="4"/>
  <c r="K2" i="6"/>
  <c r="J2" i="6"/>
  <c r="G17" i="6"/>
  <c r="D25" i="1"/>
  <c r="E25" i="1"/>
  <c r="C11" i="6" l="1"/>
  <c r="C10" i="6"/>
  <c r="C8" i="6"/>
  <c r="C7" i="6"/>
  <c r="C6" i="6" l="1"/>
  <c r="C5" i="6"/>
  <c r="F17" i="6" l="1"/>
  <c r="E17" i="6"/>
  <c r="D17" i="6"/>
  <c r="B17" i="6"/>
  <c r="M25" i="1"/>
  <c r="L25" i="1"/>
  <c r="K25" i="1"/>
  <c r="J25" i="1"/>
  <c r="I25" i="1"/>
  <c r="H25" i="1"/>
  <c r="G25" i="1"/>
  <c r="F25" i="1"/>
  <c r="B25" i="1"/>
  <c r="A25" i="1"/>
  <c r="J4" i="1"/>
  <c r="K9" i="1" s="1"/>
  <c r="F48" i="4" l="1"/>
  <c r="H48" i="4"/>
  <c r="F11" i="1"/>
  <c r="F5" i="6" s="1"/>
  <c r="F12" i="1"/>
  <c r="F6" i="6" s="1"/>
  <c r="D20" i="4"/>
  <c r="F28" i="4"/>
  <c r="F29" i="4"/>
  <c r="F25" i="4"/>
  <c r="H28" i="4"/>
  <c r="H29" i="4"/>
  <c r="H25" i="4"/>
  <c r="F51" i="4"/>
  <c r="A21" i="1"/>
  <c r="F50" i="4"/>
  <c r="F49" i="4"/>
  <c r="C46" i="4"/>
  <c r="D46" i="4"/>
  <c r="H52" i="4"/>
  <c r="H39" i="4"/>
  <c r="H33" i="4"/>
  <c r="H26" i="4"/>
  <c r="H15" i="4"/>
  <c r="H38" i="4"/>
  <c r="H32" i="4"/>
  <c r="H14" i="4"/>
  <c r="H37" i="4"/>
  <c r="H31" i="4"/>
  <c r="H13" i="4"/>
  <c r="H49" i="4"/>
  <c r="H30" i="4"/>
  <c r="H41" i="4"/>
  <c r="H17" i="4"/>
  <c r="H40" i="4"/>
  <c r="H16" i="4"/>
  <c r="H51" i="4"/>
  <c r="H44" i="4"/>
  <c r="H50" i="4"/>
  <c r="H19" i="4"/>
  <c r="H36" i="4"/>
  <c r="H18" i="4"/>
  <c r="H27" i="4"/>
  <c r="H34" i="4"/>
  <c r="H43" i="4"/>
  <c r="H42" i="4"/>
  <c r="H35" i="4"/>
  <c r="H47" i="4"/>
  <c r="C31" i="4"/>
  <c r="F42" i="4"/>
  <c r="F36" i="4"/>
  <c r="F16" i="4"/>
  <c r="F34" i="4"/>
  <c r="F40" i="4"/>
  <c r="F44" i="4"/>
  <c r="F43" i="4"/>
  <c r="F31" i="4"/>
  <c r="F41" i="4"/>
  <c r="F33" i="4"/>
  <c r="F39" i="4"/>
  <c r="F32" i="4"/>
  <c r="F38" i="4"/>
  <c r="F37" i="4"/>
  <c r="D38" i="4"/>
  <c r="A18" i="1"/>
  <c r="A11" i="6" s="1"/>
  <c r="D31" i="4"/>
  <c r="D44" i="4"/>
  <c r="A15" i="6"/>
  <c r="N24" i="1"/>
  <c r="A4" i="1"/>
  <c r="B9" i="1"/>
  <c r="F9" i="1"/>
  <c r="A5" i="1"/>
  <c r="B5" i="1"/>
  <c r="C2" i="6"/>
  <c r="F6" i="1"/>
  <c r="K6" i="1"/>
  <c r="G23" i="1"/>
  <c r="A7" i="1"/>
  <c r="A11" i="1"/>
  <c r="A4" i="6" s="1"/>
  <c r="A1" i="1"/>
  <c r="A1" i="6" s="1"/>
  <c r="K5" i="1"/>
  <c r="A13" i="1"/>
  <c r="A6" i="6" s="1"/>
  <c r="Q5" i="1"/>
  <c r="A7" i="6"/>
  <c r="J1" i="6"/>
  <c r="K4" i="1"/>
  <c r="R5" i="1"/>
  <c r="B8" i="1"/>
  <c r="K11" i="1"/>
  <c r="A17" i="1"/>
  <c r="A10" i="6" s="1"/>
  <c r="B7" i="1"/>
  <c r="K1" i="6"/>
  <c r="P4" i="1"/>
  <c r="B6" i="1"/>
  <c r="K8" i="1"/>
  <c r="A12" i="1"/>
  <c r="A5" i="6" s="1"/>
  <c r="A15" i="1"/>
  <c r="A8" i="6" s="1"/>
  <c r="A22" i="1"/>
  <c r="N22" i="1"/>
  <c r="H22" i="1"/>
  <c r="J24" i="1"/>
  <c r="K24" i="1"/>
  <c r="L24" i="1"/>
  <c r="M24" i="1"/>
  <c r="I24" i="1"/>
  <c r="B23" i="1"/>
  <c r="C23" i="1"/>
  <c r="D23" i="1"/>
  <c r="E23" i="1"/>
  <c r="F23" i="1"/>
  <c r="H24" i="1"/>
  <c r="A23" i="1"/>
  <c r="C1" i="1"/>
  <c r="C1" i="6" s="1"/>
  <c r="B16" i="6"/>
  <c r="G16" i="6"/>
  <c r="A16" i="6"/>
  <c r="F16" i="6"/>
  <c r="C16" i="6"/>
  <c r="E16" i="6"/>
  <c r="D16" i="6"/>
  <c r="A11" i="4"/>
  <c r="F47" i="4"/>
  <c r="F30" i="4"/>
  <c r="F18" i="4"/>
  <c r="C13" i="4"/>
  <c r="F52" i="4"/>
  <c r="F35" i="4"/>
  <c r="F27" i="4"/>
  <c r="F17" i="4"/>
  <c r="D25" i="4"/>
  <c r="F26" i="4"/>
  <c r="F15" i="4"/>
  <c r="F14" i="4"/>
  <c r="F19" i="4"/>
  <c r="F13" i="4"/>
  <c r="D13"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Carlos Palma</author>
  </authors>
  <commentList>
    <comment ref="C23" authorId="0" shapeId="0" xr:uid="{09142768-AADD-4D91-A1B2-8882D88F1808}">
      <text>
        <r>
          <rPr>
            <sz val="8"/>
            <color indexed="81"/>
            <rFont val="Tahoma"/>
            <family val="2"/>
          </rPr>
          <t xml:space="preserve">If VESSEL does not have an ICCAT code leave this field "blank" and complete the fields: Vessel Name + National Registry Number </t>
        </r>
      </text>
    </comment>
  </commentList>
</comments>
</file>

<file path=xl/sharedStrings.xml><?xml version="1.0" encoding="utf-8"?>
<sst xmlns="http://schemas.openxmlformats.org/spreadsheetml/2006/main" count="3541" uniqueCount="2207">
  <si>
    <t>Statistical correspondent</t>
  </si>
  <si>
    <t>Name</t>
  </si>
  <si>
    <t>E-mail</t>
  </si>
  <si>
    <t>Phone</t>
  </si>
  <si>
    <t>Institution</t>
  </si>
  <si>
    <t>Department</t>
  </si>
  <si>
    <t>Address</t>
  </si>
  <si>
    <t>Country</t>
  </si>
  <si>
    <t>Data set characteristics</t>
  </si>
  <si>
    <t>Secretariat use only</t>
  </si>
  <si>
    <t>Product type</t>
  </si>
  <si>
    <t>Affiliation</t>
  </si>
  <si>
    <t>Algerie</t>
  </si>
  <si>
    <t>DZA</t>
  </si>
  <si>
    <t>UN</t>
  </si>
  <si>
    <t>Unknown</t>
  </si>
  <si>
    <t>Angola</t>
  </si>
  <si>
    <t>AGO</t>
  </si>
  <si>
    <t>BFT</t>
  </si>
  <si>
    <t>Thunnus thynnus</t>
  </si>
  <si>
    <t>Barbados</t>
  </si>
  <si>
    <t>BRB</t>
  </si>
  <si>
    <t>SBF</t>
  </si>
  <si>
    <t>Thunnus maccoyii</t>
  </si>
  <si>
    <t>Southern bluefin tuna</t>
  </si>
  <si>
    <t>Thon rouge du Sud</t>
  </si>
  <si>
    <t>BRA</t>
  </si>
  <si>
    <t>YFT</t>
  </si>
  <si>
    <t>Thunnus albacares</t>
  </si>
  <si>
    <t>Yellowfin tuna</t>
  </si>
  <si>
    <t>Albacore</t>
  </si>
  <si>
    <t>Rabil</t>
  </si>
  <si>
    <t>Canada</t>
  </si>
  <si>
    <t>CAN</t>
  </si>
  <si>
    <t>ALB</t>
  </si>
  <si>
    <t>Thunnus alalunga</t>
  </si>
  <si>
    <t>Germon</t>
  </si>
  <si>
    <t>Atún blanco</t>
  </si>
  <si>
    <t>Cape Verde</t>
  </si>
  <si>
    <t>CPV</t>
  </si>
  <si>
    <t>BET</t>
  </si>
  <si>
    <t>Thunnus obesus</t>
  </si>
  <si>
    <t>Bigeye tuna</t>
  </si>
  <si>
    <t>Thon obèse(=Patudo)</t>
  </si>
  <si>
    <t>Patudo</t>
  </si>
  <si>
    <t>CHN</t>
  </si>
  <si>
    <t>BLF</t>
  </si>
  <si>
    <t>Thunnus atlanticus</t>
  </si>
  <si>
    <t>Blackfin tuna</t>
  </si>
  <si>
    <t>Thon à nageoires noires</t>
  </si>
  <si>
    <t>CIV</t>
  </si>
  <si>
    <t>LTA</t>
  </si>
  <si>
    <t>Euthynnus alletteratus</t>
  </si>
  <si>
    <t>Little tunny(=Atl.black skipj)</t>
  </si>
  <si>
    <t>Thonine commune</t>
  </si>
  <si>
    <t>Bacoreta</t>
  </si>
  <si>
    <t>SKJ</t>
  </si>
  <si>
    <t>Katsuwonus pelamis</t>
  </si>
  <si>
    <t>Skipjack tuna</t>
  </si>
  <si>
    <t>Listao</t>
  </si>
  <si>
    <t>Listado</t>
  </si>
  <si>
    <t>BON</t>
  </si>
  <si>
    <t>Sarda sarda</t>
  </si>
  <si>
    <t>Atlantic bonito</t>
  </si>
  <si>
    <t>Bonite à dos rayé</t>
  </si>
  <si>
    <t>Bonito del Atlántico</t>
  </si>
  <si>
    <t>FRI</t>
  </si>
  <si>
    <t>Auxis thazard</t>
  </si>
  <si>
    <t>Frigate tuna</t>
  </si>
  <si>
    <t>Auxide</t>
  </si>
  <si>
    <t>Melva</t>
  </si>
  <si>
    <t>BOP</t>
  </si>
  <si>
    <t>Orcynopsis unicolor</t>
  </si>
  <si>
    <t>Plain bonito</t>
  </si>
  <si>
    <t>Palomette</t>
  </si>
  <si>
    <t>Tasarte</t>
  </si>
  <si>
    <t>WAH</t>
  </si>
  <si>
    <t>Acanthocybium solandri</t>
  </si>
  <si>
    <t>Wahoo</t>
  </si>
  <si>
    <t>Thazard-bâtard</t>
  </si>
  <si>
    <t>Peto</t>
  </si>
  <si>
    <t>SSM</t>
  </si>
  <si>
    <t>Scomberomorus maculatus</t>
  </si>
  <si>
    <t>Atlantic Spanish mackerel</t>
  </si>
  <si>
    <t>Thazard atlantique</t>
  </si>
  <si>
    <t>Carite atlántico</t>
  </si>
  <si>
    <t>KGM</t>
  </si>
  <si>
    <t>Scomberomorus cavalla</t>
  </si>
  <si>
    <t>King mackerel</t>
  </si>
  <si>
    <t>Thazard barré</t>
  </si>
  <si>
    <t>Carite lucio</t>
  </si>
  <si>
    <t>SAI</t>
  </si>
  <si>
    <t>Istiophorus albicans</t>
  </si>
  <si>
    <t>Atlantic sailfish</t>
  </si>
  <si>
    <t>Voilier de l'Atlantique</t>
  </si>
  <si>
    <t>Pez vela del Atlántico</t>
  </si>
  <si>
    <t>OTH</t>
  </si>
  <si>
    <t>BUM</t>
  </si>
  <si>
    <t>Makaira nigricans</t>
  </si>
  <si>
    <t>WHM</t>
  </si>
  <si>
    <t>Atlantic white marlin</t>
  </si>
  <si>
    <t>Makaire blanc de l'Atlantique</t>
  </si>
  <si>
    <t>Aguja blanca del Atlántico</t>
  </si>
  <si>
    <t>NAM</t>
  </si>
  <si>
    <t>SWO</t>
  </si>
  <si>
    <t>Xiphias gladius</t>
  </si>
  <si>
    <t>Swordfish</t>
  </si>
  <si>
    <t>Espadon</t>
  </si>
  <si>
    <t>Pez espada</t>
  </si>
  <si>
    <t>SPF</t>
  </si>
  <si>
    <t>Tetrapturus pfluegeri</t>
  </si>
  <si>
    <t>Longbill spearfish</t>
  </si>
  <si>
    <t>Makaire bécune</t>
  </si>
  <si>
    <t>Aguja picuda</t>
  </si>
  <si>
    <t>GearGroup</t>
  </si>
  <si>
    <t>GearName</t>
  </si>
  <si>
    <t>TUN</t>
  </si>
  <si>
    <t>GIN</t>
  </si>
  <si>
    <t>BIL</t>
  </si>
  <si>
    <t>Istiophoridae</t>
  </si>
  <si>
    <t>Makaires,marlins,voiliers nca</t>
  </si>
  <si>
    <t>Agujas,marlines,peces vela nep</t>
  </si>
  <si>
    <t>LL</t>
  </si>
  <si>
    <t>Longline</t>
  </si>
  <si>
    <t>Guinea Ecuatorial</t>
  </si>
  <si>
    <t>GNQ</t>
  </si>
  <si>
    <t>Gabon</t>
  </si>
  <si>
    <t>GAB</t>
  </si>
  <si>
    <t>SLT</t>
  </si>
  <si>
    <t>Allothunnus fallai</t>
  </si>
  <si>
    <t>Slender tuna</t>
  </si>
  <si>
    <t>Thon élégant</t>
  </si>
  <si>
    <t>Atún lanzón</t>
  </si>
  <si>
    <t>Ghana</t>
  </si>
  <si>
    <t>GHA</t>
  </si>
  <si>
    <t>MAW</t>
  </si>
  <si>
    <t>Scomberomorus tritor</t>
  </si>
  <si>
    <t>West African Spanish mackerel</t>
  </si>
  <si>
    <t>Thazard blanc</t>
  </si>
  <si>
    <t>Carite lusitánico</t>
  </si>
  <si>
    <t>Honduras</t>
  </si>
  <si>
    <t>HND</t>
  </si>
  <si>
    <t>CER</t>
  </si>
  <si>
    <t>Scomberomorus regalis</t>
  </si>
  <si>
    <t>Cero</t>
  </si>
  <si>
    <t>Thazard franc</t>
  </si>
  <si>
    <t>Carite chinigua</t>
  </si>
  <si>
    <t>Iceland</t>
  </si>
  <si>
    <t>ISL</t>
  </si>
  <si>
    <t>BLT</t>
  </si>
  <si>
    <t>Auxis rochei</t>
  </si>
  <si>
    <t>Bullet tuna</t>
  </si>
  <si>
    <t>Bonitou</t>
  </si>
  <si>
    <t>Melva(=Melvera)</t>
  </si>
  <si>
    <t>Japan</t>
  </si>
  <si>
    <t>JPN</t>
  </si>
  <si>
    <t>BRS</t>
  </si>
  <si>
    <t>Scomberomorus brasiliensis</t>
  </si>
  <si>
    <t>Serra Spanish mackerel</t>
  </si>
  <si>
    <t>Thazard serra</t>
  </si>
  <si>
    <t>Serra</t>
  </si>
  <si>
    <t>KOR</t>
  </si>
  <si>
    <t>Libya</t>
  </si>
  <si>
    <t>LBY</t>
  </si>
  <si>
    <t>THR</t>
  </si>
  <si>
    <t>Alopias spp</t>
  </si>
  <si>
    <t>Thresher sharks nei</t>
  </si>
  <si>
    <t>Renards de mer nca</t>
  </si>
  <si>
    <t>Zorros nep</t>
  </si>
  <si>
    <t>TROL</t>
  </si>
  <si>
    <t>TR</t>
  </si>
  <si>
    <t>Maroc</t>
  </si>
  <si>
    <t>MAR</t>
  </si>
  <si>
    <t>BTH</t>
  </si>
  <si>
    <t>Alopias superciliosus</t>
  </si>
  <si>
    <t>Bigeye thresher</t>
  </si>
  <si>
    <t>Renard à gros yeux</t>
  </si>
  <si>
    <t>Zorro ojón</t>
  </si>
  <si>
    <t>BB</t>
  </si>
  <si>
    <t>Baitboat</t>
  </si>
  <si>
    <t>Mexico</t>
  </si>
  <si>
    <t>MEX</t>
  </si>
  <si>
    <t>ALV</t>
  </si>
  <si>
    <t>Alopias vulpinus</t>
  </si>
  <si>
    <t>Thresher</t>
  </si>
  <si>
    <t>Renard</t>
  </si>
  <si>
    <t>Zorro</t>
  </si>
  <si>
    <t>Namibia</t>
  </si>
  <si>
    <t>Panama</t>
  </si>
  <si>
    <t>PAN</t>
  </si>
  <si>
    <t>RSK</t>
  </si>
  <si>
    <t>Carcharhinidae</t>
  </si>
  <si>
    <t>Requiem sharks nei</t>
  </si>
  <si>
    <t>Requins nca</t>
  </si>
  <si>
    <t>Cazones picudos,tintoreras nep</t>
  </si>
  <si>
    <t>RR</t>
  </si>
  <si>
    <t>Philippines</t>
  </si>
  <si>
    <t>PHL</t>
  </si>
  <si>
    <t>Russian Federation</t>
  </si>
  <si>
    <t>RUS</t>
  </si>
  <si>
    <t>STP</t>
  </si>
  <si>
    <t>TL</t>
  </si>
  <si>
    <t>South Africa</t>
  </si>
  <si>
    <t>ZAF</t>
  </si>
  <si>
    <t>HAND</t>
  </si>
  <si>
    <t>HL</t>
  </si>
  <si>
    <t>Trinidad and Tobago</t>
  </si>
  <si>
    <t>TTO</t>
  </si>
  <si>
    <t>Tunisie</t>
  </si>
  <si>
    <t>GILL</t>
  </si>
  <si>
    <t>GN</t>
  </si>
  <si>
    <t>TUR</t>
  </si>
  <si>
    <t>FAL</t>
  </si>
  <si>
    <t>Carcharhinus falciformis</t>
  </si>
  <si>
    <t>Silky shark</t>
  </si>
  <si>
    <t>Requin soyeux</t>
  </si>
  <si>
    <t>Tiburón jaquetón</t>
  </si>
  <si>
    <t>TN</t>
  </si>
  <si>
    <t>USA</t>
  </si>
  <si>
    <t>PS</t>
  </si>
  <si>
    <t>Purse seine</t>
  </si>
  <si>
    <t>Uruguay</t>
  </si>
  <si>
    <t>URY</t>
  </si>
  <si>
    <t>FLK</t>
  </si>
  <si>
    <t>OCS</t>
  </si>
  <si>
    <t>Carcharhinus longimanus</t>
  </si>
  <si>
    <t>Oceanic whitetip shark</t>
  </si>
  <si>
    <t>Requin océanique</t>
  </si>
  <si>
    <t>Tiburón oceánico</t>
  </si>
  <si>
    <t>AIA</t>
  </si>
  <si>
    <t>BLR</t>
  </si>
  <si>
    <t>Vanuatu</t>
  </si>
  <si>
    <t>VUT</t>
  </si>
  <si>
    <t>Venezuela</t>
  </si>
  <si>
    <t>VEN</t>
  </si>
  <si>
    <t>Chinese Taipei</t>
  </si>
  <si>
    <t>TAI</t>
  </si>
  <si>
    <t>Guyana</t>
  </si>
  <si>
    <t>GUY</t>
  </si>
  <si>
    <t>TRAW</t>
  </si>
  <si>
    <t>TW</t>
  </si>
  <si>
    <t>Trawl</t>
  </si>
  <si>
    <t>Albania</t>
  </si>
  <si>
    <t>WSH</t>
  </si>
  <si>
    <t>Carcharodon carcharias</t>
  </si>
  <si>
    <t>Great white shark</t>
  </si>
  <si>
    <t>Grand requin blanc</t>
  </si>
  <si>
    <t>Jaquetón blanco</t>
  </si>
  <si>
    <t>Antigua and Barbuda</t>
  </si>
  <si>
    <t>ATG</t>
  </si>
  <si>
    <t>Argentina</t>
  </si>
  <si>
    <t>ARG</t>
  </si>
  <si>
    <t>HARP</t>
  </si>
  <si>
    <t>HP</t>
  </si>
  <si>
    <t>Harpoon</t>
  </si>
  <si>
    <t>ABW</t>
  </si>
  <si>
    <t>Belarus</t>
  </si>
  <si>
    <t>BLZ</t>
  </si>
  <si>
    <t>Benin</t>
  </si>
  <si>
    <t>BEN</t>
  </si>
  <si>
    <t>Cambodia</t>
  </si>
  <si>
    <t>KHM</t>
  </si>
  <si>
    <t>Cameroon</t>
  </si>
  <si>
    <t>CMR</t>
  </si>
  <si>
    <t>BSK</t>
  </si>
  <si>
    <t>Cetorhinus maximus</t>
  </si>
  <si>
    <t>Basking shark</t>
  </si>
  <si>
    <t>Peregrino</t>
  </si>
  <si>
    <t>Cayman Islands</t>
  </si>
  <si>
    <t>CYM</t>
  </si>
  <si>
    <t>Colombia</t>
  </si>
  <si>
    <t>COL</t>
  </si>
  <si>
    <t>Congo</t>
  </si>
  <si>
    <t>COG</t>
  </si>
  <si>
    <t>Costa Rica</t>
  </si>
  <si>
    <t>CRI</t>
  </si>
  <si>
    <t>Cuba</t>
  </si>
  <si>
    <t>CUB</t>
  </si>
  <si>
    <t>Dominica</t>
  </si>
  <si>
    <t>DMA</t>
  </si>
  <si>
    <t>Dominican Republic</t>
  </si>
  <si>
    <t>DOM</t>
  </si>
  <si>
    <t>Egypt</t>
  </si>
  <si>
    <t>EGY</t>
  </si>
  <si>
    <t>Faroe Islands</t>
  </si>
  <si>
    <t>FRO</t>
  </si>
  <si>
    <t>LD1</t>
  </si>
  <si>
    <t>GNB</t>
  </si>
  <si>
    <t>Gambia</t>
  </si>
  <si>
    <t>GMB</t>
  </si>
  <si>
    <t>Georgia</t>
  </si>
  <si>
    <t>GEO</t>
  </si>
  <si>
    <t>EYF</t>
  </si>
  <si>
    <t>Grenada</t>
  </si>
  <si>
    <t>GRD</t>
  </si>
  <si>
    <t>TLE</t>
  </si>
  <si>
    <t>Total length</t>
  </si>
  <si>
    <t>Guatemala</t>
  </si>
  <si>
    <t>GTM</t>
  </si>
  <si>
    <t>OT</t>
  </si>
  <si>
    <t>CFL</t>
  </si>
  <si>
    <t>Israel</t>
  </si>
  <si>
    <t>ISR</t>
  </si>
  <si>
    <t>SMA</t>
  </si>
  <si>
    <t>Isurus oxyrinchus</t>
  </si>
  <si>
    <t>Shortfin mako</t>
  </si>
  <si>
    <t>Taupe bleue</t>
  </si>
  <si>
    <t>Marrajo dientuso</t>
  </si>
  <si>
    <t>Jamaica</t>
  </si>
  <si>
    <t>JAM</t>
  </si>
  <si>
    <t>LMA</t>
  </si>
  <si>
    <t>Isurus paucus</t>
  </si>
  <si>
    <t>Longfin mako</t>
  </si>
  <si>
    <t>Petite taupe</t>
  </si>
  <si>
    <t>Marrajo carite</t>
  </si>
  <si>
    <t>Lebanon</t>
  </si>
  <si>
    <t>LBN</t>
  </si>
  <si>
    <t>Liberia</t>
  </si>
  <si>
    <t>LBR</t>
  </si>
  <si>
    <t>ProductType</t>
  </si>
  <si>
    <t>POR</t>
  </si>
  <si>
    <t>Lamna nasus</t>
  </si>
  <si>
    <t>Porbeagle</t>
  </si>
  <si>
    <t>Requin-taupe commun</t>
  </si>
  <si>
    <t>Marrajo sardinero</t>
  </si>
  <si>
    <t>LW</t>
  </si>
  <si>
    <t>Mauritania</t>
  </si>
  <si>
    <t>MRT</t>
  </si>
  <si>
    <t>MSK</t>
  </si>
  <si>
    <t>Lamnidae</t>
  </si>
  <si>
    <t>Mackerel sharks,porbeagles nei</t>
  </si>
  <si>
    <t>Requins taupe nca</t>
  </si>
  <si>
    <t>Jaquetones,marrajos nep</t>
  </si>
  <si>
    <t>GG</t>
  </si>
  <si>
    <t>Gilled &amp; gutted</t>
  </si>
  <si>
    <t>KNA</t>
  </si>
  <si>
    <t>DR</t>
  </si>
  <si>
    <t>Dressed weight</t>
  </si>
  <si>
    <t>Nigeria</t>
  </si>
  <si>
    <t>NGA</t>
  </si>
  <si>
    <t>Norway</t>
  </si>
  <si>
    <t>NOR</t>
  </si>
  <si>
    <t>Puerto Rico</t>
  </si>
  <si>
    <t>PRI</t>
  </si>
  <si>
    <t>ROU</t>
  </si>
  <si>
    <t>Senegal</t>
  </si>
  <si>
    <t>SEN</t>
  </si>
  <si>
    <t>SYC</t>
  </si>
  <si>
    <t>Sierra Leone</t>
  </si>
  <si>
    <t>SLE</t>
  </si>
  <si>
    <t>BSH</t>
  </si>
  <si>
    <t>Prionace glauca</t>
  </si>
  <si>
    <t>Blue shark</t>
  </si>
  <si>
    <t>Peau bleue</t>
  </si>
  <si>
    <t>Tiburón azul</t>
  </si>
  <si>
    <t>LCA</t>
  </si>
  <si>
    <t>VCT</t>
  </si>
  <si>
    <t>SYR</t>
  </si>
  <si>
    <t>Togo</t>
  </si>
  <si>
    <t>TGO</t>
  </si>
  <si>
    <t>Ukraine</t>
  </si>
  <si>
    <t>UKR</t>
  </si>
  <si>
    <t>SPL</t>
  </si>
  <si>
    <t>Sphyrna lewini</t>
  </si>
  <si>
    <t>Scalloped hammerhead</t>
  </si>
  <si>
    <t>Cornuda común</t>
  </si>
  <si>
    <t>SPK</t>
  </si>
  <si>
    <t>Sphyrna mokarran</t>
  </si>
  <si>
    <t>Great hammerhead</t>
  </si>
  <si>
    <t>Grand requin marteau</t>
  </si>
  <si>
    <t>Cornuda gigante</t>
  </si>
  <si>
    <t>SPN</t>
  </si>
  <si>
    <t>Sphyrna spp</t>
  </si>
  <si>
    <t>Hammerhead sharks nei</t>
  </si>
  <si>
    <t>Requins marteau nca</t>
  </si>
  <si>
    <t>Cornudas (Peces martillo) nep</t>
  </si>
  <si>
    <t>SPZ</t>
  </si>
  <si>
    <t>Sphyrna zygaena</t>
  </si>
  <si>
    <t>Smooth hammerhead</t>
  </si>
  <si>
    <t>Cornuda cruz(=Pez martillo)</t>
  </si>
  <si>
    <t>SPY</t>
  </si>
  <si>
    <t>Sphyrnidae</t>
  </si>
  <si>
    <t>Hammerhead sharks, etc. nei</t>
  </si>
  <si>
    <t>Requins marteau, etc. nca</t>
  </si>
  <si>
    <t>Cornudas, etc. nep</t>
  </si>
  <si>
    <t>Other (specify it in notes)</t>
  </si>
  <si>
    <t>Live (round) weight</t>
  </si>
  <si>
    <t>Size class type</t>
  </si>
  <si>
    <t>St. Kitts, Nevis</t>
  </si>
  <si>
    <t>Nicaragua</t>
  </si>
  <si>
    <t>NIC</t>
  </si>
  <si>
    <t>Aruba</t>
  </si>
  <si>
    <t>Belize</t>
  </si>
  <si>
    <t>Chile</t>
  </si>
  <si>
    <t>CHL</t>
  </si>
  <si>
    <t>El Salvador</t>
  </si>
  <si>
    <t>SLV</t>
  </si>
  <si>
    <t>Guinea Bissau</t>
  </si>
  <si>
    <t>India</t>
  </si>
  <si>
    <t>IND</t>
  </si>
  <si>
    <t>IRN</t>
  </si>
  <si>
    <t>Malaysia</t>
  </si>
  <si>
    <t>MYS</t>
  </si>
  <si>
    <t>Mauritius</t>
  </si>
  <si>
    <t>MUS</t>
  </si>
  <si>
    <t>Saint Kitts and Nevis</t>
  </si>
  <si>
    <t>PSE</t>
  </si>
  <si>
    <t>Seychelles</t>
  </si>
  <si>
    <t>Thailand</t>
  </si>
  <si>
    <t>THA</t>
  </si>
  <si>
    <t>US Virgin Islands</t>
  </si>
  <si>
    <t>VIR</t>
  </si>
  <si>
    <t>CP</t>
  </si>
  <si>
    <t>Anguilla</t>
  </si>
  <si>
    <t>Bahamas</t>
  </si>
  <si>
    <t>BHS</t>
  </si>
  <si>
    <t>Ecuador</t>
  </si>
  <si>
    <t>ECU</t>
  </si>
  <si>
    <t>Falklands</t>
  </si>
  <si>
    <t>NCC</t>
  </si>
  <si>
    <t>NCO</t>
  </si>
  <si>
    <t>Rod and Reel</t>
  </si>
  <si>
    <t>Handline</t>
  </si>
  <si>
    <t>UNCL</t>
  </si>
  <si>
    <t>Suriname</t>
  </si>
  <si>
    <t>SUR</t>
  </si>
  <si>
    <t>Notes</t>
  </si>
  <si>
    <t>Header</t>
  </si>
  <si>
    <t>Description</t>
  </si>
  <si>
    <t>Weight (kg)</t>
  </si>
  <si>
    <t>Curaçao</t>
  </si>
  <si>
    <t>Bolivia</t>
  </si>
  <si>
    <t>BOL</t>
  </si>
  <si>
    <t>Montenegro</t>
  </si>
  <si>
    <t>MNE</t>
  </si>
  <si>
    <t>Serbia</t>
  </si>
  <si>
    <t>SRB</t>
  </si>
  <si>
    <t>Singapore</t>
  </si>
  <si>
    <t>SGP</t>
  </si>
  <si>
    <t>Switzerland</t>
  </si>
  <si>
    <t>CHE</t>
  </si>
  <si>
    <t>INTERNATIONAL COMMISSION FOR THE CONSERVATION OF ATLANTIC TUNAS</t>
  </si>
  <si>
    <t>COMMISSION INTERNATIONALE POUR LA CONSERVATION DES THONIDÉS DE L'ATLANTIQUE</t>
  </si>
  <si>
    <t>Correspondant statistique</t>
  </si>
  <si>
    <t>Nom</t>
  </si>
  <si>
    <t>Téléphone</t>
  </si>
  <si>
    <t>Département</t>
  </si>
  <si>
    <t>Adresse</t>
  </si>
  <si>
    <t>Pays</t>
  </si>
  <si>
    <t>Pavillon déclarant</t>
  </si>
  <si>
    <t>Type de produit</t>
  </si>
  <si>
    <t>Type de classe de taille</t>
  </si>
  <si>
    <t>Poids (Kg)</t>
  </si>
  <si>
    <t>Nombre</t>
  </si>
  <si>
    <t>COMISIÓN INTERNACIONAL PARA LA CONSERVACIÓN DEL ATÚN ATLÁNTICO</t>
  </si>
  <si>
    <t>Teléfono</t>
  </si>
  <si>
    <t>Afiliación</t>
  </si>
  <si>
    <t>Institución</t>
  </si>
  <si>
    <t>Departamento</t>
  </si>
  <si>
    <t>Dirección</t>
  </si>
  <si>
    <t>País</t>
  </si>
  <si>
    <t>Tipo de producto</t>
  </si>
  <si>
    <t>Notas</t>
  </si>
  <si>
    <t>Peso (kg)</t>
  </si>
  <si>
    <t>Section</t>
  </si>
  <si>
    <t>Language</t>
  </si>
  <si>
    <t>Langue</t>
  </si>
  <si>
    <t>Idioma</t>
  </si>
  <si>
    <t>Descripción</t>
  </si>
  <si>
    <t>Clase de talla</t>
  </si>
  <si>
    <t>Inmature</t>
  </si>
  <si>
    <t>title</t>
  </si>
  <si>
    <t>Version</t>
  </si>
  <si>
    <t>ETRO</t>
  </si>
  <si>
    <t>Brazil</t>
  </si>
  <si>
    <t>Artisanal, Industrial, ETRO</t>
  </si>
  <si>
    <t>China PR</t>
  </si>
  <si>
    <t>Abidjan, S. Pedro</t>
  </si>
  <si>
    <t>Adriatic sea, Ionian sea, Ligurian sea, Sardenha, Strait of Sicily, Tyrrenean sea</t>
  </si>
  <si>
    <t>Artisanal, Industrial</t>
  </si>
  <si>
    <t>Tanger, Nador, ETRO</t>
  </si>
  <si>
    <t>Syria</t>
  </si>
  <si>
    <t>Trinidad, Tobago</t>
  </si>
  <si>
    <t>Comercial, Recreational</t>
  </si>
  <si>
    <t>CUW</t>
  </si>
  <si>
    <t>Iran</t>
  </si>
  <si>
    <t>Palestine</t>
  </si>
  <si>
    <t>Atlantic bluefin tuna</t>
  </si>
  <si>
    <t>Thon rouge de l'Atlantique</t>
  </si>
  <si>
    <t>Atún rojo del Atlántico</t>
  </si>
  <si>
    <t>Blue marlin</t>
  </si>
  <si>
    <t>Makaire bleu</t>
  </si>
  <si>
    <t>Aguja azul</t>
  </si>
  <si>
    <t>Atún rojo del Sur</t>
  </si>
  <si>
    <t>Marlins,sailfishes,etc. nei</t>
  </si>
  <si>
    <t>NPH</t>
  </si>
  <si>
    <t>Scomberomorus niphonius</t>
  </si>
  <si>
    <t>Japanese Spanish mackerel</t>
  </si>
  <si>
    <t>Thazard oriental</t>
  </si>
  <si>
    <t>Carite oriental</t>
  </si>
  <si>
    <t>TUS</t>
  </si>
  <si>
    <t>Thunnus spp</t>
  </si>
  <si>
    <t>True tunas nei</t>
  </si>
  <si>
    <t>Thons Thunnus nca</t>
  </si>
  <si>
    <t>Atunes verdaderos nep</t>
  </si>
  <si>
    <t>MSP</t>
  </si>
  <si>
    <t>Tetrapturus belone</t>
  </si>
  <si>
    <t>Mediterranean spearfish</t>
  </si>
  <si>
    <t>Marlin de la Méditerranée</t>
  </si>
  <si>
    <t>Marlín del Mediterráneo</t>
  </si>
  <si>
    <t>SSP</t>
  </si>
  <si>
    <t>Tetrapturus angustirostris</t>
  </si>
  <si>
    <t>Shortbill spearfish</t>
  </si>
  <si>
    <t>Makaire à rostre court</t>
  </si>
  <si>
    <t>Marlín trompa corta</t>
  </si>
  <si>
    <t>RSP</t>
  </si>
  <si>
    <t>Tetrapturus georgii</t>
  </si>
  <si>
    <t>Roundscale spearfish</t>
  </si>
  <si>
    <t>Makaire épée</t>
  </si>
  <si>
    <t>Marlín peto</t>
  </si>
  <si>
    <t>MLS</t>
  </si>
  <si>
    <t>Tetrapturus audax</t>
  </si>
  <si>
    <t>Striped marlin</t>
  </si>
  <si>
    <t>Marlin rayé</t>
  </si>
  <si>
    <t>Marlín rayado</t>
  </si>
  <si>
    <t>Atún aleta negra</t>
  </si>
  <si>
    <t>DOL</t>
  </si>
  <si>
    <t>Coryphaena hippurus</t>
  </si>
  <si>
    <t>Common dolphinfish</t>
  </si>
  <si>
    <t>Coryphène commune</t>
  </si>
  <si>
    <t>Lampuga</t>
  </si>
  <si>
    <t>Pèlerin</t>
  </si>
  <si>
    <t>Requin-marteau commun</t>
  </si>
  <si>
    <t>Requin-marteau halicorne</t>
  </si>
  <si>
    <t>PSK</t>
  </si>
  <si>
    <t>Pseudocarcharias kamoharai</t>
  </si>
  <si>
    <t>Crocodile shark</t>
  </si>
  <si>
    <t>Requin crocodile</t>
  </si>
  <si>
    <t>Tiburón cocodrilo</t>
  </si>
  <si>
    <t>PLS</t>
  </si>
  <si>
    <t>Pteroplatytrygon violacea</t>
  </si>
  <si>
    <t>Pelagic stingray</t>
  </si>
  <si>
    <t>Pastenague violette</t>
  </si>
  <si>
    <t>Raya-látigo violeta</t>
  </si>
  <si>
    <t>RMB</t>
  </si>
  <si>
    <t>Manta birostris</t>
  </si>
  <si>
    <t>Giant manta</t>
  </si>
  <si>
    <t>Mante géante</t>
  </si>
  <si>
    <t>Manta gigante</t>
  </si>
  <si>
    <t>Size Frequency Sample details by landing operation</t>
  </si>
  <si>
    <t>U</t>
  </si>
  <si>
    <t>I</t>
  </si>
  <si>
    <t>M</t>
  </si>
  <si>
    <t>Male</t>
  </si>
  <si>
    <t>F</t>
  </si>
  <si>
    <t>Female</t>
  </si>
  <si>
    <t>Sex code</t>
  </si>
  <si>
    <t>Code de sexe</t>
  </si>
  <si>
    <t>Código de sexo</t>
  </si>
  <si>
    <t>Landing date (yyyy/mm/dd)</t>
  </si>
  <si>
    <t>Vessel ICCAT Serial number</t>
  </si>
  <si>
    <t>Vessel National Register number</t>
  </si>
  <si>
    <t>LandingID</t>
  </si>
  <si>
    <t>Landing ID (secuencial number)</t>
  </si>
  <si>
    <t>YFTw</t>
  </si>
  <si>
    <t>BETw</t>
  </si>
  <si>
    <t>SKJw</t>
  </si>
  <si>
    <t>Indicate the port of landing and sampling</t>
  </si>
  <si>
    <t>Indicate the landed catch (kg) for each of the tuna species</t>
  </si>
  <si>
    <t>Choose the type of product landed (ICCAT Codes)</t>
  </si>
  <si>
    <t>Indicate if Size Samples were collected from the corresponding Landing Operation and provide Size data in PRTSMP-SZ page</t>
  </si>
  <si>
    <t>Type of size measurement of sample</t>
  </si>
  <si>
    <t>Sex code ID: Male (M), Female (F), Inmature (i), Unknown (U)</t>
  </si>
  <si>
    <t>Date débarquement (aaaa/mm/jj)</t>
  </si>
  <si>
    <t>Numéro de série ICCAT de navires</t>
  </si>
  <si>
    <t>ID_Débarquement (numéro séquentiel)</t>
  </si>
  <si>
    <t>Numéro du registre national de navires</t>
  </si>
  <si>
    <t>Détails de l'échantillon de fréquence de taille par débarquement</t>
  </si>
  <si>
    <t>Détails du débarquement</t>
  </si>
  <si>
    <t>Indiquer le port de débarquement et d'échantillonnage</t>
  </si>
  <si>
    <t>Saisir le numéro de série de navires ICCAT, le cas échéant</t>
  </si>
  <si>
    <t>Indiquer la capture débarquée (kg) pour chacune des espèces thonières</t>
  </si>
  <si>
    <t>Choisir le type de produit débarqué (codes ICCAT)</t>
  </si>
  <si>
    <t>Type de mesure de taille de l'échantillon</t>
  </si>
  <si>
    <t>Mesure de la taille en centimètres (cm)</t>
  </si>
  <si>
    <t>Fecha desembarque</t>
  </si>
  <si>
    <t>Número de serie ICCAT del buque</t>
  </si>
  <si>
    <t>Número del registro nacional de buques</t>
  </si>
  <si>
    <t>Detalles de la muestra de frecuencias de talla para cada desembarque</t>
  </si>
  <si>
    <t>Detalles del desembarque</t>
  </si>
  <si>
    <t>Pabellón declarante</t>
  </si>
  <si>
    <t xml:space="preserve">Indicar el puerto de desembarque y muestreo </t>
  </si>
  <si>
    <t>Especificar la fecha de desembarque (formato 2014/03/25)</t>
  </si>
  <si>
    <t>Introducir el número de serie ICCAT del buque si procede</t>
  </si>
  <si>
    <t>Si el buque no tiene número de serie ICCAT, introducir el número del registro nacional</t>
  </si>
  <si>
    <t>Indicar la captura desembarcada (kg) para cada una de las especies de túnidos</t>
  </si>
  <si>
    <t>Elegir el tipo de producto desembarcado (códigos ICCAT)</t>
  </si>
  <si>
    <t>Indicar si se han recogido muestras de talla del desembarque correspondiente y facilitar datos de talla en la página PRTSMP-SZ</t>
  </si>
  <si>
    <t>Tipo de medición de talla de la muestra</t>
  </si>
  <si>
    <t>Medición de la talla en centímetros (cm)</t>
  </si>
  <si>
    <t xml:space="preserve">Corresponding "Landing ID" number for this size sample </t>
  </si>
  <si>
    <t>ID_Desembarque (número secuencial)</t>
  </si>
  <si>
    <t>ST10-PrtSmp</t>
  </si>
  <si>
    <t>TRAWP</t>
  </si>
  <si>
    <t>National, Foreign, Recreational (or Sport)</t>
  </si>
  <si>
    <t>Côte d'Ivoire</t>
  </si>
  <si>
    <t>Recreational (or Sport)</t>
  </si>
  <si>
    <t>Canárias, Coruña, Cantabric sea, ETRO, MEDI, Recreational (or Sport)</t>
  </si>
  <si>
    <t>Mainland, Azores, Madeira, Recreational (or Sport)</t>
  </si>
  <si>
    <t>Artisanal, ETRO, Recreational (or Sport)</t>
  </si>
  <si>
    <t>Andorra</t>
  </si>
  <si>
    <t>AND</t>
  </si>
  <si>
    <t>Australia</t>
  </si>
  <si>
    <t>AUS</t>
  </si>
  <si>
    <t>Brunei</t>
  </si>
  <si>
    <t>BND</t>
  </si>
  <si>
    <t>Cook Islands</t>
  </si>
  <si>
    <t>COK</t>
  </si>
  <si>
    <t>Fiji Islands</t>
  </si>
  <si>
    <t>FJI</t>
  </si>
  <si>
    <t>Guam</t>
  </si>
  <si>
    <t>GUM</t>
  </si>
  <si>
    <t>Haiti</t>
  </si>
  <si>
    <t>HTI</t>
  </si>
  <si>
    <t>Indonesia</t>
  </si>
  <si>
    <t>IDN</t>
  </si>
  <si>
    <t>Kenya</t>
  </si>
  <si>
    <t>KEN</t>
  </si>
  <si>
    <t>Kiribati</t>
  </si>
  <si>
    <t>KIR</t>
  </si>
  <si>
    <t>Kuwait</t>
  </si>
  <si>
    <t>KWT</t>
  </si>
  <si>
    <t>Madagascar</t>
  </si>
  <si>
    <t>MDG</t>
  </si>
  <si>
    <t>Maldives</t>
  </si>
  <si>
    <t>MDV</t>
  </si>
  <si>
    <t>Marshall Islands</t>
  </si>
  <si>
    <t>MHL</t>
  </si>
  <si>
    <t>Micronesia</t>
  </si>
  <si>
    <t>FSM</t>
  </si>
  <si>
    <t>Mozambique</t>
  </si>
  <si>
    <t>MOZ</t>
  </si>
  <si>
    <t>New Caledonia</t>
  </si>
  <si>
    <t>NCL</t>
  </si>
  <si>
    <t>New Zealand</t>
  </si>
  <si>
    <t>NZL</t>
  </si>
  <si>
    <t>Oman</t>
  </si>
  <si>
    <t>OMN</t>
  </si>
  <si>
    <t>Palau</t>
  </si>
  <si>
    <t>PLW</t>
  </si>
  <si>
    <t>Papua New Guinea</t>
  </si>
  <si>
    <t>PNG</t>
  </si>
  <si>
    <t>Perú</t>
  </si>
  <si>
    <t>PER</t>
  </si>
  <si>
    <t>Polynesie Française</t>
  </si>
  <si>
    <t>PYF</t>
  </si>
  <si>
    <t>Samoa</t>
  </si>
  <si>
    <t>WSM</t>
  </si>
  <si>
    <t>Saudi Arabia</t>
  </si>
  <si>
    <t>SAU</t>
  </si>
  <si>
    <t>Solomon Islands</t>
  </si>
  <si>
    <t>SLB</t>
  </si>
  <si>
    <t>Sri Lanka</t>
  </si>
  <si>
    <t>LKA</t>
  </si>
  <si>
    <t>Tanzania</t>
  </si>
  <si>
    <t>TZA</t>
  </si>
  <si>
    <t>Tonga</t>
  </si>
  <si>
    <t>TON</t>
  </si>
  <si>
    <t>Tuvalu</t>
  </si>
  <si>
    <t>TUV</t>
  </si>
  <si>
    <t>United Arab Emirates</t>
  </si>
  <si>
    <t>ARE</t>
  </si>
  <si>
    <t>Vietnam</t>
  </si>
  <si>
    <t>VNM</t>
  </si>
  <si>
    <t>BLM</t>
  </si>
  <si>
    <t>Makaira indica</t>
  </si>
  <si>
    <t>Black marlin</t>
  </si>
  <si>
    <t>Makaire noir</t>
  </si>
  <si>
    <t>Aguja negra</t>
  </si>
  <si>
    <t>BSF</t>
  </si>
  <si>
    <t>Aphanopus carbo</t>
  </si>
  <si>
    <t>black scabbardfish</t>
  </si>
  <si>
    <t>Sabre noir</t>
  </si>
  <si>
    <t>Sable negro</t>
  </si>
  <si>
    <t>GES</t>
  </si>
  <si>
    <t>Gempylus serpens</t>
  </si>
  <si>
    <t>Snake mackerel</t>
  </si>
  <si>
    <t>Escolier serpent</t>
  </si>
  <si>
    <t>Escolar de canal</t>
  </si>
  <si>
    <t>SFS</t>
  </si>
  <si>
    <t>Lepidopus caudatus</t>
  </si>
  <si>
    <t>Silver scabbardfish</t>
  </si>
  <si>
    <t>Sabre argenté</t>
  </si>
  <si>
    <t>Pez cinto</t>
  </si>
  <si>
    <t>OIL</t>
  </si>
  <si>
    <t>Ruvettus pretiosus</t>
  </si>
  <si>
    <t>Oilfish</t>
  </si>
  <si>
    <t>Rouvet</t>
  </si>
  <si>
    <t>Escolar clavo</t>
  </si>
  <si>
    <t>LEC</t>
  </si>
  <si>
    <t>Lepidocybium flavobrunneum</t>
  </si>
  <si>
    <t>Escolar</t>
  </si>
  <si>
    <t>Escolier noir</t>
  </si>
  <si>
    <t>Escolar negro</t>
  </si>
  <si>
    <t>BUK</t>
  </si>
  <si>
    <t>Gasterochisma melampus</t>
  </si>
  <si>
    <t>Butterfly kingfish</t>
  </si>
  <si>
    <t>Thon papillon</t>
  </si>
  <si>
    <t>Atún chauchera</t>
  </si>
  <si>
    <t>KAW</t>
  </si>
  <si>
    <t>Euthynnus affinis</t>
  </si>
  <si>
    <t>Kawakawa</t>
  </si>
  <si>
    <t>Thonine orientale</t>
  </si>
  <si>
    <t>Bacoreta oriental</t>
  </si>
  <si>
    <t>Thunnini</t>
  </si>
  <si>
    <t>Tunas nei</t>
  </si>
  <si>
    <t>Thonidés nca</t>
  </si>
  <si>
    <t>Atunes nep</t>
  </si>
  <si>
    <t>CCG</t>
  </si>
  <si>
    <t>Carcharhinus galapagensis</t>
  </si>
  <si>
    <t>Galapagos shark</t>
  </si>
  <si>
    <t>Requin des Galapagos</t>
  </si>
  <si>
    <t>Tiburón de Galápagos</t>
  </si>
  <si>
    <t>CYW</t>
  </si>
  <si>
    <t xml:space="preserve">Centroscymnus owstonii </t>
  </si>
  <si>
    <t>Roughskin dogfish</t>
  </si>
  <si>
    <t>Pailona rapeux</t>
  </si>
  <si>
    <t>Sapata lija</t>
  </si>
  <si>
    <t>ETU</t>
  </si>
  <si>
    <t>Lined lanternshark</t>
  </si>
  <si>
    <t>Sagre chien</t>
  </si>
  <si>
    <t>Tollo lucero rayado</t>
  </si>
  <si>
    <t>EUP</t>
  </si>
  <si>
    <t xml:space="preserve">pygmy shark </t>
  </si>
  <si>
    <t>Squale pygmée</t>
  </si>
  <si>
    <t>Tollo pigmeo</t>
  </si>
  <si>
    <t>EUZ</t>
  </si>
  <si>
    <t xml:space="preserve">taillight shark </t>
  </si>
  <si>
    <t>Squale à queue claire</t>
  </si>
  <si>
    <t>Tollo rabo claro</t>
  </si>
  <si>
    <t>HXN</t>
  </si>
  <si>
    <t xml:space="preserve">bigeye sixgill shark </t>
  </si>
  <si>
    <t>ISB</t>
  </si>
  <si>
    <t>Isistius brasiliensis</t>
  </si>
  <si>
    <t>Cookie cutter shark</t>
  </si>
  <si>
    <t>Squalelet féroce</t>
  </si>
  <si>
    <t>Tollo cigarro</t>
  </si>
  <si>
    <t>ISP</t>
  </si>
  <si>
    <t xml:space="preserve">largetooth cookiecutter shark </t>
  </si>
  <si>
    <t>Squalelet dentu</t>
  </si>
  <si>
    <t>Tollo cigarro dentón</t>
  </si>
  <si>
    <t>LMO</t>
  </si>
  <si>
    <t xml:space="preserve">goblin shark </t>
  </si>
  <si>
    <t>Requin lutin</t>
  </si>
  <si>
    <t>Tiburón duende</t>
  </si>
  <si>
    <t>LMP</t>
  </si>
  <si>
    <t>Megachasma pelagios</t>
  </si>
  <si>
    <t>Megamouth shark</t>
  </si>
  <si>
    <t>Requin grande guele</t>
  </si>
  <si>
    <t>Tiburón bocudo</t>
  </si>
  <si>
    <t>QUL</t>
  </si>
  <si>
    <t>Squaliolus laticaudus</t>
  </si>
  <si>
    <t>Spined pygmy shark</t>
  </si>
  <si>
    <t>Squale nain</t>
  </si>
  <si>
    <t>Tollo pigmeo espinudo</t>
  </si>
  <si>
    <t>RHN</t>
  </si>
  <si>
    <t>Rhincodon typus</t>
  </si>
  <si>
    <t>Whale shark</t>
  </si>
  <si>
    <t>Requin baleine</t>
  </si>
  <si>
    <t>Tiburón ballena</t>
  </si>
  <si>
    <t>RMA</t>
  </si>
  <si>
    <t>RMH</t>
  </si>
  <si>
    <t>Mobula hypostoma</t>
  </si>
  <si>
    <t>Lesser devil ray</t>
  </si>
  <si>
    <t>Mante diable</t>
  </si>
  <si>
    <t>Manta del Golfo</t>
  </si>
  <si>
    <t>RMJ</t>
  </si>
  <si>
    <t>Spinetail mobula</t>
  </si>
  <si>
    <t>RMM</t>
  </si>
  <si>
    <t>Mobula mobular</t>
  </si>
  <si>
    <t>Devil fish</t>
  </si>
  <si>
    <t>Diable de mer méditerranéen</t>
  </si>
  <si>
    <t>Manta mobula</t>
  </si>
  <si>
    <t>RMN</t>
  </si>
  <si>
    <t>Mobula rochebrunei</t>
  </si>
  <si>
    <t>Lesser Guinean devil ray</t>
  </si>
  <si>
    <t>Petit diable de Guinée</t>
  </si>
  <si>
    <t>Diablito de Guinea</t>
  </si>
  <si>
    <t>RMO</t>
  </si>
  <si>
    <t>Mobula thurstoni</t>
  </si>
  <si>
    <t>Smoothtail mobula</t>
  </si>
  <si>
    <t>Mante vampire</t>
  </si>
  <si>
    <t>Diablo chupasangre</t>
  </si>
  <si>
    <t>RMT</t>
  </si>
  <si>
    <t>Mobula tarapacana</t>
  </si>
  <si>
    <t>Chilean devil ray</t>
  </si>
  <si>
    <t>SDH</t>
  </si>
  <si>
    <t>Deania histricosa</t>
  </si>
  <si>
    <t>Rough longnose dogfish</t>
  </si>
  <si>
    <t>Squale-savate rude</t>
  </si>
  <si>
    <t>Tollo raspa</t>
  </si>
  <si>
    <t>SDU</t>
  </si>
  <si>
    <t>Arrowhead dogfish</t>
  </si>
  <si>
    <t>Squale-savate lutin</t>
  </si>
  <si>
    <t>Tollo flecha</t>
  </si>
  <si>
    <t>MAN</t>
  </si>
  <si>
    <t>Mobulidae</t>
  </si>
  <si>
    <t>Mantas, devil rays nei</t>
  </si>
  <si>
    <t>Mantes, diables de mer nca</t>
  </si>
  <si>
    <t>Mantas, diablos nep</t>
  </si>
  <si>
    <t>STT</t>
  </si>
  <si>
    <t>Dasyatidae</t>
  </si>
  <si>
    <t>Stingrays, butterfly rays nei</t>
  </si>
  <si>
    <t>Pastenagues, etc. nca</t>
  </si>
  <si>
    <t>Pastinacas, etc. nep</t>
  </si>
  <si>
    <t>ScieName</t>
  </si>
  <si>
    <t>CoNameEN</t>
  </si>
  <si>
    <t>CoNameFR</t>
  </si>
  <si>
    <t>CoNameES</t>
  </si>
  <si>
    <t>IccSpcGrp</t>
  </si>
  <si>
    <t>TaxonType</t>
  </si>
  <si>
    <t>1-Tuna (major sp.)</t>
  </si>
  <si>
    <t>1-Species</t>
  </si>
  <si>
    <t>2-Genus</t>
  </si>
  <si>
    <t>3-Tribe</t>
  </si>
  <si>
    <t>4-Family</t>
  </si>
  <si>
    <t>CVJ</t>
  </si>
  <si>
    <t>Caranx hippos</t>
  </si>
  <si>
    <t>Crevalle jack</t>
  </si>
  <si>
    <t>Carangue crevalle</t>
  </si>
  <si>
    <t>Jurel común</t>
  </si>
  <si>
    <t>GBA</t>
  </si>
  <si>
    <t>Sphyraena barracuda</t>
  </si>
  <si>
    <t>Great barracuda</t>
  </si>
  <si>
    <t>Barracuda</t>
  </si>
  <si>
    <t>Picuda barracuda</t>
  </si>
  <si>
    <t>YTC</t>
  </si>
  <si>
    <t>Seriola lalandi</t>
  </si>
  <si>
    <t>Yellowtail amberjack</t>
  </si>
  <si>
    <t>Sériole chicard</t>
  </si>
  <si>
    <t>Medregal rabo amarillo</t>
  </si>
  <si>
    <t>Scomberesox saurus</t>
  </si>
  <si>
    <t>Atlantic saury</t>
  </si>
  <si>
    <t>Balaou atlantique</t>
  </si>
  <si>
    <t>Paparda del Atlántico</t>
  </si>
  <si>
    <t>POA</t>
  </si>
  <si>
    <t>Brama brama</t>
  </si>
  <si>
    <t>Atlantic pomfret</t>
  </si>
  <si>
    <t>Grande castagnole</t>
  </si>
  <si>
    <t>Japuta</t>
  </si>
  <si>
    <t>AMB</t>
  </si>
  <si>
    <t>Seriola dumerili</t>
  </si>
  <si>
    <t>Greater amberjack</t>
  </si>
  <si>
    <t>Sériole couronnée</t>
  </si>
  <si>
    <t>Pez de limón</t>
  </si>
  <si>
    <t>AWI</t>
  </si>
  <si>
    <t>Aluterus schoepfii</t>
  </si>
  <si>
    <t>Orange filefish</t>
  </si>
  <si>
    <t>Bourse orange</t>
  </si>
  <si>
    <t>Lija naranja</t>
  </si>
  <si>
    <t>BVP</t>
  </si>
  <si>
    <t>Balistes punctatus</t>
  </si>
  <si>
    <t>Bluespotted triggerfish</t>
  </si>
  <si>
    <t>Baliste à taches bleues</t>
  </si>
  <si>
    <t>Pejepuerco moteado</t>
  </si>
  <si>
    <t>EXQ</t>
  </si>
  <si>
    <t>Euleptorhamphus velox</t>
  </si>
  <si>
    <t>Flying halfbeak</t>
  </si>
  <si>
    <t>Demi-bec volant</t>
  </si>
  <si>
    <t>Agujeta voladora</t>
  </si>
  <si>
    <t>LGH</t>
  </si>
  <si>
    <t>Lagocephalus lagocephalus</t>
  </si>
  <si>
    <t>Oceanic puffer</t>
  </si>
  <si>
    <t>Compère océanique</t>
  </si>
  <si>
    <t>Tamboril liebre</t>
  </si>
  <si>
    <t>ALM</t>
  </si>
  <si>
    <t>Aluterus monoceros</t>
  </si>
  <si>
    <t>Unicorn leatherjacket filefish</t>
  </si>
  <si>
    <t>Bourse loulou</t>
  </si>
  <si>
    <t>Lija barbuda</t>
  </si>
  <si>
    <t>CBA</t>
  </si>
  <si>
    <t>Rachycentron canadum</t>
  </si>
  <si>
    <t>Cobia</t>
  </si>
  <si>
    <t>Mafou</t>
  </si>
  <si>
    <t>CFW</t>
  </si>
  <si>
    <t>Coryphaena equiselis</t>
  </si>
  <si>
    <t>Pompano dolphinfish</t>
  </si>
  <si>
    <t>Coryphène dauphin</t>
  </si>
  <si>
    <t>Dorado</t>
  </si>
  <si>
    <t>CNT</t>
  </si>
  <si>
    <t>Canthidermis maculata</t>
  </si>
  <si>
    <t>Rough triggerfish</t>
  </si>
  <si>
    <t>Baliste rude</t>
  </si>
  <si>
    <t>Calafate áspero</t>
  </si>
  <si>
    <t>DIY</t>
  </si>
  <si>
    <t>Diodon hystrix</t>
  </si>
  <si>
    <t>Spot-fin porcupinefish</t>
  </si>
  <si>
    <t>Porc-épic boubou</t>
  </si>
  <si>
    <t>Pejerizo común</t>
  </si>
  <si>
    <t>GAR</t>
  </si>
  <si>
    <t>Belone belone</t>
  </si>
  <si>
    <t>Garfish</t>
  </si>
  <si>
    <t>Orphie</t>
  </si>
  <si>
    <t>Aguja</t>
  </si>
  <si>
    <t>HMM</t>
  </si>
  <si>
    <t>Trachurus mediterraneus</t>
  </si>
  <si>
    <t>Mediterranean horse mackerel</t>
  </si>
  <si>
    <t>Chinchard à queue jaune</t>
  </si>
  <si>
    <t>Jurel mediterráneo</t>
  </si>
  <si>
    <t>LEE</t>
  </si>
  <si>
    <t>Lichia amia</t>
  </si>
  <si>
    <t>Leerfish</t>
  </si>
  <si>
    <t>Liche</t>
  </si>
  <si>
    <t>Palometón</t>
  </si>
  <si>
    <t>MOX</t>
  </si>
  <si>
    <t>Mola mola</t>
  </si>
  <si>
    <t>Ocean sunfish</t>
  </si>
  <si>
    <t>Poisson lune</t>
  </si>
  <si>
    <t>Pez luna</t>
  </si>
  <si>
    <t>MRW</t>
  </si>
  <si>
    <t>Masturus lanceolatus</t>
  </si>
  <si>
    <t>Sharptail mola</t>
  </si>
  <si>
    <t>Poisson-lune lancéolé</t>
  </si>
  <si>
    <t>NAU</t>
  </si>
  <si>
    <t>Naucrates ductor</t>
  </si>
  <si>
    <t>Pilotfish</t>
  </si>
  <si>
    <t>Poisson pilote</t>
  </si>
  <si>
    <t>Pez piloto</t>
  </si>
  <si>
    <t>RRU</t>
  </si>
  <si>
    <t>Elagatis bipinnulata</t>
  </si>
  <si>
    <t>Rainbow runner</t>
  </si>
  <si>
    <t>Comète saumon</t>
  </si>
  <si>
    <t>Macarela salmón</t>
  </si>
  <si>
    <t>RUB</t>
  </si>
  <si>
    <t>Caranx crysos</t>
  </si>
  <si>
    <t>Blue runner</t>
  </si>
  <si>
    <t>Carangue coubali</t>
  </si>
  <si>
    <t>Cojinúa negra</t>
  </si>
  <si>
    <t>RZV</t>
  </si>
  <si>
    <t>Ranzania laevis</t>
  </si>
  <si>
    <t>Slender sunfish</t>
  </si>
  <si>
    <t>Ranzania</t>
  </si>
  <si>
    <t>TAL</t>
  </si>
  <si>
    <t>Taractichthys longipinnis</t>
  </si>
  <si>
    <t>Big-scale pomfret</t>
  </si>
  <si>
    <t>Castagnole fauchoir</t>
  </si>
  <si>
    <t>Tristón aletudo</t>
  </si>
  <si>
    <t>TAS</t>
  </si>
  <si>
    <t>Taractes asper</t>
  </si>
  <si>
    <t>Rough pomfret</t>
  </si>
  <si>
    <t>TCR</t>
  </si>
  <si>
    <t>Taractes rubescens</t>
  </si>
  <si>
    <t>Dagger pomfret</t>
  </si>
  <si>
    <t>TRG</t>
  </si>
  <si>
    <t>Balistes carolinensis</t>
  </si>
  <si>
    <t>Grey triggerfish</t>
  </si>
  <si>
    <t>Baliste cabri</t>
  </si>
  <si>
    <t>Pejepuerco blanco</t>
  </si>
  <si>
    <t>TST</t>
  </si>
  <si>
    <t>Taractichthys steindachneri</t>
  </si>
  <si>
    <t>Sickle pomfret</t>
  </si>
  <si>
    <t>Tristón segador</t>
  </si>
  <si>
    <t>USE</t>
  </si>
  <si>
    <t>Uraspis secunda</t>
  </si>
  <si>
    <t>Cottonmouth jack</t>
  </si>
  <si>
    <t>Carangue coton</t>
  </si>
  <si>
    <t>Jurel volantín</t>
  </si>
  <si>
    <t>VAD</t>
  </si>
  <si>
    <t>Campogramma glaycos</t>
  </si>
  <si>
    <t>Vadigo</t>
  </si>
  <si>
    <t>Liche lirio</t>
  </si>
  <si>
    <t>Lirio</t>
  </si>
  <si>
    <t>YTL</t>
  </si>
  <si>
    <t>Seriola rivoliana</t>
  </si>
  <si>
    <t>Longfin yellowtail</t>
  </si>
  <si>
    <t>Sériole limon</t>
  </si>
  <si>
    <t>Medregal limón</t>
  </si>
  <si>
    <t>BAZ</t>
  </si>
  <si>
    <t>Sphyraenidae</t>
  </si>
  <si>
    <t>Barracudas, etc. nei</t>
  </si>
  <si>
    <t>Bécunes, barracudas, nca</t>
  </si>
  <si>
    <t>Barracudas, picudas, nep</t>
  </si>
  <si>
    <t>FLY</t>
  </si>
  <si>
    <t>Exocoetidae</t>
  </si>
  <si>
    <t>Flyingfishes nei</t>
  </si>
  <si>
    <t>Exocets nca</t>
  </si>
  <si>
    <t>Voladores nep</t>
  </si>
  <si>
    <t>TRI</t>
  </si>
  <si>
    <t>Balistidae</t>
  </si>
  <si>
    <t>Triggerfishes, durgons nei</t>
  </si>
  <si>
    <t>Balistes nca</t>
  </si>
  <si>
    <t>Peces-ballesta nep</t>
  </si>
  <si>
    <t>SEL</t>
  </si>
  <si>
    <t>Otaria flavescens</t>
  </si>
  <si>
    <t>South American sea lion</t>
  </si>
  <si>
    <t>Lion de mer d'Amérique du Sud</t>
  </si>
  <si>
    <t>Lobo común</t>
  </si>
  <si>
    <t>BCW</t>
  </si>
  <si>
    <t>Ziphius cavirostris</t>
  </si>
  <si>
    <t>Cuvier's beaked whale</t>
  </si>
  <si>
    <t>Ziphius</t>
  </si>
  <si>
    <t>Zifio de Cuvier</t>
  </si>
  <si>
    <t>BRW</t>
  </si>
  <si>
    <t>Balaenoptera edeni</t>
  </si>
  <si>
    <t>Bryde's whale</t>
  </si>
  <si>
    <t>Rorqual de Bryde</t>
  </si>
  <si>
    <t>Rorcual tropical</t>
  </si>
  <si>
    <t>DBO</t>
  </si>
  <si>
    <t>Tursiops truncatus</t>
  </si>
  <si>
    <t>Bottlenose dolphin</t>
  </si>
  <si>
    <t>Grand Dauphin</t>
  </si>
  <si>
    <t>Tursion</t>
  </si>
  <si>
    <t>DCL</t>
  </si>
  <si>
    <t>Stenella clymene</t>
  </si>
  <si>
    <t>Clymene dolphin</t>
  </si>
  <si>
    <t>Dauphin de Clyméné</t>
  </si>
  <si>
    <t>Delfín Clymene</t>
  </si>
  <si>
    <t>DCO</t>
  </si>
  <si>
    <t>Delphinus delphis</t>
  </si>
  <si>
    <t>Common dolphin</t>
  </si>
  <si>
    <t>Dauphin commun</t>
  </si>
  <si>
    <t>Delfín común</t>
  </si>
  <si>
    <t>DPN</t>
  </si>
  <si>
    <t>Stenella attenuata</t>
  </si>
  <si>
    <t>Pantropical spotted dolphin</t>
  </si>
  <si>
    <t>Dauphin tacheté pantropical</t>
  </si>
  <si>
    <t>Estenela moteada</t>
  </si>
  <si>
    <t>DRR</t>
  </si>
  <si>
    <t>Grampus griseus</t>
  </si>
  <si>
    <t>Risso's dolphin</t>
  </si>
  <si>
    <t>Grampus</t>
  </si>
  <si>
    <t>Delfín de Risso</t>
  </si>
  <si>
    <t>DSA</t>
  </si>
  <si>
    <t>Stenella frontalis</t>
  </si>
  <si>
    <t>Atlantic spotted dolphin</t>
  </si>
  <si>
    <t>Dauphin tacheté de l'Atlantiq.</t>
  </si>
  <si>
    <t>Delfín pintado</t>
  </si>
  <si>
    <t>DSI</t>
  </si>
  <si>
    <t>Stenella longirostris</t>
  </si>
  <si>
    <t>Spinner dolphin</t>
  </si>
  <si>
    <t>Dauphin longirostre</t>
  </si>
  <si>
    <t>Estenela giradora</t>
  </si>
  <si>
    <t>DST</t>
  </si>
  <si>
    <t>Stenella coeruleoalba</t>
  </si>
  <si>
    <t>Striped dolphin</t>
  </si>
  <si>
    <t>Dauphin bleu et blanc</t>
  </si>
  <si>
    <t>Estenela listada</t>
  </si>
  <si>
    <t>DWH</t>
  </si>
  <si>
    <t>Lagenorhynchus acutus</t>
  </si>
  <si>
    <t>Atlantic white-sided dolphin</t>
  </si>
  <si>
    <t>Dauphin à flancs blancs Atlan.</t>
  </si>
  <si>
    <t>Delfín de flancos blancos</t>
  </si>
  <si>
    <t>EUA</t>
  </si>
  <si>
    <t>Eubalaena australis</t>
  </si>
  <si>
    <t>Southern right whale</t>
  </si>
  <si>
    <t>Baleine australe</t>
  </si>
  <si>
    <t>Ballena franca austral</t>
  </si>
  <si>
    <t>EUG</t>
  </si>
  <si>
    <t>Eubalaena glacialis</t>
  </si>
  <si>
    <t>Northern right whale</t>
  </si>
  <si>
    <t>Baleine de Biscaye</t>
  </si>
  <si>
    <t>Ballena franca</t>
  </si>
  <si>
    <t>FAW</t>
  </si>
  <si>
    <t>Pseudorca crassidens</t>
  </si>
  <si>
    <t>False killer whale</t>
  </si>
  <si>
    <t>Faux-orque</t>
  </si>
  <si>
    <t>Orca Falsa</t>
  </si>
  <si>
    <t>FIW</t>
  </si>
  <si>
    <t>Balaenoptera physalus</t>
  </si>
  <si>
    <t>Fin whale</t>
  </si>
  <si>
    <t>Rorqual commun</t>
  </si>
  <si>
    <t>Rorcual común</t>
  </si>
  <si>
    <t>HUW</t>
  </si>
  <si>
    <t>Megaptera novaeangliae</t>
  </si>
  <si>
    <t>Humpback whale</t>
  </si>
  <si>
    <t>Baleine à bosse</t>
  </si>
  <si>
    <t>Rorcual jorobado</t>
  </si>
  <si>
    <t>KIW</t>
  </si>
  <si>
    <t>Orcinus orca</t>
  </si>
  <si>
    <t>Killer whale</t>
  </si>
  <si>
    <t>Orque</t>
  </si>
  <si>
    <t>Orca</t>
  </si>
  <si>
    <t>MIW</t>
  </si>
  <si>
    <t>Balaenoptera acutorostrata</t>
  </si>
  <si>
    <t>Minke whale</t>
  </si>
  <si>
    <t>Petit rorqual</t>
  </si>
  <si>
    <t>Rorcual enano</t>
  </si>
  <si>
    <t>PHR</t>
  </si>
  <si>
    <t>Phocoena phocoena</t>
  </si>
  <si>
    <t>Harbour porpoise</t>
  </si>
  <si>
    <t>Marsouin Commun</t>
  </si>
  <si>
    <t>Marsopa Común</t>
  </si>
  <si>
    <t>PIW</t>
  </si>
  <si>
    <t>Globicephala melas</t>
  </si>
  <si>
    <t>Long-finned pilot whale</t>
  </si>
  <si>
    <t>Globicéphale commun</t>
  </si>
  <si>
    <t>Calderón común</t>
  </si>
  <si>
    <t>PYW</t>
  </si>
  <si>
    <t>Kogia breviceps</t>
  </si>
  <si>
    <t>Pygmy sperm whale</t>
  </si>
  <si>
    <t>Cachalot Pygmée</t>
  </si>
  <si>
    <t>Cachalote pigmeo</t>
  </si>
  <si>
    <t>RTD</t>
  </si>
  <si>
    <t>Steno bredanensis</t>
  </si>
  <si>
    <t>Rough-toothed dolphin</t>
  </si>
  <si>
    <t>Sténo</t>
  </si>
  <si>
    <t>Esteno</t>
  </si>
  <si>
    <t>SHW</t>
  </si>
  <si>
    <t>Globicephala macrorhynchus</t>
  </si>
  <si>
    <t>Short-finned pilot whale</t>
  </si>
  <si>
    <t>Globicéphale tropical</t>
  </si>
  <si>
    <t>Calderón de aletas cortas</t>
  </si>
  <si>
    <t>SIW</t>
  </si>
  <si>
    <t>Balaenoptera borealis</t>
  </si>
  <si>
    <t>Sei whale</t>
  </si>
  <si>
    <t>Rorqual de Rudolphi</t>
  </si>
  <si>
    <t>Rorcual del Norte</t>
  </si>
  <si>
    <t>SPW</t>
  </si>
  <si>
    <t>Physeter macrocephalus</t>
  </si>
  <si>
    <t>Sperm whale</t>
  </si>
  <si>
    <t>Cachalot</t>
  </si>
  <si>
    <t>Cachalote</t>
  </si>
  <si>
    <t>SXQ</t>
  </si>
  <si>
    <t>Arctocephalus spp</t>
  </si>
  <si>
    <t>Fur seals nei</t>
  </si>
  <si>
    <t>Otaries nca</t>
  </si>
  <si>
    <t>Lobos finos nep</t>
  </si>
  <si>
    <t>MEP</t>
  </si>
  <si>
    <t>Mesoplodon spp</t>
  </si>
  <si>
    <t>Beaked whales nei</t>
  </si>
  <si>
    <t>DLP</t>
  </si>
  <si>
    <t>Delphinidae</t>
  </si>
  <si>
    <t>Dolphins nei</t>
  </si>
  <si>
    <t>Dauphins nca</t>
  </si>
  <si>
    <t>Delfínidos nep</t>
  </si>
  <si>
    <t>CZE</t>
  </si>
  <si>
    <t>Calonectris edwardsii</t>
  </si>
  <si>
    <t>Cape Verde Shearwater</t>
  </si>
  <si>
    <t>Puffin du Cap-Vert</t>
  </si>
  <si>
    <t>Pardela cenicienta de Edwards</t>
  </si>
  <si>
    <t>FPA</t>
  </si>
  <si>
    <t>Fratercula arctica</t>
  </si>
  <si>
    <t>Atlantic puffin</t>
  </si>
  <si>
    <t>Macareux moine</t>
  </si>
  <si>
    <t>Frailecillo atlántico</t>
  </si>
  <si>
    <t>FNO</t>
  </si>
  <si>
    <t>Fulmarus glacialis</t>
  </si>
  <si>
    <t>Northern fulmar</t>
  </si>
  <si>
    <t>Fulmar boréal</t>
  </si>
  <si>
    <t>Fulmar norteño</t>
  </si>
  <si>
    <t>LHZ</t>
  </si>
  <si>
    <t>Larus argentatus</t>
  </si>
  <si>
    <t>Herring gull</t>
  </si>
  <si>
    <t>Goéland argenté</t>
  </si>
  <si>
    <t>Gaviota argéntea</t>
  </si>
  <si>
    <t>LVA</t>
  </si>
  <si>
    <t>Larus atricilla</t>
  </si>
  <si>
    <t>Laughing gull</t>
  </si>
  <si>
    <t>Mouette atricille</t>
  </si>
  <si>
    <t>Gaviota reidora americana</t>
  </si>
  <si>
    <t>LVH</t>
  </si>
  <si>
    <t>Larus audouinii</t>
  </si>
  <si>
    <t>Audouin's gull</t>
  </si>
  <si>
    <t>Goéland d'Audouin</t>
  </si>
  <si>
    <t>Gaviota de Audouin</t>
  </si>
  <si>
    <t>LVJ</t>
  </si>
  <si>
    <t>Larus cachinnans</t>
  </si>
  <si>
    <t>Yellow-legged gull</t>
  </si>
  <si>
    <t>Goéland leucophée</t>
  </si>
  <si>
    <t>Gaviota patiamarilla</t>
  </si>
  <si>
    <t>LVU</t>
  </si>
  <si>
    <t>Larus marinus</t>
  </si>
  <si>
    <t>Great black-backed gull</t>
  </si>
  <si>
    <t>Goéland marin</t>
  </si>
  <si>
    <t>Gavión atlántico</t>
  </si>
  <si>
    <t>MVB</t>
  </si>
  <si>
    <t>Morus bassanus</t>
  </si>
  <si>
    <t>Northern gannet</t>
  </si>
  <si>
    <t>Fou De Bassan</t>
  </si>
  <si>
    <t>Alcatraz Atlántico</t>
  </si>
  <si>
    <t>MWE</t>
  </si>
  <si>
    <t>Morus capensis</t>
  </si>
  <si>
    <t>Cape gannet</t>
  </si>
  <si>
    <t>Fou Du Cap</t>
  </si>
  <si>
    <t>Alcatraz del Cabo</t>
  </si>
  <si>
    <t>DAQ</t>
  </si>
  <si>
    <t>Phoebastria albatrus</t>
  </si>
  <si>
    <t>Short-tailed albatross</t>
  </si>
  <si>
    <t>Albatros à queue courte</t>
  </si>
  <si>
    <t>Albatros rabón</t>
  </si>
  <si>
    <t>PJZ</t>
  </si>
  <si>
    <t>Pterodroma arminjoniana</t>
  </si>
  <si>
    <t>Trindade petrel</t>
  </si>
  <si>
    <t>Pétrel de la Trinité du Sud</t>
  </si>
  <si>
    <t>Petrel de la Trinidade</t>
  </si>
  <si>
    <t>HJW</t>
  </si>
  <si>
    <t>Pterodroma cahow</t>
  </si>
  <si>
    <t>Bermuda petrel</t>
  </si>
  <si>
    <t>Pétrel des Bermudes</t>
  </si>
  <si>
    <t>Petrel Cahow</t>
  </si>
  <si>
    <t>HWS</t>
  </si>
  <si>
    <t>Pterodroma hasitata</t>
  </si>
  <si>
    <t>Black-capped petrel</t>
  </si>
  <si>
    <t>Pétrel diablotin</t>
  </si>
  <si>
    <t>Petrel antillano</t>
  </si>
  <si>
    <t>UIL</t>
  </si>
  <si>
    <t>Puffinus lherminieri</t>
  </si>
  <si>
    <t>Audubon's shearwater</t>
  </si>
  <si>
    <t>Puffin d'Audubon</t>
  </si>
  <si>
    <t>Pardela de Audubon</t>
  </si>
  <si>
    <t>UIM</t>
  </si>
  <si>
    <t>Puffinus mauretanicus</t>
  </si>
  <si>
    <t>Balearic shearwater</t>
  </si>
  <si>
    <t>Puffin des Baléares</t>
  </si>
  <si>
    <t>Pardela pichoneta balear</t>
  </si>
  <si>
    <t>UIP</t>
  </si>
  <si>
    <t>Puffinus puffinus</t>
  </si>
  <si>
    <t>Manx shearwater</t>
  </si>
  <si>
    <t>Puffin des anglais</t>
  </si>
  <si>
    <t>Pardela pichoneta</t>
  </si>
  <si>
    <t>UYE</t>
  </si>
  <si>
    <t>Puffinus yelkouan</t>
  </si>
  <si>
    <t>Yelkouan shearwater</t>
  </si>
  <si>
    <t>Puffin de Méditerranée</t>
  </si>
  <si>
    <t>Pardela mediterránea</t>
  </si>
  <si>
    <t>CDI</t>
  </si>
  <si>
    <t>Calonectris diomedea</t>
  </si>
  <si>
    <t>Cory's shearwater</t>
  </si>
  <si>
    <t>Puffin cendré</t>
  </si>
  <si>
    <t>Pardela cenicienta</t>
  </si>
  <si>
    <t>CSK</t>
  </si>
  <si>
    <t>Stercorarius skua</t>
  </si>
  <si>
    <t>Great skua</t>
  </si>
  <si>
    <t>Grand Labbe</t>
  </si>
  <si>
    <t>Págalo Grande</t>
  </si>
  <si>
    <t>DAC</t>
  </si>
  <si>
    <t>Daption capense</t>
  </si>
  <si>
    <t>Cape petrel</t>
  </si>
  <si>
    <t>Damier Du Cap</t>
  </si>
  <si>
    <t>Petrel darnero</t>
  </si>
  <si>
    <t>DBN</t>
  </si>
  <si>
    <t>Diomedea dabbenena</t>
  </si>
  <si>
    <t>Tristan albatross</t>
  </si>
  <si>
    <t>Albatros de Tristan</t>
  </si>
  <si>
    <t>Albatros de Tristán</t>
  </si>
  <si>
    <t>DCR</t>
  </si>
  <si>
    <t>Thalassarche chlororhynchos</t>
  </si>
  <si>
    <t>Atlant. yellow-nosed albatross</t>
  </si>
  <si>
    <t>Albatros à nez jaune</t>
  </si>
  <si>
    <t>Albatros pico amarillo y negro</t>
  </si>
  <si>
    <t>DCU</t>
  </si>
  <si>
    <t>Thalassarche cauta</t>
  </si>
  <si>
    <t>Shy albatross</t>
  </si>
  <si>
    <t>Albatros timide</t>
  </si>
  <si>
    <t>Albatros Frentiblanco</t>
  </si>
  <si>
    <t>DIC</t>
  </si>
  <si>
    <t>Thalassarche chrysostoma</t>
  </si>
  <si>
    <t>Grey-headed albatross</t>
  </si>
  <si>
    <t>Albatros À Tête Grise</t>
  </si>
  <si>
    <t>Albatros de cabeza gris</t>
  </si>
  <si>
    <t>DIM</t>
  </si>
  <si>
    <t>Thalassarche melanophrys</t>
  </si>
  <si>
    <t>Black-browed albatross</t>
  </si>
  <si>
    <t>Albatros à sourcils noirs</t>
  </si>
  <si>
    <t>Albatros ceja negra</t>
  </si>
  <si>
    <t>DIP</t>
  </si>
  <si>
    <t>Diomedea epomophora</t>
  </si>
  <si>
    <t>Southern royal albatross</t>
  </si>
  <si>
    <t>Albatros royal</t>
  </si>
  <si>
    <t>Albatros real</t>
  </si>
  <si>
    <t>DIQ</t>
  </si>
  <si>
    <t>Diomedea sanfordi</t>
  </si>
  <si>
    <t>Northern royal albatross</t>
  </si>
  <si>
    <t>Albatros royal du Nord</t>
  </si>
  <si>
    <t>Albatros real del norte</t>
  </si>
  <si>
    <t>DIX</t>
  </si>
  <si>
    <t>Diomedea exulans</t>
  </si>
  <si>
    <t>Wandering albatross</t>
  </si>
  <si>
    <t>Albatros hurleur</t>
  </si>
  <si>
    <t>Albatros errante</t>
  </si>
  <si>
    <t>DKN</t>
  </si>
  <si>
    <t>Phoebastria nigripes</t>
  </si>
  <si>
    <t>Black-footed albatross</t>
  </si>
  <si>
    <t>Albatros à pieds noirs</t>
  </si>
  <si>
    <t>Albatros de patas negras</t>
  </si>
  <si>
    <t>FUG</t>
  </si>
  <si>
    <t>Fulmarus glacialoides</t>
  </si>
  <si>
    <t>Southern fulmar</t>
  </si>
  <si>
    <t>Fulmar Argenté</t>
  </si>
  <si>
    <t>Fulmar austral</t>
  </si>
  <si>
    <t>MAH</t>
  </si>
  <si>
    <t>Macronectes halli</t>
  </si>
  <si>
    <t>Hall's giant petrel</t>
  </si>
  <si>
    <t>Pétrel De Hall</t>
  </si>
  <si>
    <t>Petrel gigante de Hall</t>
  </si>
  <si>
    <t>MAI</t>
  </si>
  <si>
    <t>Macronectes giganteus</t>
  </si>
  <si>
    <t>Antarctic giant petrel</t>
  </si>
  <si>
    <t>Pétrel géant</t>
  </si>
  <si>
    <t>Petrel gigante común</t>
  </si>
  <si>
    <t>PCI</t>
  </si>
  <si>
    <t>Procellaria cinerea</t>
  </si>
  <si>
    <t>Grey petrel</t>
  </si>
  <si>
    <t>Puffin Gris</t>
  </si>
  <si>
    <t>Pardela Gris</t>
  </si>
  <si>
    <t>PCN</t>
  </si>
  <si>
    <t>Procellaria conspicillata</t>
  </si>
  <si>
    <t>Spectacled petrel</t>
  </si>
  <si>
    <t>Pétrel à lunettes</t>
  </si>
  <si>
    <t>Petrel mentón blanco</t>
  </si>
  <si>
    <t>PDM</t>
  </si>
  <si>
    <t>Pterodroma macroptera</t>
  </si>
  <si>
    <t>Great-winged petrel</t>
  </si>
  <si>
    <t>Pétrel Noir</t>
  </si>
  <si>
    <t>Petrel aligrande</t>
  </si>
  <si>
    <t>PFC</t>
  </si>
  <si>
    <t>Puffinus carneipes</t>
  </si>
  <si>
    <t>Flesh-footed shearwater</t>
  </si>
  <si>
    <t>Puffin à pieds pâles</t>
  </si>
  <si>
    <t>Pardela paticlara</t>
  </si>
  <si>
    <t>PFG</t>
  </si>
  <si>
    <t>Puffinus griseus</t>
  </si>
  <si>
    <t>Sooty shearwater</t>
  </si>
  <si>
    <t>Puffin fuligineux</t>
  </si>
  <si>
    <t>Pardela sombría</t>
  </si>
  <si>
    <t>PHE</t>
  </si>
  <si>
    <t>Phoebetria palpebrata</t>
  </si>
  <si>
    <t>Light-mantled sooty albatross</t>
  </si>
  <si>
    <t>Albatros fuligineux</t>
  </si>
  <si>
    <t>Albatros oscuro de manto claro</t>
  </si>
  <si>
    <t>PHU</t>
  </si>
  <si>
    <t>Phoebetria fusca</t>
  </si>
  <si>
    <t>Sooty albatross</t>
  </si>
  <si>
    <t>Albatros Brun</t>
  </si>
  <si>
    <t>Albatros Ahumado</t>
  </si>
  <si>
    <t>PRO</t>
  </si>
  <si>
    <t>Procellaria aequinoctialis</t>
  </si>
  <si>
    <t>White-chinned petrel</t>
  </si>
  <si>
    <t>Puffin à menton blanc</t>
  </si>
  <si>
    <t>Pardela Gorgiblanca</t>
  </si>
  <si>
    <t>PUG</t>
  </si>
  <si>
    <t>Puffinus gravis</t>
  </si>
  <si>
    <t>Great shearwater</t>
  </si>
  <si>
    <t>Puffin majeur</t>
  </si>
  <si>
    <t>Pardela capirotada</t>
  </si>
  <si>
    <t>TQH</t>
  </si>
  <si>
    <t>Thalassarche carteri</t>
  </si>
  <si>
    <t>Indian yellow-nosed albatross</t>
  </si>
  <si>
    <t>Albatros de l'océan indien</t>
  </si>
  <si>
    <t>Albatros índico pico amarillo</t>
  </si>
  <si>
    <t>TWD</t>
  </si>
  <si>
    <t>Thalassarche steadi</t>
  </si>
  <si>
    <t>White-capped albatross</t>
  </si>
  <si>
    <t>Albatros à cape blanche</t>
  </si>
  <si>
    <t>Albatros de Auckland</t>
  </si>
  <si>
    <t>ALZ</t>
  </si>
  <si>
    <t>Diomedeidae</t>
  </si>
  <si>
    <t>Albatrosses nei</t>
  </si>
  <si>
    <t>Albatros nca</t>
  </si>
  <si>
    <t>Albatros nep</t>
  </si>
  <si>
    <t>DKK</t>
  </si>
  <si>
    <t>Dermochelys coriacea</t>
  </si>
  <si>
    <t>Leatherback turtle</t>
  </si>
  <si>
    <t>Tortue Luth</t>
  </si>
  <si>
    <t>Tortuga Laud</t>
  </si>
  <si>
    <t>LKV</t>
  </si>
  <si>
    <t>Lepidochelys olivacea</t>
  </si>
  <si>
    <t>Olive Ridley turtle</t>
  </si>
  <si>
    <t>Tortue olivatre</t>
  </si>
  <si>
    <t>Tortuga golfina</t>
  </si>
  <si>
    <t>LKY</t>
  </si>
  <si>
    <t>Lepidochelys kempii</t>
  </si>
  <si>
    <t>Kemp's ridley turtle</t>
  </si>
  <si>
    <t>Tortue de Kemp</t>
  </si>
  <si>
    <t>Tortuga lora</t>
  </si>
  <si>
    <t>TTH</t>
  </si>
  <si>
    <t>Eretmochelys imbricata</t>
  </si>
  <si>
    <t>Hawksbill turtle</t>
  </si>
  <si>
    <t>Tortue caret</t>
  </si>
  <si>
    <t>Tortuga carey</t>
  </si>
  <si>
    <t>TTL</t>
  </si>
  <si>
    <t>Caretta caretta</t>
  </si>
  <si>
    <t>Loggerhead turtle</t>
  </si>
  <si>
    <t>Caouane</t>
  </si>
  <si>
    <t>Caguama</t>
  </si>
  <si>
    <t>TUG</t>
  </si>
  <si>
    <t>Chelonia mydas</t>
  </si>
  <si>
    <t>Green turtle</t>
  </si>
  <si>
    <t>Tortue verte</t>
  </si>
  <si>
    <t>Tortuga verde</t>
  </si>
  <si>
    <t>TTX</t>
  </si>
  <si>
    <t>Cheloniidae</t>
  </si>
  <si>
    <t>Marine turtles nei</t>
  </si>
  <si>
    <t>Tortues de mer nca</t>
  </si>
  <si>
    <t>Tortugas de mar nep</t>
  </si>
  <si>
    <t>SFL</t>
  </si>
  <si>
    <t>FlagName</t>
  </si>
  <si>
    <t>FlagA3ISO</t>
  </si>
  <si>
    <t>FlagA2ISO</t>
  </si>
  <si>
    <t>AL</t>
  </si>
  <si>
    <t>DZ</t>
  </si>
  <si>
    <t>AO</t>
  </si>
  <si>
    <t>BZ</t>
  </si>
  <si>
    <t>BR</t>
  </si>
  <si>
    <t>CA</t>
  </si>
  <si>
    <t>CV</t>
  </si>
  <si>
    <t>CN</t>
  </si>
  <si>
    <t>CW</t>
  </si>
  <si>
    <t>CI</t>
  </si>
  <si>
    <t>BEL</t>
  </si>
  <si>
    <t>BE</t>
  </si>
  <si>
    <t>BGR</t>
  </si>
  <si>
    <t>BG</t>
  </si>
  <si>
    <t>HRV</t>
  </si>
  <si>
    <t>HR</t>
  </si>
  <si>
    <t>CYP</t>
  </si>
  <si>
    <t>CY</t>
  </si>
  <si>
    <t>DNK</t>
  </si>
  <si>
    <t>DK</t>
  </si>
  <si>
    <t>ESP</t>
  </si>
  <si>
    <t>ES</t>
  </si>
  <si>
    <t>EST</t>
  </si>
  <si>
    <t>EE</t>
  </si>
  <si>
    <t>FRA</t>
  </si>
  <si>
    <t>FR</t>
  </si>
  <si>
    <t>DEU</t>
  </si>
  <si>
    <t>DE</t>
  </si>
  <si>
    <t>GRC</t>
  </si>
  <si>
    <t>GR</t>
  </si>
  <si>
    <t>HUN</t>
  </si>
  <si>
    <t>HU</t>
  </si>
  <si>
    <t>IRL</t>
  </si>
  <si>
    <t>IE</t>
  </si>
  <si>
    <t>ITA</t>
  </si>
  <si>
    <t>IT</t>
  </si>
  <si>
    <t>LV</t>
  </si>
  <si>
    <t>LTU</t>
  </si>
  <si>
    <t>LT</t>
  </si>
  <si>
    <t>MLT</t>
  </si>
  <si>
    <t>MT</t>
  </si>
  <si>
    <t>NLD</t>
  </si>
  <si>
    <t>NL</t>
  </si>
  <si>
    <t>POL</t>
  </si>
  <si>
    <t>PL</t>
  </si>
  <si>
    <t>PRT</t>
  </si>
  <si>
    <t>PT</t>
  </si>
  <si>
    <t>RO</t>
  </si>
  <si>
    <t>SVN</t>
  </si>
  <si>
    <t>SI</t>
  </si>
  <si>
    <t>SWE</t>
  </si>
  <si>
    <t>SE</t>
  </si>
  <si>
    <t>GBR</t>
  </si>
  <si>
    <t>GB</t>
  </si>
  <si>
    <t>EG</t>
  </si>
  <si>
    <t>SV</t>
  </si>
  <si>
    <t>SPM</t>
  </si>
  <si>
    <t>PM</t>
  </si>
  <si>
    <t>GA</t>
  </si>
  <si>
    <t>GH</t>
  </si>
  <si>
    <t>GT</t>
  </si>
  <si>
    <t>GW</t>
  </si>
  <si>
    <t>GQ</t>
  </si>
  <si>
    <t>HN</t>
  </si>
  <si>
    <t>IS</t>
  </si>
  <si>
    <t>JP</t>
  </si>
  <si>
    <t>KR</t>
  </si>
  <si>
    <t>LR</t>
  </si>
  <si>
    <t>LY</t>
  </si>
  <si>
    <t>MA</t>
  </si>
  <si>
    <t>MR</t>
  </si>
  <si>
    <t>MX</t>
  </si>
  <si>
    <t>NA</t>
  </si>
  <si>
    <t>NI</t>
  </si>
  <si>
    <t>NG</t>
  </si>
  <si>
    <t>NO</t>
  </si>
  <si>
    <t>PA</t>
  </si>
  <si>
    <t>PH</t>
  </si>
  <si>
    <t>RU</t>
  </si>
  <si>
    <t>ST</t>
  </si>
  <si>
    <t>SN</t>
  </si>
  <si>
    <t>SL</t>
  </si>
  <si>
    <t>ZA</t>
  </si>
  <si>
    <t>VC</t>
  </si>
  <si>
    <t>SY</t>
  </si>
  <si>
    <t>TT</t>
  </si>
  <si>
    <t>US</t>
  </si>
  <si>
    <t>BMU</t>
  </si>
  <si>
    <t>BM</t>
  </si>
  <si>
    <t>VGB</t>
  </si>
  <si>
    <t>VG</t>
  </si>
  <si>
    <t>SHN</t>
  </si>
  <si>
    <t>SH</t>
  </si>
  <si>
    <t>TCA</t>
  </si>
  <si>
    <t>TC</t>
  </si>
  <si>
    <t>UY</t>
  </si>
  <si>
    <t>VU</t>
  </si>
  <si>
    <t>VE</t>
  </si>
  <si>
    <t>BO</t>
  </si>
  <si>
    <t>TWN</t>
  </si>
  <si>
    <t>CR</t>
  </si>
  <si>
    <t>GY</t>
  </si>
  <si>
    <t>SR</t>
  </si>
  <si>
    <t>AD</t>
  </si>
  <si>
    <t>AI</t>
  </si>
  <si>
    <t>AG</t>
  </si>
  <si>
    <t>AR</t>
  </si>
  <si>
    <t>AW</t>
  </si>
  <si>
    <t>AU</t>
  </si>
  <si>
    <t>BS</t>
  </si>
  <si>
    <t>BY</t>
  </si>
  <si>
    <t>BJ</t>
  </si>
  <si>
    <t>BN</t>
  </si>
  <si>
    <t>KH</t>
  </si>
  <si>
    <t>CM</t>
  </si>
  <si>
    <t>KY</t>
  </si>
  <si>
    <t>CL</t>
  </si>
  <si>
    <t>CO</t>
  </si>
  <si>
    <t>CG</t>
  </si>
  <si>
    <t>CK</t>
  </si>
  <si>
    <t>CU</t>
  </si>
  <si>
    <t>DM</t>
  </si>
  <si>
    <t>DO</t>
  </si>
  <si>
    <t>EC</t>
  </si>
  <si>
    <t>FK</t>
  </si>
  <si>
    <t>FO</t>
  </si>
  <si>
    <t>FJ</t>
  </si>
  <si>
    <t>GM</t>
  </si>
  <si>
    <t>GE</t>
  </si>
  <si>
    <t>GD</t>
  </si>
  <si>
    <t>GU</t>
  </si>
  <si>
    <t>HT</t>
  </si>
  <si>
    <t>IN</t>
  </si>
  <si>
    <t>ID</t>
  </si>
  <si>
    <t>IR</t>
  </si>
  <si>
    <t>IL</t>
  </si>
  <si>
    <t>JM</t>
  </si>
  <si>
    <t>KE</t>
  </si>
  <si>
    <t>KI</t>
  </si>
  <si>
    <t>KW</t>
  </si>
  <si>
    <t>LB</t>
  </si>
  <si>
    <t>MG</t>
  </si>
  <si>
    <t>MY</t>
  </si>
  <si>
    <t>MV</t>
  </si>
  <si>
    <t>MH</t>
  </si>
  <si>
    <t>MU</t>
  </si>
  <si>
    <t>FM</t>
  </si>
  <si>
    <t>ME</t>
  </si>
  <si>
    <t>MZ</t>
  </si>
  <si>
    <t>NC</t>
  </si>
  <si>
    <t>NZ</t>
  </si>
  <si>
    <t>OM</t>
  </si>
  <si>
    <t>PW</t>
  </si>
  <si>
    <t>PG</t>
  </si>
  <si>
    <t>PE</t>
  </si>
  <si>
    <t>PF</t>
  </si>
  <si>
    <t>PR</t>
  </si>
  <si>
    <t>KN</t>
  </si>
  <si>
    <t>WS</t>
  </si>
  <si>
    <t>SA</t>
  </si>
  <si>
    <t>RS</t>
  </si>
  <si>
    <t>SC</t>
  </si>
  <si>
    <t>SG</t>
  </si>
  <si>
    <t>SB</t>
  </si>
  <si>
    <t>LK</t>
  </si>
  <si>
    <t>LC</t>
  </si>
  <si>
    <t>CH</t>
  </si>
  <si>
    <t>TZ</t>
  </si>
  <si>
    <t>TH</t>
  </si>
  <si>
    <t>TG</t>
  </si>
  <si>
    <t>TO</t>
  </si>
  <si>
    <t>TV</t>
  </si>
  <si>
    <t>VI</t>
  </si>
  <si>
    <t>UA</t>
  </si>
  <si>
    <t>AE</t>
  </si>
  <si>
    <t>VN</t>
  </si>
  <si>
    <t>SpeciesCd</t>
  </si>
  <si>
    <t>FieldID</t>
  </si>
  <si>
    <t>Order</t>
  </si>
  <si>
    <t>Item</t>
  </si>
  <si>
    <t>FieldType</t>
  </si>
  <si>
    <t>FldNameEN</t>
  </si>
  <si>
    <t>FldNameFR</t>
  </si>
  <si>
    <t>FldNameES</t>
  </si>
  <si>
    <t>FldInstructEN</t>
  </si>
  <si>
    <t>FldInstructFR</t>
  </si>
  <si>
    <t>FldInstructES</t>
  </si>
  <si>
    <t>T00</t>
  </si>
  <si>
    <t>n/a</t>
  </si>
  <si>
    <t>T01</t>
  </si>
  <si>
    <t>subtitle</t>
  </si>
  <si>
    <t>ICCAT</t>
  </si>
  <si>
    <t>CICTA</t>
  </si>
  <si>
    <t>CICAA</t>
  </si>
  <si>
    <t>T03</t>
  </si>
  <si>
    <t>section</t>
  </si>
  <si>
    <t>T04</t>
  </si>
  <si>
    <t>field</t>
  </si>
  <si>
    <t>(fixed)</t>
  </si>
  <si>
    <t>Versión</t>
  </si>
  <si>
    <t>ICCAT code</t>
  </si>
  <si>
    <t>H00</t>
  </si>
  <si>
    <t>Tête</t>
  </si>
  <si>
    <t>Cabecera</t>
  </si>
  <si>
    <t>(auto)</t>
  </si>
  <si>
    <t>H10</t>
  </si>
  <si>
    <t>Corresponsal estadístico</t>
  </si>
  <si>
    <t>H11</t>
  </si>
  <si>
    <t>subsection</t>
  </si>
  <si>
    <t>H12</t>
  </si>
  <si>
    <t>H20</t>
  </si>
  <si>
    <t>Réservé au Secrétariat</t>
  </si>
  <si>
    <t>Reservado a la Secretaría</t>
  </si>
  <si>
    <t>H21</t>
  </si>
  <si>
    <t>Filtering criteria</t>
  </si>
  <si>
    <t>Critères de filtrage</t>
  </si>
  <si>
    <t>Criterios de filtrado</t>
  </si>
  <si>
    <t>H30</t>
  </si>
  <si>
    <t>H31</t>
  </si>
  <si>
    <t>H40</t>
  </si>
  <si>
    <t>Other attributes</t>
  </si>
  <si>
    <t>Autres attributs</t>
  </si>
  <si>
    <t>Otros atributos</t>
  </si>
  <si>
    <t>hName</t>
  </si>
  <si>
    <t>hEmail</t>
  </si>
  <si>
    <t>hPhone</t>
  </si>
  <si>
    <t>hInstit</t>
  </si>
  <si>
    <t>hDepart</t>
  </si>
  <si>
    <t>hAddress</t>
  </si>
  <si>
    <t>hCountry</t>
  </si>
  <si>
    <t>hFlagrep</t>
  </si>
  <si>
    <t>Reporting Flag</t>
  </si>
  <si>
    <t>hYearC</t>
  </si>
  <si>
    <t>integer</t>
  </si>
  <si>
    <t>hVersion</t>
  </si>
  <si>
    <t>Version reported</t>
  </si>
  <si>
    <t>Version transmise</t>
  </si>
  <si>
    <t>Versión declarada</t>
  </si>
  <si>
    <t>hDaterep</t>
  </si>
  <si>
    <t>date</t>
  </si>
  <si>
    <t>Date reported</t>
  </si>
  <si>
    <t>Date de déclaration</t>
  </si>
  <si>
    <t>Fecha de notificación</t>
  </si>
  <si>
    <t>Reservado a la Sacretaría</t>
  </si>
  <si>
    <t>hRef</t>
  </si>
  <si>
    <t>Reference Nº</t>
  </si>
  <si>
    <t>Nº Reference</t>
  </si>
  <si>
    <t>Nº Referencia</t>
  </si>
  <si>
    <t>hFName</t>
  </si>
  <si>
    <t>File name (proposed)</t>
  </si>
  <si>
    <t>Nom du fichier (proposé)</t>
  </si>
  <si>
    <t>Nombre de archivo (propuesto)</t>
  </si>
  <si>
    <t>Send the form to ICCAT with the proposed file name (if required, suffix it with an ID at the end)</t>
  </si>
  <si>
    <t>Enviar el formulario a ICCAT con el nombre del archivo propuesto (si necesario, añadir como sufijo un ID al final)</t>
  </si>
  <si>
    <t>hFilter1</t>
  </si>
  <si>
    <t>boolean</t>
  </si>
  <si>
    <t>Filter 1</t>
  </si>
  <si>
    <t>Filtre 1</t>
  </si>
  <si>
    <t>Filtro 1</t>
  </si>
  <si>
    <t>hFilter2</t>
  </si>
  <si>
    <t>Filter 2</t>
  </si>
  <si>
    <t>Filtre 2</t>
  </si>
  <si>
    <t>Filtro 2</t>
  </si>
  <si>
    <t>hNotes</t>
  </si>
  <si>
    <t>a)</t>
  </si>
  <si>
    <t>b)</t>
  </si>
  <si>
    <t>c)</t>
  </si>
  <si>
    <t>d)</t>
  </si>
  <si>
    <t>hLandingPort</t>
  </si>
  <si>
    <t>Data by Landing Operation(s)</t>
  </si>
  <si>
    <t>Données par débarquement(s)</t>
  </si>
  <si>
    <t>Thonidés Tropicaux Zone d'échantillonnage du moratoire</t>
  </si>
  <si>
    <t>Túnidos Tropicales Zona de muestreo de la moratoria</t>
  </si>
  <si>
    <t>Table. Version types</t>
  </si>
  <si>
    <t>VersionDescript</t>
  </si>
  <si>
    <t>Final</t>
  </si>
  <si>
    <t>Final estimations (no changes expected)</t>
  </si>
  <si>
    <t>Preliminary</t>
  </si>
  <si>
    <t>Preliminary estimates (changes expected)</t>
  </si>
  <si>
    <t>Table. Content types</t>
  </si>
  <si>
    <t>Content</t>
  </si>
  <si>
    <t>ContentDescript</t>
  </si>
  <si>
    <t>Revision (FULL)</t>
  </si>
  <si>
    <t>Revision (PARTIAL)</t>
  </si>
  <si>
    <t>Identification</t>
  </si>
  <si>
    <t>Identificación</t>
  </si>
  <si>
    <t>e)</t>
  </si>
  <si>
    <t>G00</t>
  </si>
  <si>
    <t>General</t>
  </si>
  <si>
    <t>Instructions</t>
  </si>
  <si>
    <t>Instrucciones</t>
  </si>
  <si>
    <t>Instructions to complete the form</t>
  </si>
  <si>
    <t>Instructions pour remplir le formulaire</t>
  </si>
  <si>
    <t>Instrucciones para cumplimentar el formulario</t>
  </si>
  <si>
    <t>G01</t>
  </si>
  <si>
    <t>G01a</t>
  </si>
  <si>
    <t>item</t>
  </si>
  <si>
    <t>General01</t>
  </si>
  <si>
    <t>Complete as far as possible the Header and Detail sections (don't leave fields empty when information is known)</t>
  </si>
  <si>
    <t>Remplir, dans la mesure du possible, les sections "en-tête" et "information détaillée" (ne pas laisser de champs vides lorsque l'information est connue)</t>
  </si>
  <si>
    <t>Cumplimentar con la mayor información posible las secciones "cabecera" e "información detallada" (no dejar campos vacíos cuando se conoce la información)</t>
  </si>
  <si>
    <t>G01b</t>
  </si>
  <si>
    <t>General02</t>
  </si>
  <si>
    <t>In Header section, only white cells can be filled (manually or by selecting from the Combo Box the corresponding code)</t>
  </si>
  <si>
    <t>Dans la section d'en-tête, seules les cellules vides peuvent être remplies (manuellement ou en sélectionnant le code correspondant dans le menu déroulant)</t>
  </si>
  <si>
    <t>En la sección de cabecera, sólo pueden cumplimentarse las celdas en blanco (manualmente o seleccionando en la pestaña desplegable el código correspondiente)</t>
  </si>
  <si>
    <t>G01c</t>
  </si>
  <si>
    <t>General03</t>
  </si>
  <si>
    <t>Always use ICCAT standard codes (when element "OTHERS" of various fields is required it must be explicitly described in "Notes")</t>
  </si>
  <si>
    <t>Toujours utiliser les codes standard ICCAT (si l'élément "AUTRES" de divers champs est requis, celui-ci doit être explicitement décrit dans la rubrique "notes")</t>
  </si>
  <si>
    <t>Utilice siempre los códigos estándar ICCAT (cuando se requiere el elemento "OTROS" de varios campos, éste debe describirse explícitamente en las "Notas")</t>
  </si>
  <si>
    <t>G01d</t>
  </si>
  <si>
    <t>General04</t>
  </si>
  <si>
    <t>Recomendación para los usuarios con bases de datos: para pegar un conjunto de datos completo en la sección de información detallada (debe tener la misma estructura y formato) se debe utilizar "Paste special (values)"</t>
  </si>
  <si>
    <t>G01e</t>
  </si>
  <si>
    <t>General05</t>
  </si>
  <si>
    <t>Leave "blank" the fields for which you don't collect information</t>
  </si>
  <si>
    <t>Specific</t>
  </si>
  <si>
    <t>Specific (by field)</t>
  </si>
  <si>
    <t>Spécifique (par champ)</t>
  </si>
  <si>
    <t>Específico (por campo)</t>
  </si>
  <si>
    <t>SC01</t>
  </si>
  <si>
    <t>Form</t>
  </si>
  <si>
    <t>Formulaire</t>
  </si>
  <si>
    <t>Formulario</t>
  </si>
  <si>
    <t>SC02</t>
  </si>
  <si>
    <t>Sub-form</t>
  </si>
  <si>
    <t>Sous-formulaire</t>
  </si>
  <si>
    <t>Subformulario</t>
  </si>
  <si>
    <t>SC03</t>
  </si>
  <si>
    <t>Part</t>
  </si>
  <si>
    <t>Partie</t>
  </si>
  <si>
    <t>Parte</t>
  </si>
  <si>
    <t>SC04</t>
  </si>
  <si>
    <t xml:space="preserve">Section </t>
  </si>
  <si>
    <t>Sección</t>
  </si>
  <si>
    <t>SC05</t>
  </si>
  <si>
    <t>Sub-section</t>
  </si>
  <si>
    <t>Sous-section</t>
  </si>
  <si>
    <t>Sub-secciones</t>
  </si>
  <si>
    <t>SC06</t>
  </si>
  <si>
    <t>Field (name)</t>
  </si>
  <si>
    <t>Champ (nom)</t>
  </si>
  <si>
    <t>Campo (nombre)</t>
  </si>
  <si>
    <t>SC07</t>
  </si>
  <si>
    <t>Field (format)</t>
  </si>
  <si>
    <t>Champ (format)</t>
  </si>
  <si>
    <t>Campo (formato)</t>
  </si>
  <si>
    <t>SC08</t>
  </si>
  <si>
    <t>Detail</t>
  </si>
  <si>
    <t>Translation for Forms</t>
  </si>
  <si>
    <t>LangFieldID</t>
  </si>
  <si>
    <t>LangNameID</t>
  </si>
  <si>
    <t>Mainland, ETRO, MEDI, Recreational (or Sport), Guadeloupe, Martinique</t>
  </si>
  <si>
    <t>Burkina Faso</t>
  </si>
  <si>
    <t>BFA</t>
  </si>
  <si>
    <t>BF</t>
  </si>
  <si>
    <r>
      <t xml:space="preserve">Table. </t>
    </r>
    <r>
      <rPr>
        <sz val="8"/>
        <rFont val="Calibri"/>
        <family val="2"/>
        <scheme val="minor"/>
      </rPr>
      <t>Reporting Flags, Flags of Vessel / Countries (A2 &amp; A3 ISO 3166)</t>
    </r>
  </si>
  <si>
    <r>
      <t xml:space="preserve">Table. </t>
    </r>
    <r>
      <rPr>
        <sz val="8"/>
        <rFont val="Calibri"/>
        <family val="2"/>
        <scheme val="minor"/>
      </rPr>
      <t>Species (Tunas &amp; sharks) standard codes</t>
    </r>
  </si>
  <si>
    <r>
      <t xml:space="preserve">Table. </t>
    </r>
    <r>
      <rPr>
        <sz val="8"/>
        <rFont val="Calibri"/>
        <family val="2"/>
        <scheme val="minor"/>
      </rPr>
      <t>Gears</t>
    </r>
  </si>
  <si>
    <r>
      <t xml:space="preserve">Table. </t>
    </r>
    <r>
      <rPr>
        <sz val="8"/>
        <rFont val="Calibri"/>
        <family val="2"/>
        <scheme val="minor"/>
      </rPr>
      <t>Size frequency types</t>
    </r>
  </si>
  <si>
    <r>
      <t xml:space="preserve">Table. </t>
    </r>
    <r>
      <rPr>
        <sz val="8"/>
        <rFont val="Calibri"/>
        <family val="2"/>
        <scheme val="minor"/>
      </rPr>
      <t>Product types (form)</t>
    </r>
  </si>
  <si>
    <r>
      <t xml:space="preserve">Table. </t>
    </r>
    <r>
      <rPr>
        <sz val="8"/>
        <rFont val="Calibri"/>
        <family val="2"/>
        <scheme val="minor"/>
      </rPr>
      <t>Sex (form)</t>
    </r>
  </si>
  <si>
    <t>T02</t>
  </si>
  <si>
    <t>Title</t>
  </si>
  <si>
    <t>ST10B</t>
  </si>
  <si>
    <t>ST10A</t>
  </si>
  <si>
    <t>Titre</t>
  </si>
  <si>
    <t>Título</t>
  </si>
  <si>
    <t>Form Title</t>
  </si>
  <si>
    <t>Titre du formulaire</t>
  </si>
  <si>
    <t>Título del formulario</t>
  </si>
  <si>
    <t>string</t>
  </si>
  <si>
    <t>float</t>
  </si>
  <si>
    <t>SzDataYN</t>
  </si>
  <si>
    <t>BETpt</t>
  </si>
  <si>
    <t>SKJpt</t>
  </si>
  <si>
    <t>YFTpt</t>
  </si>
  <si>
    <t>D00</t>
  </si>
  <si>
    <t>Content (data)</t>
  </si>
  <si>
    <t>ICCATSerialNo</t>
  </si>
  <si>
    <t>D10</t>
  </si>
  <si>
    <t>D20</t>
  </si>
  <si>
    <t>D30</t>
  </si>
  <si>
    <t>D40</t>
  </si>
  <si>
    <t>Landing operation details</t>
  </si>
  <si>
    <t>Datos por desembarque(s)</t>
  </si>
  <si>
    <t xml:space="preserve">Muestreo (disponibilidad tallas) </t>
  </si>
  <si>
    <t xml:space="preserve">Échantillonnage (disponibilité tailles) </t>
  </si>
  <si>
    <t>Desembarque con muestras (Y/N) ?</t>
  </si>
  <si>
    <t>Landings with samples (Y/N ?</t>
  </si>
  <si>
    <t>Sampling (size availability)</t>
  </si>
  <si>
    <t>Débarquement avec echantillons (Y/N) ?</t>
  </si>
  <si>
    <t>SzPTypeCd</t>
  </si>
  <si>
    <t>Desembarque ID (ST10A)</t>
  </si>
  <si>
    <t>Débarquement ID (ST10A)</t>
  </si>
  <si>
    <t>szLandingID</t>
  </si>
  <si>
    <t>SexCd</t>
  </si>
  <si>
    <t>hContent</t>
  </si>
  <si>
    <t>Contenu (données)</t>
  </si>
  <si>
    <t>Contenido (datos)</t>
  </si>
  <si>
    <t>Tropical Tunas Moratory Sampling Area</t>
  </si>
  <si>
    <t>Landing Operation details</t>
  </si>
  <si>
    <t>Detalles de la operación de desembarque</t>
  </si>
  <si>
    <t>Size Frequency sample details by landing operation</t>
  </si>
  <si>
    <t>Landings (YFT, BET, SKJ)</t>
  </si>
  <si>
    <t>Débarquement (YFT, BET, SKJ)</t>
  </si>
  <si>
    <t>Desembarque (YFT, BET, SKJ)</t>
  </si>
  <si>
    <t>DtLanding</t>
  </si>
  <si>
    <t>VesselName</t>
  </si>
  <si>
    <t>VessNRN</t>
  </si>
  <si>
    <t>FlagVesCd</t>
  </si>
  <si>
    <t>GearCd</t>
  </si>
  <si>
    <t>Détail</t>
  </si>
  <si>
    <t>Detalle</t>
  </si>
  <si>
    <t>D01</t>
  </si>
  <si>
    <t>LenghCm</t>
  </si>
  <si>
    <t>Size (cm)</t>
  </si>
  <si>
    <t>Taille (cm)</t>
  </si>
  <si>
    <t>Talla (cm)</t>
  </si>
  <si>
    <t>Complete this section for each vessel-landing operation by date.  If size samples were taken please add this information to the subform ST10B-PrtSmpSZ</t>
  </si>
  <si>
    <t>SzFreqTypCd</t>
  </si>
  <si>
    <t>AUT</t>
  </si>
  <si>
    <t>AT</t>
  </si>
  <si>
    <t>Djibouti</t>
  </si>
  <si>
    <t>DJI</t>
  </si>
  <si>
    <t>DJ</t>
  </si>
  <si>
    <t>2-Tuna (small t.)</t>
  </si>
  <si>
    <t>3-Tuna (other sp.)</t>
  </si>
  <si>
    <t>4-Sharks (major sp.)</t>
  </si>
  <si>
    <t>5-Sharks (other sp.)</t>
  </si>
  <si>
    <r>
      <t>Etmopterus bullisi</t>
    </r>
    <r>
      <rPr>
        <sz val="9"/>
        <color rgb="FF00000A"/>
        <rFont val="Times New Roman"/>
        <family val="1"/>
      </rPr>
      <t xml:space="preserve"> </t>
    </r>
  </si>
  <si>
    <r>
      <t>Euprotomicrus bispinatus</t>
    </r>
    <r>
      <rPr>
        <sz val="9"/>
        <color rgb="FF00000A"/>
        <rFont val="Times New Roman"/>
        <family val="1"/>
      </rPr>
      <t xml:space="preserve"> </t>
    </r>
  </si>
  <si>
    <r>
      <t>Euprotomicroides zantedeschia</t>
    </r>
    <r>
      <rPr>
        <sz val="9"/>
        <color rgb="FF00000A"/>
        <rFont val="Times New Roman"/>
        <family val="1"/>
      </rPr>
      <t xml:space="preserve"> </t>
    </r>
  </si>
  <si>
    <r>
      <t>Hexanchus nakamurai</t>
    </r>
    <r>
      <rPr>
        <sz val="9"/>
        <color rgb="FF00000A"/>
        <rFont val="Times New Roman"/>
        <family val="1"/>
      </rPr>
      <t xml:space="preserve"> </t>
    </r>
  </si>
  <si>
    <t>Requin-vache</t>
  </si>
  <si>
    <t>Cañabota ojigrande</t>
  </si>
  <si>
    <r>
      <t>Isistius plutodus</t>
    </r>
    <r>
      <rPr>
        <sz val="9"/>
        <color rgb="FF00000A"/>
        <rFont val="Times New Roman"/>
        <family val="1"/>
      </rPr>
      <t xml:space="preserve"> </t>
    </r>
  </si>
  <si>
    <r>
      <t>Mitsukurina owstoni</t>
    </r>
    <r>
      <rPr>
        <sz val="9"/>
        <color rgb="FF00000A"/>
        <rFont val="Times New Roman"/>
        <family val="1"/>
      </rPr>
      <t xml:space="preserve"> </t>
    </r>
  </si>
  <si>
    <r>
      <t>Manta alfredi</t>
    </r>
    <r>
      <rPr>
        <sz val="9"/>
        <color rgb="FF00000A"/>
        <rFont val="Times New Roman"/>
        <family val="1"/>
      </rPr>
      <t xml:space="preserve"> </t>
    </r>
  </si>
  <si>
    <r>
      <t>Deania profundorum</t>
    </r>
    <r>
      <rPr>
        <sz val="9"/>
        <color rgb="FF00000A"/>
        <rFont val="Times New Roman"/>
        <family val="1"/>
      </rPr>
      <t xml:space="preserve"> </t>
    </r>
  </si>
  <si>
    <t>SKH</t>
  </si>
  <si>
    <t>Selachimorpha (Pleurotremata)</t>
  </si>
  <si>
    <t>Various sharks nei</t>
  </si>
  <si>
    <t>Requins divers nca</t>
  </si>
  <si>
    <t>Escualos diversos nep</t>
  </si>
  <si>
    <t>6-Superorder</t>
  </si>
  <si>
    <t>6-Teleosts</t>
  </si>
  <si>
    <t>7-Turtles</t>
  </si>
  <si>
    <t>8-Seabirds</t>
  </si>
  <si>
    <t>9-Mammals</t>
  </si>
  <si>
    <t>New (FULL)</t>
  </si>
  <si>
    <t>New data (never reported to ICCAT): FULL coverage</t>
  </si>
  <si>
    <t>New (PARTIAL)</t>
  </si>
  <si>
    <t>New data (never reported to ICCAT): PARTIAL coverage</t>
  </si>
  <si>
    <t>Revised data (FULL): to fully replace the previously reported data</t>
  </si>
  <si>
    <t>Revised data (PARTIAL): to partially replace the previously reported data</t>
  </si>
  <si>
    <t>(automatic completion)</t>
  </si>
  <si>
    <t>(remplissage automatique)</t>
  </si>
  <si>
    <t>FormID</t>
  </si>
  <si>
    <t>ST10</t>
  </si>
  <si>
    <t>SubFormID</t>
  </si>
  <si>
    <t>Titles</t>
  </si>
  <si>
    <t>Détails de l'opération de débarquement</t>
  </si>
  <si>
    <t>tVersion</t>
  </si>
  <si>
    <t>Always use the lastest version of this form</t>
  </si>
  <si>
    <t>Utiliser toujours la dernière version de ce formulaire</t>
  </si>
  <si>
    <t>Utilice siempre la última versión de este formulario</t>
  </si>
  <si>
    <t>tLang</t>
  </si>
  <si>
    <t>Choose the language (ENG, FRA, ESP) for form translation</t>
  </si>
  <si>
    <t>Choisir la langue (ENG, FRA, ESP) pour la traduction du formulaire</t>
  </si>
  <si>
    <t>Elija el idioma (ENG, FRA, ESP) para la traducción del formulario</t>
  </si>
  <si>
    <t>(cumplimentaciónn automática)</t>
  </si>
  <si>
    <t>Caractéristiques jeu de données</t>
  </si>
  <si>
    <t>Características conjunto de datos</t>
  </si>
  <si>
    <t>Name (full OR Name &amp; Surname) of the Statistical Correspondent (officially nominated by the CPC)</t>
  </si>
  <si>
    <t>Nom (complet OU Prénom et Nom) du correspondant statistique (officiellement désigné par la CPC)</t>
  </si>
  <si>
    <t>Nombre (completo o nombre y apellido) del Corresponsal estadístico designado oficialmente por la CPC</t>
  </si>
  <si>
    <t>Email address of the Statistical Correspondent</t>
  </si>
  <si>
    <t>Adresse email du correspondant statistique</t>
  </si>
  <si>
    <t>Dirección de correo electrónico del corresponsal estadístico</t>
  </si>
  <si>
    <t>Telephone number of the Statistical Correspondent</t>
  </si>
  <si>
    <t>Numéro de téléphone du correspondant statistique</t>
  </si>
  <si>
    <t>Número de teléfono del corresponsal estadístico</t>
  </si>
  <si>
    <t>Institute (ministry, agency, research Institute, etc.) to which the Statistical Correspondent is affiliated</t>
  </si>
  <si>
    <t>Institution (ministère, agence, institut de recherche, etc.) à laquelle le correspondant statistique est affilié</t>
  </si>
  <si>
    <t>Institución (Ministerio, Agencia, instituto de investigación, etc.) al que pertenece el corresponsal estadístico</t>
  </si>
  <si>
    <t>Department within the Institution, where applicable</t>
  </si>
  <si>
    <t>Département au sein de l'institution, le cas échéant</t>
  </si>
  <si>
    <t>Departamento dentro de la institución, si procede</t>
  </si>
  <si>
    <t>Postal address of the institution (street, number, city, state)</t>
  </si>
  <si>
    <t>Adresse postale de l'institution (rue, numéro, ville, État)</t>
  </si>
  <si>
    <t>Dirección postal de la institución (calle, número, ciudad, estado)</t>
  </si>
  <si>
    <t>Country in which the Institution is based</t>
  </si>
  <si>
    <t>Pays dans lequel l'institution est basée</t>
  </si>
  <si>
    <t>País en el que tiene su sede la institución</t>
  </si>
  <si>
    <t>Choose the Flag CPC reporting the data (ICCAT codes)</t>
  </si>
  <si>
    <t>Choisir la CPC de pavillon qui déclare les données (code ICCAT)</t>
  </si>
  <si>
    <t>Escoger la CPC del pabellón que comunica los datos (códigos ICCAT)</t>
  </si>
  <si>
    <t>Year (calendar)</t>
  </si>
  <si>
    <t>Année (calendrier)</t>
  </si>
  <si>
    <t>Año (calendario)</t>
  </si>
  <si>
    <t>Calendar year (4 digits) to which the data relate</t>
  </si>
  <si>
    <t>L'année civile (4 chiffres) à laquelle les données correspondent</t>
  </si>
  <si>
    <t>Año civil (cuatro dígitos) al que se refieren los datos</t>
  </si>
  <si>
    <t>Specify if this submission is Preliminary (subject to revision) or Final (already validated)</t>
  </si>
  <si>
    <t>Préciser si cette soumission est préliminaire (sujette à révision) ou finale (déjà validée)</t>
  </si>
  <si>
    <t>Especificar si la presentación es preliminar (sujeta a revisión) o final (ya validada)</t>
  </si>
  <si>
    <t>Specify if the overall data content is NEW (full set OR partial set) OR a REVISION (full set OR partial set)</t>
  </si>
  <si>
    <t>Préciser si le contenu global de données est NOUVEAU (ensemble complète OU ensemble partiel) OU une RÉVISION (ensemble complète OU ensemble partiel)</t>
  </si>
  <si>
    <t>Especificar si el contenido general de los datos es NUEVO (conjunto completo O conjunto parcial) O una REVISIÓN (conjunto completo O conjunto parcial)</t>
  </si>
  <si>
    <t>Envoyer le formulaire à l'ICCAT avec le nom du fichier proposé (si nécessaire, ajouter un suffixe d'ID à la fin)</t>
  </si>
  <si>
    <t>Add additional (complementary) notes in respect to the overall dataset (if needed)</t>
  </si>
  <si>
    <t>Ajouter des notes additionnelles (complémentaires) en ce qui concerne le jeu de données global (si nécessaire)</t>
  </si>
  <si>
    <t>Añadir notas adicionales (complementarias) para el conjunto de datos global (si se requieren)</t>
  </si>
  <si>
    <t>Compléter cette section pour chaque navire-opération de débarquement par date. Si des échantillons de taille ont été prélevés, ajouter cette information dans le formulaire ST10B-PrtSmpSZ</t>
  </si>
  <si>
    <t>Rellenar esta sección para cada buque-operación de desembarque por fecha. Si se han recogido muestras de talla, añadir esta información en el formulario ST10B-PrtSmpSZ</t>
  </si>
  <si>
    <t>Numéro correspondant de l'"ID de débarquement" pour cet échantillon de taille</t>
  </si>
  <si>
    <t>Número de "ID del desembarque" correspondiente a esta muestra de talla</t>
  </si>
  <si>
    <t>Specify the date of the landing operation (e.g. 2014/03/25 format)</t>
  </si>
  <si>
    <t>Préciser la date de l'opération de débarquement (ex. format 2014/03/25)</t>
  </si>
  <si>
    <t>Enter the ICCAT Vessel Serial Number if applicable</t>
  </si>
  <si>
    <t>Vessel name (latin)</t>
  </si>
  <si>
    <t>Nom navire (latin)</t>
  </si>
  <si>
    <t>Nombre buque (latin)</t>
  </si>
  <si>
    <t>Vessel name in latin script</t>
  </si>
  <si>
    <t>Nom du navire en caractères latins</t>
  </si>
  <si>
    <t>El nombre del buque en caracteres latinos</t>
  </si>
  <si>
    <t>If the vessel does not have an ICCAT Serial Number, please enter National Register Number</t>
  </si>
  <si>
    <t>Si le navire n'a pas de numéro de série ICCAT, saisir le numéro de registre national</t>
  </si>
  <si>
    <t>Flag of Vessel (cod)</t>
  </si>
  <si>
    <t>Pavillon du navire (cod)</t>
  </si>
  <si>
    <t>Pabellón del buque (cód)</t>
  </si>
  <si>
    <t>Choose the flag of the vessel for which the data apply (whether national or foreign flagged vessel)</t>
  </si>
  <si>
    <t>Choisir le pavillon du navire auquel les données s'appliquent (navire sous pavillon national ou étranger)</t>
  </si>
  <si>
    <t>Escoger el pabellón del buque al que se refieren los datos (ya sea un buque nacional o con pabelllón extranjero)</t>
  </si>
  <si>
    <t>Gear (cod)</t>
  </si>
  <si>
    <t>Engin (cod)</t>
  </si>
  <si>
    <t>Arte (cód)</t>
  </si>
  <si>
    <t>Choose the Gear code (ICCAT codes)</t>
  </si>
  <si>
    <t>Choisir le code d'engin (code ICCAT)</t>
  </si>
  <si>
    <t>Escoger un código de arte (códigos ICCAT)</t>
  </si>
  <si>
    <t>Indiquer si les échantillons de taille ont été prélevés du débarquement correspondant et fournir les données de taille à la page PRTSMP-SZ</t>
  </si>
  <si>
    <t>Número de "ID del desembarque" correspondiente para esta muestra de talla</t>
  </si>
  <si>
    <t>Species (cod)</t>
  </si>
  <si>
    <t>Espèce (cod)</t>
  </si>
  <si>
    <t>Especie (cód)</t>
  </si>
  <si>
    <t>Choose the species code (ICCAT codes)</t>
  </si>
  <si>
    <t>Choisir le code d'espèce (codes ICCAT)</t>
  </si>
  <si>
    <t>Escoger el código de especies (códigos ICCAT)</t>
  </si>
  <si>
    <t>Code d'identification du sexe: mâle (M), femelle (F), immature (I), inconnu (U)</t>
  </si>
  <si>
    <t>ID del código de sexo: macho (M), hembra (F), inmaduro (I), desconocido (U)</t>
  </si>
  <si>
    <t>Size measurement in centimeters (cm)</t>
  </si>
  <si>
    <t>Free form field to provide any other information relevant to the collection of observer data for the given strata. Also used to clarify when the option "OTH" is selected in previous fields</t>
  </si>
  <si>
    <t>Champ libre à utiliser pour fournir toute autre information pertinente pour la collecte de données d’observateurs de la strate donnée. À utiliser également pour préciser lorsque l’option « OTH » est sélectionné dans les champs précédents</t>
  </si>
  <si>
    <t>Campo libre para proporcionar cualquier otra información relacionada con la recopilación de datos de observadores para los estratos determinados. Utilizada también para aclarar cuando se selecciona la opción OTH en campos anteriores</t>
  </si>
  <si>
    <t>Recommendation for users with databases: To paste an entire dataset into the Detail section (must have the same structure and format) use "Paste special (values)"</t>
  </si>
  <si>
    <t>Recommandation aux utilisateurs de bases de données : pour copier tout un jeu de données dans la section "Information détaillée" (qui doit avoir les mêmes structure et format), utiliser "Paste special (values)"</t>
  </si>
  <si>
    <t>Laisser en blanc les champs pour lesquels vous ne recueillez pas d'informations</t>
  </si>
  <si>
    <t>Deje en blanco los campos para los que no se ha recopilado información</t>
  </si>
  <si>
    <t>S00</t>
  </si>
  <si>
    <t>H00b</t>
  </si>
  <si>
    <t>Landing ID (from ST10A)</t>
  </si>
  <si>
    <t>id</t>
  </si>
  <si>
    <t>FlagCode</t>
  </si>
  <si>
    <t>StatusCPC</t>
  </si>
  <si>
    <t>CZ</t>
  </si>
  <si>
    <t>FIN</t>
  </si>
  <si>
    <t>FI</t>
  </si>
  <si>
    <t>LUX</t>
  </si>
  <si>
    <t>LU</t>
  </si>
  <si>
    <t>SVK</t>
  </si>
  <si>
    <t>SK</t>
  </si>
  <si>
    <t>Bosnia and Herzegovina</t>
  </si>
  <si>
    <t>BIH</t>
  </si>
  <si>
    <t>BA</t>
  </si>
  <si>
    <t>Isle of Man</t>
  </si>
  <si>
    <t>IMN</t>
  </si>
  <si>
    <t>IM</t>
  </si>
  <si>
    <t>Mongolia</t>
  </si>
  <si>
    <t>MNG</t>
  </si>
  <si>
    <t>MN</t>
  </si>
  <si>
    <t>MKD</t>
  </si>
  <si>
    <t>MK</t>
  </si>
  <si>
    <t>ContentCode</t>
  </si>
  <si>
    <t>NF</t>
  </si>
  <si>
    <t>NP</t>
  </si>
  <si>
    <t>RF</t>
  </si>
  <si>
    <t>RP</t>
  </si>
  <si>
    <t>SpeciesCode</t>
  </si>
  <si>
    <t>GearCode</t>
  </si>
  <si>
    <t>ProdTypeCode</t>
  </si>
  <si>
    <t>ICCAT Convention Area (January &amp; February 2020)</t>
  </si>
  <si>
    <t>Área de la Convención de la CICAA (Enero y Febrero 2020)</t>
  </si>
  <si>
    <t>Zone de la Convention ICCAT (Janvier et Février 2020)</t>
  </si>
  <si>
    <t>Kajikia albida</t>
  </si>
  <si>
    <t xml:space="preserve">Inshore manta ray </t>
  </si>
  <si>
    <t>Mobula japonica</t>
  </si>
  <si>
    <t>In force</t>
  </si>
  <si>
    <t>form specific</t>
  </si>
  <si>
    <t>See "codes" sheet</t>
  </si>
  <si>
    <t>global</t>
  </si>
  <si>
    <t>Detail section must be properly completed using valid ICCAT codes</t>
  </si>
  <si>
    <t>[all fields]</t>
  </si>
  <si>
    <t>Header section must be complete</t>
  </si>
  <si>
    <t>Data must come in one of the valid SCRS electronic forms/Exchange formats</t>
  </si>
  <si>
    <t>Valid set</t>
  </si>
  <si>
    <t>Type</t>
  </si>
  <si>
    <t>Filter</t>
  </si>
  <si>
    <t>SCRS Filter criteria for acceptance/rejection of the data reported</t>
  </si>
  <si>
    <t xml:space="preserve">NONE available </t>
  </si>
  <si>
    <t>waiting SCRS</t>
  </si>
  <si>
    <t>ENG</t>
  </si>
  <si>
    <t>Qatar</t>
  </si>
  <si>
    <t>QAT</t>
  </si>
  <si>
    <t>QA</t>
  </si>
  <si>
    <t>Landing/sampling Port (name)</t>
  </si>
  <si>
    <t>Puerto de muestreo (nombre)</t>
  </si>
  <si>
    <t>Port d'échantillonnage (nom)</t>
  </si>
  <si>
    <t>SexCode</t>
  </si>
  <si>
    <t>Sex</t>
  </si>
  <si>
    <t xml:space="preserve">TASK 3 - PORT SAMPLING </t>
  </si>
  <si>
    <t xml:space="preserve">TÂCHE 3 - ÉCHANTILLONNAGE AU PORT </t>
  </si>
  <si>
    <t xml:space="preserve">TAREA 3 - MUESTREO DE PUERTOS </t>
  </si>
  <si>
    <t>EU-Austria</t>
  </si>
  <si>
    <t>EU-AUT</t>
  </si>
  <si>
    <t>EU-Belgium</t>
  </si>
  <si>
    <t>EU-BEL</t>
  </si>
  <si>
    <t>EU-Bulgaria</t>
  </si>
  <si>
    <t>EU-BGR</t>
  </si>
  <si>
    <t>EU-Croatia</t>
  </si>
  <si>
    <t>EU-HRV</t>
  </si>
  <si>
    <t>EU-Cyprus</t>
  </si>
  <si>
    <t>EU-CYP</t>
  </si>
  <si>
    <t>EU-Czechia</t>
  </si>
  <si>
    <t>EU-CZE</t>
  </si>
  <si>
    <t>EU-Denmark</t>
  </si>
  <si>
    <t>EU-DNK</t>
  </si>
  <si>
    <t>EU-España</t>
  </si>
  <si>
    <t>EU-ESP</t>
  </si>
  <si>
    <t>EU-Estonia</t>
  </si>
  <si>
    <t>EU-EST</t>
  </si>
  <si>
    <t>EU-Finland</t>
  </si>
  <si>
    <t>EU-FIN</t>
  </si>
  <si>
    <t>EU-France</t>
  </si>
  <si>
    <t>EU-FRA</t>
  </si>
  <si>
    <t>EU-Germany</t>
  </si>
  <si>
    <t>EU-DEU</t>
  </si>
  <si>
    <t>EU-Greece</t>
  </si>
  <si>
    <t>EU-GRC</t>
  </si>
  <si>
    <t>EU-Hungary</t>
  </si>
  <si>
    <t>EU-HUN</t>
  </si>
  <si>
    <t>EU-Ireland</t>
  </si>
  <si>
    <t>EU-IRL</t>
  </si>
  <si>
    <t>EU-Italy</t>
  </si>
  <si>
    <t>EU-ITA</t>
  </si>
  <si>
    <t>EU-Latvia</t>
  </si>
  <si>
    <t>EU-LVA</t>
  </si>
  <si>
    <t>EU-Lithuania</t>
  </si>
  <si>
    <t>EU-LTU</t>
  </si>
  <si>
    <t>EU-Luxemburg</t>
  </si>
  <si>
    <t>EU-LUX</t>
  </si>
  <si>
    <t>EU-Malta</t>
  </si>
  <si>
    <t>EU-MLT</t>
  </si>
  <si>
    <t>EU-Netherlands</t>
  </si>
  <si>
    <t>EU-NLD</t>
  </si>
  <si>
    <t>EU-Poland</t>
  </si>
  <si>
    <t>EU-POL</t>
  </si>
  <si>
    <t>EU-Portugal</t>
  </si>
  <si>
    <t>EU-PRT</t>
  </si>
  <si>
    <t>EU-Rumania</t>
  </si>
  <si>
    <t>EU-ROU</t>
  </si>
  <si>
    <t>EU-Slovakia</t>
  </si>
  <si>
    <t>EU-SVK</t>
  </si>
  <si>
    <t>EU-Slovenia</t>
  </si>
  <si>
    <t>EU-SVN</t>
  </si>
  <si>
    <t>EU-Sweden</t>
  </si>
  <si>
    <t>EU-SWE</t>
  </si>
  <si>
    <t>England</t>
  </si>
  <si>
    <t>GB-ENG</t>
  </si>
  <si>
    <t>FR-St Pierre et Miquelon</t>
  </si>
  <si>
    <t>FR-SPM</t>
  </si>
  <si>
    <t>Great Britain</t>
  </si>
  <si>
    <t>Guinée Rep</t>
  </si>
  <si>
    <t>Korea Rep</t>
  </si>
  <si>
    <t>Northern Ireland</t>
  </si>
  <si>
    <t>GB-NIR</t>
  </si>
  <si>
    <t>NIR</t>
  </si>
  <si>
    <t>S Tomé e Príncipe</t>
  </si>
  <si>
    <t>Scotland</t>
  </si>
  <si>
    <t>GB-SCT</t>
  </si>
  <si>
    <t>SCT</t>
  </si>
  <si>
    <t>St Vincent and Grenadines</t>
  </si>
  <si>
    <t>UK-Bermuda</t>
  </si>
  <si>
    <t>UK-BMU</t>
  </si>
  <si>
    <t>UK-British Virgin Islands</t>
  </si>
  <si>
    <t>UK-VGB</t>
  </si>
  <si>
    <t>UK-Sta Helena</t>
  </si>
  <si>
    <t>UK-SHN</t>
  </si>
  <si>
    <t>UK-Turks and Caicos</t>
  </si>
  <si>
    <t>UK-TCA</t>
  </si>
  <si>
    <t>Wales</t>
  </si>
  <si>
    <t>GB-WLS</t>
  </si>
  <si>
    <t>WLS</t>
  </si>
  <si>
    <t>Gibraltar</t>
  </si>
  <si>
    <t>GIB</t>
  </si>
  <si>
    <t>GI</t>
  </si>
  <si>
    <t>North Macedonia Rep</t>
  </si>
  <si>
    <t>San Marino</t>
  </si>
  <si>
    <t>SMR</t>
  </si>
  <si>
    <t>SM</t>
  </si>
  <si>
    <t>Sta Lucia</t>
  </si>
  <si>
    <t>LL-B</t>
  </si>
  <si>
    <t>LL-Shrk</t>
  </si>
  <si>
    <t>LL-surf</t>
  </si>
  <si>
    <t>LLALB</t>
  </si>
  <si>
    <t>LLAMS</t>
  </si>
  <si>
    <t>LLBFT</t>
  </si>
  <si>
    <t>LLJAP</t>
  </si>
  <si>
    <t>LLMB</t>
  </si>
  <si>
    <t>LLMESO</t>
  </si>
  <si>
    <t>LLPB</t>
  </si>
  <si>
    <t>LLSWO</t>
  </si>
  <si>
    <t>PSD</t>
  </si>
  <si>
    <t>PSFB</t>
  </si>
  <si>
    <t>PSFS</t>
  </si>
  <si>
    <t>PSG</t>
  </si>
  <si>
    <t>PSLB</t>
  </si>
  <si>
    <t>PSM</t>
  </si>
  <si>
    <t>PSS</t>
  </si>
  <si>
    <t>TRAP</t>
  </si>
  <si>
    <t>TRAP-S</t>
  </si>
  <si>
    <t>TRAPM</t>
  </si>
  <si>
    <t>BBALB</t>
  </si>
  <si>
    <t>BBF</t>
  </si>
  <si>
    <t>BBI</t>
  </si>
  <si>
    <t>TRAWB</t>
  </si>
  <si>
    <t>TRAWPP</t>
  </si>
  <si>
    <t>GILLALB</t>
  </si>
  <si>
    <t>GILLSWO</t>
  </si>
  <si>
    <t>GNS</t>
  </si>
  <si>
    <t>RRFB</t>
  </si>
  <si>
    <t>RRFS</t>
  </si>
  <si>
    <t>HARPE</t>
  </si>
  <si>
    <t>HS</t>
  </si>
  <si>
    <t>FASA</t>
  </si>
  <si>
    <t>TP</t>
  </si>
  <si>
    <t>FA</t>
  </si>
  <si>
    <t>Longline: Bottom or Deep longliners</t>
  </si>
  <si>
    <t>Longline: Targetting sharks (BSH &amp; SMA)</t>
  </si>
  <si>
    <t>Longline: Surface</t>
  </si>
  <si>
    <t>Longline: Targetting ALB</t>
  </si>
  <si>
    <t>Longline: American style</t>
  </si>
  <si>
    <t>Longline: Targetting BFT</t>
  </si>
  <si>
    <t>Longline: Japanese type (Spain)</t>
  </si>
  <si>
    <t>Longline: With mother boat</t>
  </si>
  <si>
    <t>Longline: Mesopelagic</t>
  </si>
  <si>
    <t>Longline: "Stone-ball" (Spain)</t>
  </si>
  <si>
    <t>Longline: Targetting SWO</t>
  </si>
  <si>
    <t>Purse seine: Double-boats</t>
  </si>
  <si>
    <t>Purse seine: Catching large fish</t>
  </si>
  <si>
    <t>Purse seine: Catching small fish</t>
  </si>
  <si>
    <t>Purse seine: Large scale (over 200 MT capacity)</t>
  </si>
  <si>
    <t>Purse seine: Using live bait</t>
  </si>
  <si>
    <t>Purse seine: Medium scale (between 50 and 200 MT capacity)</t>
  </si>
  <si>
    <t>Purse seine: Small scale (less than 50 MT capacity)</t>
  </si>
  <si>
    <t>Trap</t>
  </si>
  <si>
    <t>Trap: small traps</t>
  </si>
  <si>
    <t>Trap: trap non-fixed</t>
  </si>
  <si>
    <t>Baitboat: Targgetting ALB</t>
  </si>
  <si>
    <t>Baitboat: Freezer</t>
  </si>
  <si>
    <t>Baitboat: Ice-well</t>
  </si>
  <si>
    <t>Trawl: Bottom paired (old TRBD)</t>
  </si>
  <si>
    <t>Trawl: Mid-water pelagic (old MWT)</t>
  </si>
  <si>
    <t>Trawl: Mid-water pelagic paired (old MWTD)</t>
  </si>
  <si>
    <t>Trolling lines</t>
  </si>
  <si>
    <t>Gillnet: Drift net</t>
  </si>
  <si>
    <t>Gillnet: Targetting ALB</t>
  </si>
  <si>
    <t>Gillnet: Targetting SWO</t>
  </si>
  <si>
    <t>Gillnet: anchored (set gillnet, FAO)</t>
  </si>
  <si>
    <t>Rod and Reel (catching large fish)</t>
  </si>
  <si>
    <t>Rod and Reel (catching small fish)</t>
  </si>
  <si>
    <t>Trammel nets</t>
  </si>
  <si>
    <t>Tended lines</t>
  </si>
  <si>
    <t>Harpoon: Electric harpoon (old HP-E)</t>
  </si>
  <si>
    <t>Haul seine</t>
  </si>
  <si>
    <t>Farm (salmon farms)</t>
  </si>
  <si>
    <t>Unclassified gears (unknown, not reported, OTH not specified)</t>
  </si>
  <si>
    <t>Other (specified in Notes)</t>
  </si>
  <si>
    <t>FreqTypeCode</t>
  </si>
  <si>
    <t>FreqType</t>
  </si>
  <si>
    <t>Straight fork length (old FL)</t>
  </si>
  <si>
    <t>Curved Fork Length</t>
  </si>
  <si>
    <t>Lower Jaw TO 1st Dorsal Length</t>
  </si>
  <si>
    <t>SLJFL</t>
  </si>
  <si>
    <t>Straight lower jaw fork length (old LJFL)</t>
  </si>
  <si>
    <t>CLJFL</t>
  </si>
  <si>
    <t>Curved lower jaw fork length</t>
  </si>
  <si>
    <t>Posterior edge of eye socket to Fork Length</t>
  </si>
  <si>
    <t>WGT</t>
  </si>
  <si>
    <t xml:space="preserve">Weight </t>
  </si>
  <si>
    <t>HGTW</t>
  </si>
  <si>
    <t>Head and Gutted (WGT)</t>
  </si>
  <si>
    <t>Other (specified it in notes)</t>
  </si>
  <si>
    <t>Türkiye</t>
  </si>
  <si>
    <t>2024a</t>
  </si>
  <si>
    <t>* Suffix "a" refers to the form sub-version (minor corrections &amp; no changes in structure) revised within a year. Sequentially issued (i.e.: 2024a, 2024b, ...) whenever required.</t>
  </si>
  <si>
    <t>FleetSuffix (old PortsZones)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</si>
</sst>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0"/>
      <name val="Arial"/>
    </font>
    <font>
      <u/>
      <sz val="10"/>
      <color indexed="12"/>
      <name val="Arial"/>
      <family val="2"/>
    </font>
    <font>
      <sz val="8"/>
      <color indexed="81"/>
      <name val="Tahoma"/>
      <family val="2"/>
    </font>
    <font>
      <sz val="10"/>
      <name val="Arial"/>
      <family val="2"/>
    </font>
    <font>
      <b/>
      <u/>
      <sz val="9"/>
      <name val="Calibri"/>
      <family val="2"/>
      <scheme val="minor"/>
    </font>
    <font>
      <sz val="9"/>
      <name val="Calibri"/>
      <family val="2"/>
      <scheme val="minor"/>
    </font>
    <font>
      <b/>
      <sz val="9"/>
      <name val="Calibri"/>
      <family val="2"/>
      <scheme val="minor"/>
    </font>
    <font>
      <b/>
      <sz val="8"/>
      <color theme="0"/>
      <name val="Calibri"/>
      <family val="2"/>
      <scheme val="minor"/>
    </font>
    <font>
      <sz val="9"/>
      <color theme="1"/>
      <name val="Calibri"/>
      <family val="2"/>
      <scheme val="minor"/>
    </font>
    <font>
      <b/>
      <sz val="16"/>
      <color rgb="FF0070C0"/>
      <name val="Cambria"/>
      <family val="1"/>
      <scheme val="major"/>
    </font>
    <font>
      <b/>
      <sz val="9"/>
      <color rgb="FF0070C0"/>
      <name val="Cambria"/>
      <family val="1"/>
      <scheme val="major"/>
    </font>
    <font>
      <b/>
      <sz val="9"/>
      <color rgb="FF00B050"/>
      <name val="Cambria"/>
      <family val="1"/>
      <scheme val="major"/>
    </font>
    <font>
      <b/>
      <sz val="14"/>
      <color theme="0"/>
      <name val="Cambria"/>
      <family val="1"/>
      <scheme val="major"/>
    </font>
    <font>
      <sz val="8"/>
      <name val="Calibri"/>
      <family val="2"/>
      <scheme val="minor"/>
    </font>
    <font>
      <b/>
      <sz val="9"/>
      <color rgb="FFFF0000"/>
      <name val="Cambria"/>
      <family val="1"/>
      <scheme val="major"/>
    </font>
    <font>
      <b/>
      <u/>
      <sz val="8"/>
      <name val="Calibri"/>
      <family val="2"/>
      <scheme val="minor"/>
    </font>
    <font>
      <b/>
      <sz val="8"/>
      <color rgb="FF0070C0"/>
      <name val="Calibri"/>
      <family val="2"/>
      <scheme val="minor"/>
    </font>
    <font>
      <b/>
      <sz val="8"/>
      <name val="Calibri"/>
      <family val="2"/>
      <scheme val="minor"/>
    </font>
    <font>
      <u/>
      <sz val="8"/>
      <name val="Calibri"/>
      <family val="2"/>
      <scheme val="minor"/>
    </font>
    <font>
      <u/>
      <sz val="8"/>
      <color indexed="12"/>
      <name val="Calibri"/>
      <family val="2"/>
      <scheme val="minor"/>
    </font>
    <font>
      <b/>
      <sz val="8"/>
      <color rgb="FF00B050"/>
      <name val="Calibri"/>
      <family val="2"/>
      <scheme val="minor"/>
    </font>
    <font>
      <sz val="8"/>
      <color theme="0" tint="-0.14999847407452621"/>
      <name val="Calibri"/>
      <family val="2"/>
      <scheme val="minor"/>
    </font>
    <font>
      <sz val="8"/>
      <color rgb="FFFF0000"/>
      <name val="Calibri"/>
      <family val="2"/>
      <scheme val="minor"/>
    </font>
    <font>
      <b/>
      <sz val="8"/>
      <color rgb="FF0000FF"/>
      <name val="Calibri"/>
      <family val="2"/>
      <scheme val="minor"/>
    </font>
    <font>
      <sz val="9"/>
      <color rgb="FF00000A"/>
      <name val="Times New Roman"/>
      <family val="1"/>
    </font>
    <font>
      <u/>
      <sz val="9"/>
      <name val="Calibri"/>
      <family val="2"/>
      <scheme val="minor"/>
    </font>
    <font>
      <b/>
      <sz val="12"/>
      <color theme="0"/>
      <name val="Cambria"/>
      <family val="1"/>
      <scheme val="major"/>
    </font>
    <font>
      <sz val="10"/>
      <name val="Cambria"/>
      <family val="1"/>
      <scheme val="major"/>
    </font>
    <font>
      <sz val="9"/>
      <name val="Cambria"/>
      <family val="1"/>
      <scheme val="major"/>
    </font>
    <font>
      <sz val="9"/>
      <color rgb="FF0070C0"/>
      <name val="Cambria"/>
      <family val="1"/>
      <scheme val="major"/>
    </font>
    <font>
      <sz val="11"/>
      <color rgb="FF0070C0"/>
      <name val="Cambria"/>
      <family val="1"/>
      <scheme val="major"/>
    </font>
    <font>
      <sz val="10"/>
      <color rgb="FF0070C0"/>
      <name val="Cambria"/>
      <family val="1"/>
      <scheme val="major"/>
    </font>
    <font>
      <sz val="9"/>
      <color rgb="FFFF0000"/>
      <name val="Calibri"/>
      <family val="2"/>
      <scheme val="minor"/>
    </font>
    <font>
      <sz val="9"/>
      <color rgb="FF000000"/>
      <name val="Calibri"/>
      <family val="2"/>
      <scheme val="minor"/>
    </font>
    <font>
      <b/>
      <sz val="14"/>
      <color rgb="FF0070C0"/>
      <name val="Calibri"/>
      <family val="2"/>
    </font>
    <font>
      <sz val="10"/>
      <color indexed="8"/>
      <name val="Arial"/>
      <family val="2"/>
    </font>
    <font>
      <sz val="9"/>
      <color indexed="8"/>
      <name val="Calibri"/>
      <family val="2"/>
    </font>
    <font>
      <sz val="9"/>
      <color indexed="8"/>
      <name val="Calibri"/>
      <family val="2"/>
      <scheme val="minor"/>
    </font>
  </fonts>
  <fills count="15">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3" tint="0.399975585192419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theme="6" tint="0.59999389629810485"/>
        <bgColor theme="4" tint="0.79998168889431442"/>
      </patternFill>
    </fill>
    <fill>
      <patternFill patternType="solid">
        <fgColor theme="5" tint="0.79998168889431442"/>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rgb="FFFFFF00"/>
        <bgColor indexed="64"/>
      </patternFill>
    </fill>
    <fill>
      <patternFill patternType="solid">
        <fgColor theme="8" tint="0.79998168889431442"/>
        <bgColor indexed="64"/>
      </patternFill>
    </fill>
  </fills>
  <borders count="25">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theme="0" tint="-4.9989318521683403E-2"/>
      </left>
      <right style="thin">
        <color theme="0" tint="-0.24994659260841701"/>
      </right>
      <top style="thin">
        <color theme="0" tint="-4.9989318521683403E-2"/>
      </top>
      <bottom/>
      <diagonal/>
    </border>
    <border>
      <left style="thin">
        <color theme="0" tint="-4.9989318521683403E-2"/>
      </left>
      <right style="thin">
        <color theme="0" tint="-0.24994659260841701"/>
      </right>
      <top/>
      <bottom style="thin">
        <color theme="0" tint="-0.24994659260841701"/>
      </bottom>
      <diagonal/>
    </border>
    <border>
      <left style="thin">
        <color theme="0" tint="-0.24994659260841701"/>
      </left>
      <right style="thin">
        <color theme="0" tint="-0.24994659260841701"/>
      </right>
      <top style="thin">
        <color theme="0" tint="-4.9989318521683403E-2"/>
      </top>
      <bottom/>
      <diagonal/>
    </border>
    <border>
      <left style="thin">
        <color theme="0" tint="-0.24994659260841701"/>
      </left>
      <right style="thin">
        <color theme="0" tint="-0.24994659260841701"/>
      </right>
      <top/>
      <bottom style="thin">
        <color theme="0" tint="-0.24994659260841701"/>
      </bottom>
      <diagonal/>
    </border>
    <border>
      <left style="thin">
        <color theme="8"/>
      </left>
      <right/>
      <top style="thin">
        <color theme="8"/>
      </top>
      <bottom/>
      <diagonal/>
    </border>
    <border>
      <left/>
      <right/>
      <top style="thin">
        <color theme="8"/>
      </top>
      <bottom/>
      <diagonal/>
    </border>
    <border>
      <left style="thin">
        <color theme="8"/>
      </left>
      <right/>
      <top style="thin">
        <color theme="8"/>
      </top>
      <bottom style="thin">
        <color theme="8"/>
      </bottom>
      <diagonal/>
    </border>
    <border>
      <left/>
      <right/>
      <top style="thin">
        <color theme="8"/>
      </top>
      <bottom style="thin">
        <color theme="8"/>
      </bottom>
      <diagonal/>
    </border>
  </borders>
  <cellStyleXfs count="4">
    <xf numFmtId="0" fontId="0" fillId="0" borderId="0"/>
    <xf numFmtId="0" fontId="1" fillId="0" borderId="0" applyNumberFormat="0" applyFill="0" applyBorder="0" applyAlignment="0" applyProtection="0">
      <alignment vertical="top"/>
      <protection locked="0"/>
    </xf>
    <xf numFmtId="0" fontId="3" fillId="0" borderId="0"/>
    <xf numFmtId="0" fontId="35" fillId="0" borderId="0"/>
  </cellStyleXfs>
  <cellXfs count="327">
    <xf numFmtId="0" fontId="0" fillId="0" borderId="0" xfId="0"/>
    <xf numFmtId="0" fontId="10" fillId="3" borderId="10" xfId="0" applyFont="1" applyFill="1" applyBorder="1" applyAlignment="1" applyProtection="1">
      <alignment horizontal="center" vertical="center"/>
      <protection hidden="1"/>
    </xf>
    <xf numFmtId="0" fontId="10" fillId="3" borderId="11" xfId="0" applyFont="1" applyFill="1" applyBorder="1" applyAlignment="1" applyProtection="1">
      <alignment horizontal="center" vertical="center"/>
      <protection hidden="1"/>
    </xf>
    <xf numFmtId="0" fontId="11" fillId="3" borderId="7" xfId="0" applyFont="1" applyFill="1" applyBorder="1" applyAlignment="1" applyProtection="1">
      <alignment horizontal="center" vertical="top"/>
      <protection hidden="1"/>
    </xf>
    <xf numFmtId="0" fontId="13" fillId="0" borderId="0" xfId="0" applyFont="1" applyAlignment="1" applyProtection="1">
      <alignment horizontal="center" vertical="top"/>
      <protection hidden="1"/>
    </xf>
    <xf numFmtId="0" fontId="5" fillId="0" borderId="0" xfId="0" applyFont="1" applyAlignment="1" applyProtection="1">
      <alignment horizontal="center"/>
      <protection hidden="1"/>
    </xf>
    <xf numFmtId="0" fontId="5" fillId="0" borderId="0" xfId="0" applyFont="1" applyProtection="1">
      <protection hidden="1"/>
    </xf>
    <xf numFmtId="0" fontId="13" fillId="0" borderId="0" xfId="0" applyFont="1" applyAlignment="1" applyProtection="1">
      <alignment horizontal="center" vertical="center"/>
      <protection hidden="1"/>
    </xf>
    <xf numFmtId="0" fontId="14" fillId="0" borderId="8" xfId="0" applyFont="1" applyBorder="1" applyAlignment="1" applyProtection="1">
      <alignment horizontal="center" vertical="top"/>
      <protection locked="0"/>
    </xf>
    <xf numFmtId="0" fontId="13" fillId="0" borderId="0" xfId="0" applyFont="1" applyAlignment="1" applyProtection="1">
      <alignment vertical="top"/>
      <protection hidden="1"/>
    </xf>
    <xf numFmtId="0" fontId="7" fillId="0" borderId="0" xfId="0" applyFont="1" applyAlignment="1" applyProtection="1">
      <alignment vertical="top" wrapText="1"/>
      <protection hidden="1"/>
    </xf>
    <xf numFmtId="0" fontId="16" fillId="3" borderId="10" xfId="0" applyFont="1" applyFill="1" applyBorder="1" applyAlignment="1" applyProtection="1">
      <alignment horizontal="center" vertical="top" shrinkToFit="1"/>
      <protection hidden="1"/>
    </xf>
    <xf numFmtId="0" fontId="18" fillId="3" borderId="4" xfId="0" applyFont="1" applyFill="1" applyBorder="1" applyAlignment="1" applyProtection="1">
      <alignment horizontal="right" wrapText="1" shrinkToFit="1"/>
      <protection hidden="1"/>
    </xf>
    <xf numFmtId="0" fontId="13" fillId="3" borderId="0" xfId="0" applyFont="1" applyFill="1" applyAlignment="1" applyProtection="1">
      <alignment shrinkToFit="1"/>
      <protection hidden="1"/>
    </xf>
    <xf numFmtId="0" fontId="13" fillId="3" borderId="2" xfId="0" applyFont="1" applyFill="1" applyBorder="1" applyAlignment="1" applyProtection="1">
      <alignment horizontal="center" shrinkToFit="1"/>
      <protection hidden="1"/>
    </xf>
    <xf numFmtId="0" fontId="13" fillId="3" borderId="4" xfId="0" applyFont="1" applyFill="1" applyBorder="1" applyAlignment="1" applyProtection="1">
      <alignment horizontal="right" wrapText="1" shrinkToFit="1"/>
      <protection hidden="1"/>
    </xf>
    <xf numFmtId="0" fontId="13" fillId="3" borderId="0" xfId="0" applyFont="1" applyFill="1" applyAlignment="1" applyProtection="1">
      <alignment horizontal="right" shrinkToFit="1"/>
      <protection hidden="1"/>
    </xf>
    <xf numFmtId="0" fontId="18" fillId="3" borderId="4" xfId="0" applyFont="1" applyFill="1" applyBorder="1" applyAlignment="1" applyProtection="1">
      <alignment horizontal="right" vertical="top" shrinkToFit="1"/>
      <protection hidden="1"/>
    </xf>
    <xf numFmtId="0" fontId="18" fillId="3" borderId="0" xfId="0" applyFont="1" applyFill="1" applyAlignment="1" applyProtection="1">
      <alignment vertical="top" shrinkToFit="1"/>
      <protection hidden="1"/>
    </xf>
    <xf numFmtId="0" fontId="15" fillId="3" borderId="0" xfId="0" applyFont="1" applyFill="1" applyAlignment="1" applyProtection="1">
      <alignment vertical="top" shrinkToFit="1"/>
      <protection hidden="1"/>
    </xf>
    <xf numFmtId="0" fontId="13" fillId="3" borderId="4" xfId="0" applyFont="1" applyFill="1" applyBorder="1" applyAlignment="1" applyProtection="1">
      <alignment shrinkToFit="1"/>
      <protection hidden="1"/>
    </xf>
    <xf numFmtId="49" fontId="13" fillId="3" borderId="0" xfId="0" applyNumberFormat="1" applyFont="1" applyFill="1" applyAlignment="1" applyProtection="1">
      <alignment horizontal="right" vertical="top" shrinkToFit="1"/>
      <protection hidden="1"/>
    </xf>
    <xf numFmtId="0" fontId="13" fillId="3" borderId="4" xfId="0" applyFont="1" applyFill="1" applyBorder="1" applyAlignment="1" applyProtection="1">
      <alignment wrapText="1" shrinkToFit="1"/>
      <protection hidden="1"/>
    </xf>
    <xf numFmtId="0" fontId="13" fillId="3" borderId="4" xfId="0" applyFont="1" applyFill="1" applyBorder="1" applyAlignment="1" applyProtection="1">
      <alignment horizontal="right" vertical="top" wrapText="1" shrinkToFit="1"/>
      <protection hidden="1"/>
    </xf>
    <xf numFmtId="0" fontId="19" fillId="3" borderId="0" xfId="1" applyNumberFormat="1" applyFont="1" applyFill="1" applyBorder="1" applyAlignment="1" applyProtection="1">
      <alignment horizontal="right" vertical="top" shrinkToFit="1"/>
      <protection hidden="1"/>
    </xf>
    <xf numFmtId="0" fontId="13" fillId="3" borderId="6" xfId="0" applyFont="1" applyFill="1" applyBorder="1" applyAlignment="1" applyProtection="1">
      <alignment horizontal="right" vertical="top" wrapText="1" shrinkToFit="1"/>
      <protection hidden="1"/>
    </xf>
    <xf numFmtId="0" fontId="13" fillId="3" borderId="7" xfId="0" applyFont="1" applyFill="1" applyBorder="1" applyAlignment="1" applyProtection="1">
      <alignment shrinkToFit="1"/>
      <protection hidden="1"/>
    </xf>
    <xf numFmtId="0" fontId="15" fillId="3" borderId="7" xfId="0" applyFont="1" applyFill="1" applyBorder="1" applyAlignment="1" applyProtection="1">
      <alignment vertical="top" shrinkToFit="1"/>
      <protection hidden="1"/>
    </xf>
    <xf numFmtId="49" fontId="13" fillId="3" borderId="7" xfId="0" applyNumberFormat="1" applyFont="1" applyFill="1" applyBorder="1" applyAlignment="1" applyProtection="1">
      <alignment horizontal="right" vertical="top" shrinkToFit="1"/>
      <protection hidden="1"/>
    </xf>
    <xf numFmtId="0" fontId="13" fillId="3" borderId="6" xfId="0" applyFont="1" applyFill="1" applyBorder="1" applyAlignment="1" applyProtection="1">
      <alignment shrinkToFit="1"/>
      <protection hidden="1"/>
    </xf>
    <xf numFmtId="0" fontId="13" fillId="3" borderId="7" xfId="0" applyFont="1" applyFill="1" applyBorder="1" applyAlignment="1" applyProtection="1">
      <alignment horizontal="right" vertical="top" shrinkToFit="1"/>
      <protection hidden="1"/>
    </xf>
    <xf numFmtId="0" fontId="20" fillId="3" borderId="7" xfId="0" applyFont="1" applyFill="1" applyBorder="1" applyAlignment="1" applyProtection="1">
      <alignment vertical="center" wrapText="1" shrinkToFit="1"/>
      <protection hidden="1"/>
    </xf>
    <xf numFmtId="0" fontId="15" fillId="3" borderId="7" xfId="0" applyFont="1" applyFill="1" applyBorder="1" applyAlignment="1" applyProtection="1">
      <alignment horizontal="left" vertical="top" shrinkToFit="1"/>
      <protection hidden="1"/>
    </xf>
    <xf numFmtId="0" fontId="21" fillId="0" borderId="12" xfId="0" applyFont="1" applyBorder="1" applyAlignment="1" applyProtection="1">
      <alignment horizontal="left" vertical="top" wrapText="1"/>
      <protection hidden="1"/>
    </xf>
    <xf numFmtId="0" fontId="13" fillId="0" borderId="0" xfId="0" applyFont="1" applyProtection="1">
      <protection hidden="1"/>
    </xf>
    <xf numFmtId="0" fontId="13" fillId="0" borderId="8" xfId="0" applyFont="1" applyBorder="1" applyAlignment="1" applyProtection="1">
      <alignment vertical="top"/>
      <protection hidden="1"/>
    </xf>
    <xf numFmtId="0" fontId="13" fillId="0" borderId="4" xfId="0" applyFont="1" applyBorder="1" applyAlignment="1" applyProtection="1">
      <alignment vertical="top"/>
      <protection hidden="1"/>
    </xf>
    <xf numFmtId="0" fontId="13" fillId="0" borderId="1" xfId="0" applyFont="1" applyBorder="1" applyAlignment="1" applyProtection="1">
      <alignment vertical="top"/>
      <protection hidden="1"/>
    </xf>
    <xf numFmtId="0" fontId="13" fillId="0" borderId="6" xfId="0" applyFont="1" applyBorder="1" applyAlignment="1" applyProtection="1">
      <alignment vertical="top"/>
      <protection hidden="1"/>
    </xf>
    <xf numFmtId="0" fontId="13" fillId="8" borderId="9" xfId="0" applyFont="1" applyFill="1" applyBorder="1" applyAlignment="1" applyProtection="1">
      <alignment vertical="top"/>
      <protection hidden="1"/>
    </xf>
    <xf numFmtId="0" fontId="13" fillId="8" borderId="11" xfId="0" applyFont="1" applyFill="1" applyBorder="1" applyAlignment="1" applyProtection="1">
      <alignment vertical="top"/>
      <protection hidden="1"/>
    </xf>
    <xf numFmtId="0" fontId="13" fillId="0" borderId="4" xfId="0" applyFont="1" applyBorder="1" applyProtection="1">
      <protection hidden="1"/>
    </xf>
    <xf numFmtId="0" fontId="13" fillId="0" borderId="1" xfId="0" applyFont="1" applyBorder="1" applyProtection="1">
      <protection hidden="1"/>
    </xf>
    <xf numFmtId="0" fontId="13" fillId="0" borderId="6" xfId="0" applyFont="1" applyBorder="1" applyProtection="1">
      <protection hidden="1"/>
    </xf>
    <xf numFmtId="0" fontId="13" fillId="0" borderId="8" xfId="0" applyFont="1" applyBorder="1" applyProtection="1">
      <protection hidden="1"/>
    </xf>
    <xf numFmtId="0" fontId="20" fillId="3" borderId="0" xfId="0" applyFont="1" applyFill="1" applyAlignment="1" applyProtection="1">
      <alignment vertical="center" wrapText="1" shrinkToFit="1"/>
      <protection hidden="1"/>
    </xf>
    <xf numFmtId="0" fontId="5" fillId="0" borderId="0" xfId="0" applyFont="1" applyAlignment="1" applyProtection="1">
      <alignment vertical="top"/>
      <protection hidden="1"/>
    </xf>
    <xf numFmtId="0" fontId="5" fillId="0" borderId="5" xfId="0" applyFont="1" applyBorder="1" applyAlignment="1" applyProtection="1">
      <alignment horizontal="center" vertical="top" wrapText="1"/>
      <protection hidden="1"/>
    </xf>
    <xf numFmtId="0" fontId="20" fillId="0" borderId="0" xfId="0" applyFont="1" applyAlignment="1" applyProtection="1">
      <alignment vertical="top" shrinkToFit="1"/>
      <protection locked="0"/>
    </xf>
    <xf numFmtId="0" fontId="13" fillId="3" borderId="2" xfId="0" applyFont="1" applyFill="1" applyBorder="1" applyAlignment="1" applyProtection="1">
      <alignment horizontal="center" vertical="center" wrapText="1"/>
      <protection hidden="1"/>
    </xf>
    <xf numFmtId="0" fontId="21" fillId="0" borderId="0" xfId="0" applyFont="1" applyAlignment="1" applyProtection="1">
      <alignment horizontal="center" vertical="top" wrapText="1"/>
      <protection hidden="1"/>
    </xf>
    <xf numFmtId="0" fontId="21" fillId="0" borderId="0" xfId="0" applyFont="1" applyAlignment="1" applyProtection="1">
      <alignment horizontal="left" vertical="top" wrapText="1"/>
      <protection hidden="1"/>
    </xf>
    <xf numFmtId="0" fontId="5" fillId="0" borderId="0" xfId="0" applyFont="1" applyAlignment="1" applyProtection="1">
      <alignment vertical="top" shrinkToFit="1"/>
      <protection locked="0"/>
    </xf>
    <xf numFmtId="0" fontId="13" fillId="3" borderId="8" xfId="0" applyFont="1" applyFill="1" applyBorder="1" applyAlignment="1" applyProtection="1">
      <alignment vertical="center" wrapText="1" shrinkToFit="1"/>
      <protection hidden="1"/>
    </xf>
    <xf numFmtId="0" fontId="13" fillId="3" borderId="1" xfId="0" applyFont="1" applyFill="1" applyBorder="1" applyProtection="1">
      <protection hidden="1"/>
    </xf>
    <xf numFmtId="0" fontId="13" fillId="0" borderId="0" xfId="0" applyFont="1" applyAlignment="1" applyProtection="1">
      <alignment horizontal="center"/>
      <protection hidden="1"/>
    </xf>
    <xf numFmtId="0" fontId="17" fillId="0" borderId="0" xfId="0" applyFont="1" applyAlignment="1" applyProtection="1">
      <alignment horizontal="left" vertical="top"/>
      <protection hidden="1"/>
    </xf>
    <xf numFmtId="0" fontId="5" fillId="0" borderId="2" xfId="0" applyFont="1" applyBorder="1" applyAlignment="1" applyProtection="1">
      <alignment vertical="top" wrapText="1"/>
      <protection hidden="1"/>
    </xf>
    <xf numFmtId="0" fontId="13" fillId="0" borderId="0" xfId="2" applyFont="1" applyAlignment="1" applyProtection="1">
      <alignment vertical="top"/>
      <protection hidden="1"/>
    </xf>
    <xf numFmtId="0" fontId="22" fillId="0" borderId="0" xfId="2" applyFont="1" applyAlignment="1" applyProtection="1">
      <alignment vertical="top"/>
      <protection hidden="1"/>
    </xf>
    <xf numFmtId="0" fontId="13" fillId="9" borderId="2" xfId="0" applyFont="1" applyFill="1" applyBorder="1" applyAlignment="1" applyProtection="1">
      <alignment vertical="top"/>
      <protection hidden="1"/>
    </xf>
    <xf numFmtId="0" fontId="5" fillId="0" borderId="1" xfId="0" applyFont="1" applyBorder="1" applyAlignment="1" applyProtection="1">
      <alignment vertical="top" wrapText="1"/>
      <protection hidden="1"/>
    </xf>
    <xf numFmtId="0" fontId="17" fillId="3" borderId="0" xfId="0" applyFont="1" applyFill="1" applyAlignment="1" applyProtection="1">
      <alignment vertical="top" wrapText="1" shrinkToFit="1"/>
      <protection hidden="1"/>
    </xf>
    <xf numFmtId="0" fontId="13" fillId="3" borderId="2" xfId="0" applyFont="1" applyFill="1" applyBorder="1" applyAlignment="1" applyProtection="1">
      <alignment vertical="top" wrapText="1"/>
      <protection hidden="1"/>
    </xf>
    <xf numFmtId="0" fontId="13" fillId="3" borderId="2" xfId="0" applyFont="1" applyFill="1" applyBorder="1" applyAlignment="1" applyProtection="1">
      <alignment vertical="center" wrapText="1"/>
      <protection hidden="1"/>
    </xf>
    <xf numFmtId="0" fontId="13" fillId="3" borderId="0" xfId="0" applyFont="1" applyFill="1" applyProtection="1">
      <protection hidden="1"/>
    </xf>
    <xf numFmtId="0" fontId="17" fillId="11" borderId="4" xfId="0" applyFont="1" applyFill="1" applyBorder="1" applyAlignment="1" applyProtection="1">
      <alignment horizontal="center" vertical="center" wrapText="1"/>
      <protection hidden="1"/>
    </xf>
    <xf numFmtId="0" fontId="19" fillId="3" borderId="2" xfId="1" applyFont="1" applyFill="1" applyBorder="1" applyAlignment="1" applyProtection="1">
      <alignment vertical="top" wrapText="1"/>
      <protection hidden="1"/>
    </xf>
    <xf numFmtId="0" fontId="17" fillId="3" borderId="0" xfId="0" applyFont="1" applyFill="1" applyAlignment="1" applyProtection="1">
      <alignment horizontal="center" vertical="top" wrapText="1"/>
      <protection hidden="1"/>
    </xf>
    <xf numFmtId="0" fontId="17" fillId="3" borderId="0" xfId="0" applyFont="1" applyFill="1" applyAlignment="1" applyProtection="1">
      <alignment horizontal="center" vertical="center" shrinkToFit="1"/>
      <protection hidden="1"/>
    </xf>
    <xf numFmtId="0" fontId="17" fillId="3" borderId="0" xfId="0" applyFont="1" applyFill="1" applyAlignment="1" applyProtection="1">
      <alignment horizontal="center" vertical="top"/>
      <protection hidden="1"/>
    </xf>
    <xf numFmtId="0" fontId="5" fillId="0" borderId="0" xfId="0" applyFont="1" applyAlignment="1" applyProtection="1">
      <alignment vertical="top"/>
      <protection locked="0"/>
    </xf>
    <xf numFmtId="0" fontId="5" fillId="0" borderId="0" xfId="0" applyFont="1" applyProtection="1">
      <protection locked="0"/>
    </xf>
    <xf numFmtId="0" fontId="3" fillId="0" borderId="0" xfId="0" applyFont="1" applyAlignment="1" applyProtection="1">
      <alignment horizontal="center"/>
      <protection locked="0"/>
    </xf>
    <xf numFmtId="0" fontId="3" fillId="0" borderId="0" xfId="0" applyFont="1" applyProtection="1">
      <protection locked="0"/>
    </xf>
    <xf numFmtId="0" fontId="13" fillId="3" borderId="7" xfId="0" applyFont="1" applyFill="1" applyBorder="1" applyAlignment="1" applyProtection="1">
      <alignment vertical="top"/>
      <protection hidden="1"/>
    </xf>
    <xf numFmtId="0" fontId="13" fillId="3" borderId="7" xfId="0" applyFont="1" applyFill="1" applyBorder="1" applyAlignment="1" applyProtection="1">
      <alignment vertical="top" wrapText="1" shrinkToFit="1"/>
      <protection hidden="1"/>
    </xf>
    <xf numFmtId="0" fontId="13" fillId="3" borderId="8" xfId="0" applyFont="1" applyFill="1" applyBorder="1" applyAlignment="1" applyProtection="1">
      <alignment vertical="top" wrapText="1" shrinkToFit="1"/>
      <protection hidden="1"/>
    </xf>
    <xf numFmtId="0" fontId="13" fillId="3" borderId="0" xfId="0" applyFont="1" applyFill="1" applyAlignment="1" applyProtection="1">
      <alignment horizontal="right" vertical="top" shrinkToFit="1"/>
      <protection hidden="1"/>
    </xf>
    <xf numFmtId="0" fontId="13" fillId="3" borderId="0" xfId="0" applyFont="1" applyFill="1" applyAlignment="1" applyProtection="1">
      <alignment vertical="top" shrinkToFit="1"/>
      <protection hidden="1"/>
    </xf>
    <xf numFmtId="0" fontId="13" fillId="0" borderId="0" xfId="0" applyFont="1" applyAlignment="1" applyProtection="1">
      <alignment vertical="top" shrinkToFit="1"/>
      <protection locked="0"/>
    </xf>
    <xf numFmtId="0" fontId="13" fillId="0" borderId="0" xfId="0" applyFont="1" applyAlignment="1" applyProtection="1">
      <alignment vertical="top" shrinkToFit="1"/>
      <protection hidden="1"/>
    </xf>
    <xf numFmtId="0" fontId="15" fillId="3" borderId="0" xfId="0" applyFont="1" applyFill="1" applyAlignment="1" applyProtection="1">
      <alignment shrinkToFit="1"/>
      <protection hidden="1"/>
    </xf>
    <xf numFmtId="0" fontId="5" fillId="9" borderId="9" xfId="0" applyFont="1" applyFill="1" applyBorder="1" applyProtection="1">
      <protection hidden="1"/>
    </xf>
    <xf numFmtId="0" fontId="5" fillId="9" borderId="10" xfId="0" applyFont="1" applyFill="1" applyBorder="1" applyProtection="1">
      <protection hidden="1"/>
    </xf>
    <xf numFmtId="0" fontId="5" fillId="9" borderId="11" xfId="0" applyFont="1" applyFill="1" applyBorder="1" applyProtection="1">
      <protection hidden="1"/>
    </xf>
    <xf numFmtId="0" fontId="13" fillId="3" borderId="7" xfId="0" applyFont="1" applyFill="1" applyBorder="1" applyAlignment="1" applyProtection="1">
      <alignment vertical="center" wrapText="1" shrinkToFit="1"/>
      <protection hidden="1"/>
    </xf>
    <xf numFmtId="0" fontId="13" fillId="13" borderId="8" xfId="0" applyFont="1" applyFill="1" applyBorder="1" applyAlignment="1" applyProtection="1">
      <alignment vertical="top"/>
      <protection hidden="1"/>
    </xf>
    <xf numFmtId="0" fontId="22" fillId="13" borderId="6" xfId="0" applyFont="1" applyFill="1" applyBorder="1" applyAlignment="1" applyProtection="1">
      <alignment vertical="top"/>
      <protection hidden="1"/>
    </xf>
    <xf numFmtId="0" fontId="5" fillId="8" borderId="9" xfId="0" applyFont="1" applyFill="1" applyBorder="1" applyAlignment="1" applyProtection="1">
      <alignment vertical="top"/>
      <protection hidden="1"/>
    </xf>
    <xf numFmtId="0" fontId="5" fillId="8" borderId="11" xfId="0" applyFont="1" applyFill="1" applyBorder="1" applyAlignment="1" applyProtection="1">
      <alignment vertical="top"/>
      <protection hidden="1"/>
    </xf>
    <xf numFmtId="0" fontId="5" fillId="0" borderId="4" xfId="0" applyFont="1" applyBorder="1" applyProtection="1">
      <protection hidden="1"/>
    </xf>
    <xf numFmtId="0" fontId="5" fillId="0" borderId="1" xfId="0" applyFont="1" applyBorder="1" applyProtection="1">
      <protection hidden="1"/>
    </xf>
    <xf numFmtId="0" fontId="5" fillId="0" borderId="6" xfId="0" applyFont="1" applyBorder="1" applyProtection="1">
      <protection hidden="1"/>
    </xf>
    <xf numFmtId="0" fontId="5" fillId="0" borderId="8" xfId="0" applyFont="1" applyBorder="1" applyProtection="1">
      <protection hidden="1"/>
    </xf>
    <xf numFmtId="0" fontId="5" fillId="0" borderId="12" xfId="0" applyFont="1" applyBorder="1" applyAlignment="1" applyProtection="1">
      <alignment vertical="center" wrapText="1"/>
      <protection hidden="1"/>
    </xf>
    <xf numFmtId="0" fontId="5" fillId="0" borderId="4" xfId="0" applyFont="1" applyBorder="1" applyAlignment="1" applyProtection="1">
      <alignment horizontal="center" vertical="top" wrapText="1"/>
      <protection hidden="1"/>
    </xf>
    <xf numFmtId="0" fontId="5" fillId="0" borderId="2" xfId="0" applyFont="1" applyBorder="1" applyAlignment="1" applyProtection="1">
      <alignment vertical="center" wrapText="1"/>
      <protection hidden="1"/>
    </xf>
    <xf numFmtId="0" fontId="5" fillId="0" borderId="8" xfId="0" applyFont="1" applyBorder="1" applyAlignment="1" applyProtection="1">
      <alignment vertical="top" wrapText="1"/>
      <protection hidden="1"/>
    </xf>
    <xf numFmtId="0" fontId="5" fillId="0" borderId="15" xfId="0" applyFont="1" applyBorder="1" applyAlignment="1" applyProtection="1">
      <alignment wrapText="1"/>
      <protection hidden="1"/>
    </xf>
    <xf numFmtId="0" fontId="13" fillId="0" borderId="0" xfId="0" applyFont="1" applyAlignment="1" applyProtection="1">
      <alignment horizontal="center"/>
      <protection locked="0"/>
    </xf>
    <xf numFmtId="0" fontId="13" fillId="0" borderId="0" xfId="0" applyFont="1" applyAlignment="1" applyProtection="1">
      <alignment vertical="top"/>
      <protection locked="0"/>
    </xf>
    <xf numFmtId="14" fontId="13" fillId="0" borderId="0" xfId="0" applyNumberFormat="1" applyFont="1" applyAlignment="1" applyProtection="1">
      <alignment vertical="top"/>
      <protection locked="0"/>
    </xf>
    <xf numFmtId="22" fontId="13" fillId="0" borderId="0" xfId="0" applyNumberFormat="1" applyFont="1" applyAlignment="1" applyProtection="1">
      <alignment vertical="top"/>
      <protection locked="0"/>
    </xf>
    <xf numFmtId="0" fontId="27" fillId="0" borderId="0" xfId="0" applyFont="1" applyProtection="1">
      <protection hidden="1"/>
    </xf>
    <xf numFmtId="0" fontId="28" fillId="3" borderId="7" xfId="0" applyFont="1" applyFill="1" applyBorder="1" applyAlignment="1" applyProtection="1">
      <alignment horizontal="center" vertical="top"/>
      <protection hidden="1"/>
    </xf>
    <xf numFmtId="0" fontId="28" fillId="3" borderId="8" xfId="0" applyFont="1" applyFill="1" applyBorder="1" applyAlignment="1" applyProtection="1">
      <alignment horizontal="center" vertical="center"/>
      <protection hidden="1"/>
    </xf>
    <xf numFmtId="0" fontId="29" fillId="3" borderId="10" xfId="0" applyFont="1" applyFill="1" applyBorder="1" applyAlignment="1" applyProtection="1">
      <alignment horizontal="center" vertical="center"/>
      <protection hidden="1"/>
    </xf>
    <xf numFmtId="0" fontId="29" fillId="3" borderId="11" xfId="0" applyFont="1" applyFill="1" applyBorder="1" applyAlignment="1" applyProtection="1">
      <alignment horizontal="center" vertical="center"/>
      <protection hidden="1"/>
    </xf>
    <xf numFmtId="0" fontId="13" fillId="3" borderId="0" xfId="1" applyFont="1" applyFill="1" applyBorder="1" applyAlignment="1" applyProtection="1">
      <alignment vertical="center" wrapText="1"/>
      <protection hidden="1"/>
    </xf>
    <xf numFmtId="0" fontId="13" fillId="3" borderId="1" xfId="1" applyFont="1" applyFill="1" applyBorder="1" applyAlignment="1" applyProtection="1">
      <alignment vertical="center" wrapText="1"/>
      <protection hidden="1"/>
    </xf>
    <xf numFmtId="0" fontId="19" fillId="3" borderId="2" xfId="1" applyFont="1" applyFill="1" applyBorder="1" applyAlignment="1" applyProtection="1">
      <alignment horizontal="center" vertical="center" wrapText="1"/>
      <protection hidden="1"/>
    </xf>
    <xf numFmtId="0" fontId="19" fillId="3" borderId="2" xfId="1" applyFont="1" applyFill="1" applyBorder="1" applyAlignment="1" applyProtection="1">
      <alignment horizontal="center" vertical="center"/>
      <protection hidden="1"/>
    </xf>
    <xf numFmtId="0" fontId="13" fillId="0" borderId="0" xfId="0" applyFont="1" applyProtection="1">
      <protection locked="0"/>
    </xf>
    <xf numFmtId="0" fontId="13" fillId="6" borderId="0" xfId="0" applyFont="1" applyFill="1" applyAlignment="1" applyProtection="1">
      <alignment horizontal="center" shrinkToFit="1"/>
      <protection locked="0"/>
    </xf>
    <xf numFmtId="0" fontId="13" fillId="3" borderId="10" xfId="0" applyFont="1" applyFill="1" applyBorder="1" applyProtection="1">
      <protection hidden="1"/>
    </xf>
    <xf numFmtId="0" fontId="13" fillId="3" borderId="11" xfId="0" applyFont="1" applyFill="1" applyBorder="1" applyProtection="1">
      <protection hidden="1"/>
    </xf>
    <xf numFmtId="0" fontId="13" fillId="3" borderId="4" xfId="1" applyFont="1" applyFill="1" applyBorder="1" applyAlignment="1" applyProtection="1">
      <alignment horizontal="right" vertical="top" shrinkToFit="1"/>
      <protection hidden="1"/>
    </xf>
    <xf numFmtId="0" fontId="13" fillId="3" borderId="0" xfId="1" applyFont="1" applyFill="1" applyBorder="1" applyAlignment="1" applyProtection="1">
      <alignment horizontal="right" vertical="top" shrinkToFit="1"/>
      <protection hidden="1"/>
    </xf>
    <xf numFmtId="0" fontId="17" fillId="3" borderId="0" xfId="0" applyFont="1" applyFill="1" applyAlignment="1" applyProtection="1">
      <alignment vertical="top" shrinkToFit="1"/>
      <protection hidden="1"/>
    </xf>
    <xf numFmtId="0" fontId="13" fillId="3" borderId="7" xfId="0" applyFont="1" applyFill="1" applyBorder="1" applyProtection="1">
      <protection hidden="1"/>
    </xf>
    <xf numFmtId="0" fontId="5" fillId="8" borderId="10" xfId="0" applyFont="1" applyFill="1" applyBorder="1" applyAlignment="1" applyProtection="1">
      <alignment vertical="top"/>
      <protection hidden="1"/>
    </xf>
    <xf numFmtId="0" fontId="8" fillId="0" borderId="0" xfId="0" applyFont="1" applyProtection="1">
      <protection hidden="1"/>
    </xf>
    <xf numFmtId="0" fontId="5" fillId="0" borderId="7" xfId="0" applyFont="1" applyBorder="1" applyProtection="1">
      <protection hidden="1"/>
    </xf>
    <xf numFmtId="0" fontId="5" fillId="7" borderId="0" xfId="0" applyFont="1" applyFill="1" applyProtection="1">
      <protection hidden="1"/>
    </xf>
    <xf numFmtId="0" fontId="5" fillId="7" borderId="7" xfId="0" applyFont="1" applyFill="1" applyBorder="1" applyProtection="1">
      <protection hidden="1"/>
    </xf>
    <xf numFmtId="0" fontId="5" fillId="0" borderId="13" xfId="0" applyFont="1" applyBorder="1" applyAlignment="1" applyProtection="1">
      <alignment horizontal="center"/>
      <protection hidden="1"/>
    </xf>
    <xf numFmtId="0" fontId="5" fillId="0" borderId="8" xfId="0" applyFont="1" applyBorder="1" applyAlignment="1" applyProtection="1">
      <alignment horizontal="center"/>
      <protection hidden="1"/>
    </xf>
    <xf numFmtId="0" fontId="5" fillId="0" borderId="7" xfId="0" applyFont="1" applyBorder="1" applyAlignment="1" applyProtection="1">
      <alignment horizontal="left" vertical="center" readingOrder="1"/>
      <protection hidden="1"/>
    </xf>
    <xf numFmtId="0" fontId="5" fillId="0" borderId="7" xfId="0" applyFont="1" applyBorder="1" applyAlignment="1" applyProtection="1">
      <alignment horizontal="center"/>
      <protection hidden="1"/>
    </xf>
    <xf numFmtId="0" fontId="5" fillId="0" borderId="12" xfId="0" applyFont="1" applyBorder="1" applyAlignment="1" applyProtection="1">
      <alignment horizontal="center"/>
      <protection hidden="1"/>
    </xf>
    <xf numFmtId="0" fontId="5" fillId="0" borderId="1" xfId="0" applyFont="1" applyBorder="1" applyAlignment="1" applyProtection="1">
      <alignment horizontal="center"/>
      <protection hidden="1"/>
    </xf>
    <xf numFmtId="0" fontId="33" fillId="0" borderId="7" xfId="0" applyFont="1" applyBorder="1" applyAlignment="1" applyProtection="1">
      <alignment vertical="center" readingOrder="1"/>
      <protection hidden="1"/>
    </xf>
    <xf numFmtId="0" fontId="33" fillId="0" borderId="0" xfId="0" applyFont="1" applyAlignment="1" applyProtection="1">
      <alignment vertical="center" readingOrder="1"/>
      <protection hidden="1"/>
    </xf>
    <xf numFmtId="0" fontId="5" fillId="0" borderId="11" xfId="0" applyFont="1" applyBorder="1" applyAlignment="1" applyProtection="1">
      <alignment horizontal="center"/>
      <protection hidden="1"/>
    </xf>
    <xf numFmtId="0" fontId="5" fillId="0" borderId="10" xfId="0" applyFont="1" applyBorder="1" applyProtection="1">
      <protection hidden="1"/>
    </xf>
    <xf numFmtId="0" fontId="33" fillId="0" borderId="10" xfId="0" applyFont="1" applyBorder="1" applyAlignment="1" applyProtection="1">
      <alignment vertical="center" readingOrder="1"/>
      <protection hidden="1"/>
    </xf>
    <xf numFmtId="0" fontId="5" fillId="0" borderId="10" xfId="0" applyFont="1" applyBorder="1" applyAlignment="1" applyProtection="1">
      <alignment horizontal="center"/>
      <protection hidden="1"/>
    </xf>
    <xf numFmtId="0" fontId="6" fillId="14" borderId="2" xfId="0" applyFont="1" applyFill="1" applyBorder="1" applyAlignment="1" applyProtection="1">
      <alignment vertical="top"/>
      <protection hidden="1"/>
    </xf>
    <xf numFmtId="0" fontId="6" fillId="14" borderId="2" xfId="0" applyFont="1" applyFill="1" applyBorder="1" applyProtection="1">
      <protection hidden="1"/>
    </xf>
    <xf numFmtId="0" fontId="13" fillId="3" borderId="12" xfId="0" applyFont="1" applyFill="1" applyBorder="1" applyAlignment="1" applyProtection="1">
      <alignment vertical="center" shrinkToFit="1"/>
      <protection hidden="1"/>
    </xf>
    <xf numFmtId="0" fontId="13" fillId="3" borderId="13" xfId="0" applyFont="1" applyFill="1" applyBorder="1" applyAlignment="1" applyProtection="1">
      <alignment vertical="center" shrinkToFit="1"/>
      <protection hidden="1"/>
    </xf>
    <xf numFmtId="0" fontId="13" fillId="6" borderId="3" xfId="0" applyFont="1" applyFill="1" applyBorder="1" applyAlignment="1" applyProtection="1">
      <alignment horizontal="center" shrinkToFit="1"/>
      <protection locked="0"/>
    </xf>
    <xf numFmtId="0" fontId="13" fillId="6" borderId="12" xfId="0" applyFont="1" applyFill="1" applyBorder="1" applyAlignment="1" applyProtection="1">
      <alignment horizontal="center" shrinkToFit="1"/>
      <protection locked="0"/>
    </xf>
    <xf numFmtId="0" fontId="22" fillId="0" borderId="10" xfId="0" applyFont="1" applyBorder="1" applyAlignment="1" applyProtection="1">
      <alignment vertical="top"/>
      <protection hidden="1"/>
    </xf>
    <xf numFmtId="0" fontId="13" fillId="0" borderId="10" xfId="0" applyFont="1" applyBorder="1" applyAlignment="1" applyProtection="1">
      <alignment horizontal="left" vertical="top" readingOrder="1"/>
      <protection hidden="1"/>
    </xf>
    <xf numFmtId="0" fontId="13" fillId="0" borderId="11" xfId="0" applyFont="1" applyBorder="1" applyAlignment="1" applyProtection="1">
      <alignment horizontal="center" vertical="top"/>
      <protection hidden="1"/>
    </xf>
    <xf numFmtId="0" fontId="13" fillId="0" borderId="3" xfId="0" applyFont="1" applyBorder="1" applyAlignment="1" applyProtection="1">
      <alignment horizontal="center"/>
      <protection hidden="1"/>
    </xf>
    <xf numFmtId="0" fontId="13" fillId="0" borderId="0" xfId="0" applyFont="1" applyAlignment="1" applyProtection="1">
      <alignment vertical="top" wrapText="1"/>
      <protection hidden="1"/>
    </xf>
    <xf numFmtId="0" fontId="13" fillId="0" borderId="21" xfId="0" applyFont="1" applyBorder="1" applyAlignment="1" applyProtection="1">
      <alignment vertical="top" wrapText="1"/>
      <protection hidden="1"/>
    </xf>
    <xf numFmtId="0" fontId="13" fillId="0" borderId="22" xfId="0" applyFont="1" applyBorder="1" applyAlignment="1" applyProtection="1">
      <alignment vertical="top"/>
      <protection hidden="1"/>
    </xf>
    <xf numFmtId="0" fontId="13" fillId="0" borderId="22" xfId="0" applyFont="1" applyBorder="1" applyAlignment="1" applyProtection="1">
      <alignment vertical="top" wrapText="1"/>
      <protection hidden="1"/>
    </xf>
    <xf numFmtId="0" fontId="13" fillId="0" borderId="21" xfId="0" applyFont="1" applyBorder="1" applyAlignment="1" applyProtection="1">
      <alignment vertical="top" wrapText="1" shrinkToFit="1"/>
      <protection hidden="1"/>
    </xf>
    <xf numFmtId="0" fontId="13" fillId="0" borderId="21" xfId="0" applyFont="1" applyBorder="1" applyAlignment="1" applyProtection="1">
      <alignment vertical="top"/>
      <protection hidden="1"/>
    </xf>
    <xf numFmtId="0" fontId="13" fillId="0" borderId="21" xfId="0" applyFont="1" applyBorder="1" applyAlignment="1" applyProtection="1">
      <alignment vertical="top" shrinkToFit="1"/>
      <protection hidden="1"/>
    </xf>
    <xf numFmtId="0" fontId="13" fillId="0" borderId="21" xfId="2" applyFont="1" applyBorder="1" applyAlignment="1" applyProtection="1">
      <alignment vertical="top" wrapText="1"/>
      <protection hidden="1"/>
    </xf>
    <xf numFmtId="0" fontId="13" fillId="0" borderId="22" xfId="2" applyFont="1" applyBorder="1" applyAlignment="1" applyProtection="1">
      <alignment vertical="top" wrapText="1"/>
      <protection hidden="1"/>
    </xf>
    <xf numFmtId="0" fontId="13" fillId="0" borderId="22" xfId="2" applyFont="1" applyBorder="1" applyAlignment="1" applyProtection="1">
      <alignment vertical="top"/>
      <protection hidden="1"/>
    </xf>
    <xf numFmtId="0" fontId="13" fillId="0" borderId="23" xfId="0" applyFont="1" applyBorder="1" applyAlignment="1" applyProtection="1">
      <alignment vertical="top"/>
      <protection hidden="1"/>
    </xf>
    <xf numFmtId="0" fontId="13" fillId="0" borderId="24" xfId="0" applyFont="1" applyBorder="1" applyAlignment="1" applyProtection="1">
      <alignment vertical="top"/>
      <protection hidden="1"/>
    </xf>
    <xf numFmtId="0" fontId="13" fillId="0" borderId="24" xfId="0" applyFont="1" applyBorder="1" applyAlignment="1" applyProtection="1">
      <alignment vertical="top" wrapText="1"/>
      <protection hidden="1"/>
    </xf>
    <xf numFmtId="0" fontId="5" fillId="0" borderId="0" xfId="2" applyFont="1" applyProtection="1">
      <protection hidden="1"/>
    </xf>
    <xf numFmtId="0" fontId="4" fillId="0" borderId="0" xfId="0" applyFont="1" applyAlignment="1" applyProtection="1">
      <alignment horizontal="center" vertical="top" wrapText="1"/>
      <protection hidden="1"/>
    </xf>
    <xf numFmtId="0" fontId="5" fillId="0" borderId="0" xfId="0" applyFont="1" applyAlignment="1" applyProtection="1">
      <alignment vertical="top" wrapText="1"/>
      <protection hidden="1"/>
    </xf>
    <xf numFmtId="0" fontId="5" fillId="0" borderId="0" xfId="2" applyFont="1" applyAlignment="1" applyProtection="1">
      <alignment vertical="top" wrapText="1"/>
      <protection hidden="1"/>
    </xf>
    <xf numFmtId="0" fontId="5" fillId="0" borderId="0" xfId="0" applyFont="1" applyAlignment="1" applyProtection="1">
      <alignment horizontal="center" vertical="top" wrapText="1"/>
      <protection hidden="1"/>
    </xf>
    <xf numFmtId="0" fontId="5" fillId="0" borderId="0" xfId="0" applyFont="1" applyAlignment="1" applyProtection="1">
      <alignment horizontal="center" wrapText="1"/>
      <protection hidden="1"/>
    </xf>
    <xf numFmtId="0" fontId="5" fillId="0" borderId="0" xfId="0" quotePrefix="1" applyFont="1" applyAlignment="1" applyProtection="1">
      <alignment wrapText="1"/>
      <protection hidden="1"/>
    </xf>
    <xf numFmtId="0" fontId="6" fillId="10" borderId="3" xfId="0" applyFont="1" applyFill="1" applyBorder="1" applyAlignment="1" applyProtection="1">
      <alignment vertical="top" wrapText="1"/>
      <protection hidden="1"/>
    </xf>
    <xf numFmtId="0" fontId="6" fillId="10" borderId="3" xfId="0" applyFont="1" applyFill="1" applyBorder="1" applyAlignment="1" applyProtection="1">
      <alignment horizontal="center" vertical="top" wrapText="1"/>
      <protection hidden="1"/>
    </xf>
    <xf numFmtId="0" fontId="5" fillId="0" borderId="2" xfId="2" applyFont="1" applyBorder="1" applyProtection="1">
      <protection hidden="1"/>
    </xf>
    <xf numFmtId="0" fontId="5" fillId="0" borderId="5" xfId="2" applyFont="1" applyBorder="1" applyAlignment="1" applyProtection="1">
      <alignment horizontal="center" vertical="top" wrapText="1"/>
      <protection hidden="1"/>
    </xf>
    <xf numFmtId="0" fontId="5" fillId="0" borderId="11" xfId="2" applyFont="1" applyBorder="1" applyAlignment="1" applyProtection="1">
      <alignment vertical="top" wrapText="1"/>
      <protection hidden="1"/>
    </xf>
    <xf numFmtId="0" fontId="5" fillId="0" borderId="1" xfId="2" applyFont="1" applyBorder="1" applyAlignment="1" applyProtection="1">
      <alignment vertical="top" wrapText="1"/>
      <protection hidden="1"/>
    </xf>
    <xf numFmtId="0" fontId="5" fillId="0" borderId="15" xfId="2" applyFont="1" applyBorder="1" applyAlignment="1" applyProtection="1">
      <alignment vertical="top"/>
      <protection hidden="1"/>
    </xf>
    <xf numFmtId="0" fontId="5" fillId="0" borderId="11" xfId="2" applyFont="1" applyBorder="1" applyAlignment="1" applyProtection="1">
      <alignment vertical="center"/>
      <protection hidden="1"/>
    </xf>
    <xf numFmtId="0" fontId="5" fillId="0" borderId="1" xfId="2" applyFont="1" applyBorder="1" applyAlignment="1" applyProtection="1">
      <alignment vertical="center"/>
      <protection hidden="1"/>
    </xf>
    <xf numFmtId="0" fontId="25" fillId="0" borderId="1" xfId="2" applyFont="1" applyBorder="1" applyAlignment="1" applyProtection="1">
      <alignment vertical="center"/>
      <protection hidden="1"/>
    </xf>
    <xf numFmtId="0" fontId="5" fillId="0" borderId="8" xfId="2" applyFont="1" applyBorder="1" applyAlignment="1" applyProtection="1">
      <alignment vertical="center"/>
      <protection hidden="1"/>
    </xf>
    <xf numFmtId="0" fontId="5" fillId="0" borderId="2" xfId="2" applyFont="1" applyBorder="1" applyAlignment="1" applyProtection="1">
      <alignment vertical="top"/>
      <protection hidden="1"/>
    </xf>
    <xf numFmtId="0" fontId="5" fillId="0" borderId="3" xfId="2" applyFont="1" applyBorder="1" applyAlignment="1" applyProtection="1">
      <alignment vertical="top"/>
      <protection hidden="1"/>
    </xf>
    <xf numFmtId="0" fontId="5" fillId="0" borderId="9" xfId="2" applyFont="1" applyBorder="1" applyAlignment="1" applyProtection="1">
      <alignment horizontal="center" vertical="top" wrapText="1"/>
      <protection hidden="1"/>
    </xf>
    <xf numFmtId="0" fontId="5" fillId="0" borderId="2" xfId="2" applyFont="1" applyBorder="1" applyAlignment="1" applyProtection="1">
      <alignment vertical="top" wrapText="1"/>
      <protection hidden="1"/>
    </xf>
    <xf numFmtId="0" fontId="5" fillId="0" borderId="8" xfId="2" applyFont="1" applyBorder="1" applyAlignment="1" applyProtection="1">
      <alignment vertical="top" wrapText="1"/>
      <protection hidden="1"/>
    </xf>
    <xf numFmtId="0" fontId="8" fillId="8" borderId="9" xfId="0" applyFont="1" applyFill="1" applyBorder="1" applyProtection="1">
      <protection hidden="1"/>
    </xf>
    <xf numFmtId="0" fontId="8" fillId="8" borderId="10" xfId="0" applyFont="1" applyFill="1" applyBorder="1" applyProtection="1">
      <protection hidden="1"/>
    </xf>
    <xf numFmtId="0" fontId="8" fillId="8" borderId="11" xfId="0" applyFont="1" applyFill="1" applyBorder="1" applyProtection="1">
      <protection hidden="1"/>
    </xf>
    <xf numFmtId="0" fontId="8" fillId="0" borderId="0" xfId="0" applyFont="1"/>
    <xf numFmtId="0" fontId="32" fillId="0" borderId="0" xfId="0" applyFont="1"/>
    <xf numFmtId="0" fontId="5" fillId="0" borderId="0" xfId="0" applyFont="1"/>
    <xf numFmtId="0" fontId="8" fillId="0" borderId="16" xfId="0" applyFont="1" applyBorder="1"/>
    <xf numFmtId="0" fontId="8" fillId="0" borderId="7" xfId="0" applyFont="1" applyBorder="1"/>
    <xf numFmtId="0" fontId="8" fillId="7" borderId="0" xfId="0" applyFont="1" applyFill="1"/>
    <xf numFmtId="0" fontId="8" fillId="0" borderId="4" xfId="0" applyFont="1" applyBorder="1"/>
    <xf numFmtId="0" fontId="8" fillId="0" borderId="1" xfId="0" applyFont="1" applyBorder="1"/>
    <xf numFmtId="0" fontId="36" fillId="0" borderId="0" xfId="3" applyFont="1"/>
    <xf numFmtId="0" fontId="32" fillId="13" borderId="6" xfId="0" applyFont="1" applyFill="1" applyBorder="1"/>
    <xf numFmtId="0" fontId="8" fillId="13" borderId="7" xfId="0" applyFont="1" applyFill="1" applyBorder="1"/>
    <xf numFmtId="0" fontId="8" fillId="13" borderId="8" xfId="0" applyFont="1" applyFill="1" applyBorder="1"/>
    <xf numFmtId="0" fontId="37" fillId="8" borderId="9" xfId="2" applyFont="1" applyFill="1" applyBorder="1" applyAlignment="1" applyProtection="1">
      <alignment vertical="top"/>
      <protection hidden="1"/>
    </xf>
    <xf numFmtId="0" fontId="37" fillId="8" borderId="11" xfId="2" applyFont="1" applyFill="1" applyBorder="1" applyAlignment="1" applyProtection="1">
      <alignment vertical="top"/>
      <protection hidden="1"/>
    </xf>
    <xf numFmtId="0" fontId="5" fillId="0" borderId="4" xfId="2" applyFont="1" applyBorder="1" applyProtection="1">
      <protection hidden="1"/>
    </xf>
    <xf numFmtId="0" fontId="5" fillId="0" borderId="1" xfId="2" applyFont="1" applyBorder="1" applyProtection="1">
      <protection hidden="1"/>
    </xf>
    <xf numFmtId="0" fontId="37" fillId="0" borderId="6" xfId="2" applyFont="1" applyBorder="1" applyAlignment="1" applyProtection="1">
      <alignment vertical="top"/>
      <protection hidden="1"/>
    </xf>
    <xf numFmtId="0" fontId="5" fillId="13" borderId="8" xfId="2" applyFont="1" applyFill="1" applyBorder="1" applyAlignment="1" applyProtection="1">
      <alignment vertical="top"/>
      <protection hidden="1"/>
    </xf>
    <xf numFmtId="0" fontId="13" fillId="0" borderId="0" xfId="0" applyFont="1" applyAlignment="1" applyProtection="1">
      <alignment vertical="top" shrinkToFit="1"/>
      <protection locked="0"/>
    </xf>
    <xf numFmtId="0" fontId="13" fillId="3" borderId="4" xfId="0" applyFont="1" applyFill="1" applyBorder="1" applyAlignment="1" applyProtection="1">
      <alignment horizontal="right" vertical="top" shrinkToFit="1"/>
      <protection hidden="1"/>
    </xf>
    <xf numFmtId="0" fontId="13" fillId="3" borderId="0" xfId="0" applyFont="1" applyFill="1" applyAlignment="1" applyProtection="1">
      <alignment horizontal="right" vertical="top" shrinkToFit="1"/>
      <protection hidden="1"/>
    </xf>
    <xf numFmtId="14" fontId="13" fillId="6" borderId="0" xfId="0" applyNumberFormat="1" applyFont="1" applyFill="1" applyAlignment="1" applyProtection="1">
      <alignment horizontal="center" vertical="top" shrinkToFit="1"/>
      <protection locked="0"/>
    </xf>
    <xf numFmtId="0" fontId="19" fillId="0" borderId="0" xfId="1" applyFont="1" applyFill="1" applyBorder="1" applyAlignment="1" applyProtection="1">
      <alignment vertical="top" shrinkToFit="1"/>
      <protection locked="0"/>
    </xf>
    <xf numFmtId="0" fontId="18" fillId="0" borderId="0" xfId="1" applyFont="1" applyFill="1" applyBorder="1" applyAlignment="1" applyProtection="1">
      <alignment vertical="top" shrinkToFit="1"/>
      <protection locked="0"/>
    </xf>
    <xf numFmtId="49" fontId="13" fillId="0" borderId="0" xfId="0" applyNumberFormat="1" applyFont="1" applyAlignment="1" applyProtection="1">
      <alignment horizontal="center" shrinkToFit="1"/>
      <protection locked="0"/>
    </xf>
    <xf numFmtId="0" fontId="12" fillId="4" borderId="9" xfId="0" applyFont="1" applyFill="1" applyBorder="1" applyAlignment="1" applyProtection="1">
      <alignment horizontal="center" vertical="center" wrapText="1"/>
      <protection hidden="1"/>
    </xf>
    <xf numFmtId="0" fontId="12" fillId="4" borderId="10" xfId="0" applyFont="1" applyFill="1" applyBorder="1" applyAlignment="1" applyProtection="1">
      <alignment horizontal="center" vertical="center" wrapText="1"/>
      <protection hidden="1"/>
    </xf>
    <xf numFmtId="0" fontId="12" fillId="4" borderId="6" xfId="0" applyFont="1" applyFill="1" applyBorder="1" applyAlignment="1" applyProtection="1">
      <alignment horizontal="center" vertical="center" wrapText="1"/>
      <protection hidden="1"/>
    </xf>
    <xf numFmtId="0" fontId="12" fillId="4" borderId="7" xfId="0" applyFont="1" applyFill="1" applyBorder="1" applyAlignment="1" applyProtection="1">
      <alignment horizontal="center" vertical="center" wrapText="1"/>
      <protection hidden="1"/>
    </xf>
    <xf numFmtId="0" fontId="9" fillId="3" borderId="10" xfId="0" applyFont="1" applyFill="1" applyBorder="1" applyAlignment="1" applyProtection="1">
      <alignment horizontal="center" vertical="center"/>
      <protection hidden="1"/>
    </xf>
    <xf numFmtId="0" fontId="30" fillId="3" borderId="7" xfId="0" applyFont="1" applyFill="1" applyBorder="1" applyAlignment="1" applyProtection="1">
      <alignment horizontal="center" vertical="center"/>
      <protection hidden="1"/>
    </xf>
    <xf numFmtId="0" fontId="13" fillId="0" borderId="0" xfId="0" applyFont="1" applyAlignment="1" applyProtection="1">
      <alignment vertical="top" shrinkToFit="1"/>
      <protection hidden="1"/>
    </xf>
    <xf numFmtId="0" fontId="15" fillId="3" borderId="9" xfId="0" applyFont="1" applyFill="1" applyBorder="1" applyAlignment="1" applyProtection="1">
      <alignment vertical="top" shrinkToFit="1"/>
      <protection hidden="1"/>
    </xf>
    <xf numFmtId="0" fontId="15" fillId="3" borderId="10" xfId="0" applyFont="1" applyFill="1" applyBorder="1" applyAlignment="1" applyProtection="1">
      <alignment vertical="top" shrinkToFit="1"/>
      <protection hidden="1"/>
    </xf>
    <xf numFmtId="0" fontId="17" fillId="3" borderId="9" xfId="0" applyFont="1" applyFill="1" applyBorder="1" applyAlignment="1" applyProtection="1">
      <alignment shrinkToFit="1"/>
      <protection hidden="1"/>
    </xf>
    <xf numFmtId="0" fontId="17" fillId="3" borderId="10" xfId="0" applyFont="1" applyFill="1" applyBorder="1" applyAlignment="1" applyProtection="1">
      <alignment shrinkToFit="1"/>
      <protection hidden="1"/>
    </xf>
    <xf numFmtId="0" fontId="13" fillId="3" borderId="10" xfId="0" applyFont="1" applyFill="1" applyBorder="1" applyProtection="1">
      <protection hidden="1"/>
    </xf>
    <xf numFmtId="0" fontId="13" fillId="3" borderId="11" xfId="0" applyFont="1" applyFill="1" applyBorder="1" applyProtection="1">
      <protection hidden="1"/>
    </xf>
    <xf numFmtId="0" fontId="19" fillId="3" borderId="4" xfId="1" applyFont="1" applyFill="1" applyBorder="1" applyAlignment="1" applyProtection="1">
      <alignment horizontal="right" vertical="top" shrinkToFit="1"/>
      <protection hidden="1"/>
    </xf>
    <xf numFmtId="0" fontId="19" fillId="3" borderId="0" xfId="1" applyFont="1" applyFill="1" applyBorder="1" applyAlignment="1" applyProtection="1">
      <alignment horizontal="right" vertical="top" shrinkToFit="1"/>
      <protection hidden="1"/>
    </xf>
    <xf numFmtId="0" fontId="15" fillId="3" borderId="10" xfId="0" applyFont="1" applyFill="1" applyBorder="1" applyAlignment="1" applyProtection="1">
      <alignment shrinkToFit="1"/>
      <protection hidden="1"/>
    </xf>
    <xf numFmtId="0" fontId="13" fillId="0" borderId="0" xfId="0" applyFont="1" applyAlignment="1" applyProtection="1">
      <alignment horizontal="center" vertical="top" wrapText="1" shrinkToFit="1"/>
      <protection locked="0"/>
    </xf>
    <xf numFmtId="0" fontId="13" fillId="0" borderId="1" xfId="0" applyFont="1" applyBorder="1" applyAlignment="1" applyProtection="1">
      <alignment horizontal="center" vertical="top" wrapText="1" shrinkToFit="1"/>
      <protection locked="0"/>
    </xf>
    <xf numFmtId="0" fontId="20" fillId="3" borderId="0" xfId="0" applyFont="1" applyFill="1" applyAlignment="1" applyProtection="1">
      <alignment horizontal="center" vertical="center" wrapText="1" shrinkToFit="1"/>
      <protection hidden="1"/>
    </xf>
    <xf numFmtId="0" fontId="13" fillId="3" borderId="19" xfId="0" applyFont="1" applyFill="1" applyBorder="1" applyAlignment="1" applyProtection="1">
      <alignment vertical="center" wrapText="1" shrinkToFit="1"/>
      <protection hidden="1"/>
    </xf>
    <xf numFmtId="0" fontId="13" fillId="3" borderId="20" xfId="0" applyFont="1" applyFill="1" applyBorder="1" applyAlignment="1" applyProtection="1">
      <alignment vertical="center" wrapText="1" shrinkToFit="1"/>
      <protection hidden="1"/>
    </xf>
    <xf numFmtId="0" fontId="19" fillId="3" borderId="17" xfId="1" applyFont="1" applyFill="1" applyBorder="1" applyAlignment="1" applyProtection="1">
      <alignment horizontal="center" vertical="center" wrapText="1"/>
      <protection hidden="1"/>
    </xf>
    <xf numFmtId="0" fontId="19" fillId="3" borderId="18" xfId="1" applyFont="1" applyFill="1" applyBorder="1" applyAlignment="1" applyProtection="1">
      <alignment horizontal="center" vertical="center" wrapText="1"/>
      <protection hidden="1"/>
    </xf>
    <xf numFmtId="0" fontId="13" fillId="3" borderId="10" xfId="0" applyFont="1" applyFill="1" applyBorder="1" applyAlignment="1" applyProtection="1">
      <alignment vertical="top" shrinkToFit="1"/>
      <protection hidden="1"/>
    </xf>
    <xf numFmtId="0" fontId="13" fillId="3" borderId="11" xfId="0" applyFont="1" applyFill="1" applyBorder="1" applyAlignment="1" applyProtection="1">
      <alignment vertical="top" shrinkToFit="1"/>
      <protection hidden="1"/>
    </xf>
    <xf numFmtId="0" fontId="13" fillId="3" borderId="3" xfId="0" applyFont="1" applyFill="1" applyBorder="1" applyAlignment="1" applyProtection="1">
      <alignment vertical="top" wrapText="1"/>
      <protection hidden="1"/>
    </xf>
    <xf numFmtId="0" fontId="13" fillId="3" borderId="13" xfId="0" applyFont="1" applyFill="1" applyBorder="1" applyAlignment="1" applyProtection="1">
      <alignment vertical="top" wrapText="1"/>
      <protection hidden="1"/>
    </xf>
    <xf numFmtId="0" fontId="19" fillId="3" borderId="3" xfId="1" applyFont="1" applyFill="1" applyBorder="1" applyAlignment="1" applyProtection="1">
      <alignment vertical="top" wrapText="1"/>
      <protection hidden="1"/>
    </xf>
    <xf numFmtId="0" fontId="19" fillId="3" borderId="13" xfId="1" applyFont="1" applyFill="1" applyBorder="1" applyAlignment="1" applyProtection="1">
      <alignment vertical="top" wrapText="1"/>
      <protection hidden="1"/>
    </xf>
    <xf numFmtId="0" fontId="17" fillId="3" borderId="3" xfId="0" applyFont="1" applyFill="1" applyBorder="1" applyAlignment="1" applyProtection="1">
      <alignment horizontal="center" vertical="center" wrapText="1"/>
      <protection hidden="1"/>
    </xf>
    <xf numFmtId="0" fontId="17" fillId="3" borderId="13" xfId="0" applyFont="1" applyFill="1" applyBorder="1" applyAlignment="1" applyProtection="1">
      <alignment horizontal="center" vertical="center" wrapText="1"/>
      <protection hidden="1"/>
    </xf>
    <xf numFmtId="0" fontId="7" fillId="5" borderId="4" xfId="0" applyFont="1" applyFill="1" applyBorder="1" applyAlignment="1" applyProtection="1">
      <alignment vertical="top" shrinkToFit="1"/>
      <protection hidden="1"/>
    </xf>
    <xf numFmtId="0" fontId="7" fillId="5" borderId="0" xfId="0" applyFont="1" applyFill="1" applyAlignment="1" applyProtection="1">
      <alignment vertical="top" shrinkToFit="1"/>
      <protection hidden="1"/>
    </xf>
    <xf numFmtId="0" fontId="13" fillId="3" borderId="11" xfId="0" applyFont="1" applyFill="1" applyBorder="1" applyAlignment="1" applyProtection="1">
      <alignment horizontal="center" vertical="center" shrinkToFit="1"/>
      <protection hidden="1"/>
    </xf>
    <xf numFmtId="0" fontId="13" fillId="3" borderId="1" xfId="0" applyFont="1" applyFill="1" applyBorder="1" applyAlignment="1" applyProtection="1">
      <alignment horizontal="center" vertical="center" shrinkToFit="1"/>
      <protection hidden="1"/>
    </xf>
    <xf numFmtId="0" fontId="13" fillId="3" borderId="8" xfId="0" applyFont="1" applyFill="1" applyBorder="1" applyAlignment="1" applyProtection="1">
      <alignment horizontal="center" vertical="center" shrinkToFit="1"/>
      <protection hidden="1"/>
    </xf>
    <xf numFmtId="0" fontId="13" fillId="6" borderId="0" xfId="0" applyFont="1" applyFill="1" applyAlignment="1" applyProtection="1">
      <alignment horizontal="center" vertical="top" shrinkToFit="1"/>
      <protection locked="0"/>
    </xf>
    <xf numFmtId="49" fontId="13" fillId="0" borderId="0" xfId="0" applyNumberFormat="1" applyFont="1" applyAlignment="1" applyProtection="1">
      <alignment vertical="top" shrinkToFit="1"/>
      <protection locked="0"/>
    </xf>
    <xf numFmtId="0" fontId="13" fillId="3" borderId="4" xfId="0" applyFont="1" applyFill="1" applyBorder="1" applyAlignment="1" applyProtection="1">
      <alignment vertical="top" shrinkToFit="1"/>
      <protection hidden="1"/>
    </xf>
    <xf numFmtId="0" fontId="13" fillId="3" borderId="0" xfId="0" applyFont="1" applyFill="1" applyAlignment="1" applyProtection="1">
      <alignment vertical="top" shrinkToFit="1"/>
      <protection hidden="1"/>
    </xf>
    <xf numFmtId="0" fontId="19" fillId="3" borderId="4" xfId="1" applyFont="1" applyFill="1" applyBorder="1" applyAlignment="1" applyProtection="1">
      <alignment horizontal="right" wrapText="1" shrinkToFit="1"/>
      <protection hidden="1"/>
    </xf>
    <xf numFmtId="0" fontId="19" fillId="3" borderId="0" xfId="1" applyFont="1" applyFill="1" applyBorder="1" applyAlignment="1" applyProtection="1">
      <alignment horizontal="right" wrapText="1" shrinkToFit="1"/>
      <protection hidden="1"/>
    </xf>
    <xf numFmtId="0" fontId="17" fillId="3" borderId="5" xfId="0" applyFont="1" applyFill="1" applyBorder="1" applyAlignment="1" applyProtection="1">
      <alignment vertical="top" wrapText="1"/>
      <protection hidden="1"/>
    </xf>
    <xf numFmtId="0" fontId="17" fillId="3" borderId="14" xfId="0" applyFont="1" applyFill="1" applyBorder="1" applyAlignment="1" applyProtection="1">
      <alignment vertical="top" wrapText="1"/>
      <protection hidden="1"/>
    </xf>
    <xf numFmtId="0" fontId="17" fillId="3" borderId="15" xfId="0" applyFont="1" applyFill="1" applyBorder="1" applyAlignment="1" applyProtection="1">
      <alignment vertical="top" wrapText="1"/>
      <protection hidden="1"/>
    </xf>
    <xf numFmtId="0" fontId="23" fillId="0" borderId="5" xfId="0" applyFont="1" applyBorder="1" applyAlignment="1" applyProtection="1">
      <alignment vertical="center"/>
      <protection hidden="1"/>
    </xf>
    <xf numFmtId="0" fontId="23" fillId="0" borderId="14" xfId="0" applyFont="1" applyBorder="1" applyAlignment="1" applyProtection="1">
      <alignment vertical="center"/>
      <protection hidden="1"/>
    </xf>
    <xf numFmtId="0" fontId="23" fillId="0" borderId="15" xfId="0" applyFont="1" applyBorder="1" applyAlignment="1" applyProtection="1">
      <alignment vertical="center"/>
      <protection hidden="1"/>
    </xf>
    <xf numFmtId="0" fontId="13" fillId="3" borderId="5" xfId="0" applyFont="1" applyFill="1" applyBorder="1" applyAlignment="1" applyProtection="1">
      <alignment horizontal="center" vertical="top" wrapText="1"/>
      <protection hidden="1"/>
    </xf>
    <xf numFmtId="0" fontId="13" fillId="3" borderId="15" xfId="0" applyFont="1" applyFill="1" applyBorder="1" applyAlignment="1" applyProtection="1">
      <alignment horizontal="center" vertical="top" wrapText="1"/>
      <protection hidden="1"/>
    </xf>
    <xf numFmtId="0" fontId="17" fillId="3" borderId="5" xfId="0" applyFont="1" applyFill="1" applyBorder="1" applyAlignment="1" applyProtection="1">
      <alignment horizontal="center" vertical="center" wrapText="1"/>
      <protection hidden="1"/>
    </xf>
    <xf numFmtId="0" fontId="17" fillId="3" borderId="14" xfId="0" applyFont="1" applyFill="1" applyBorder="1" applyAlignment="1" applyProtection="1">
      <alignment horizontal="center" vertical="center" wrapText="1"/>
      <protection hidden="1"/>
    </xf>
    <xf numFmtId="0" fontId="17" fillId="3" borderId="15" xfId="0" applyFont="1" applyFill="1" applyBorder="1" applyAlignment="1" applyProtection="1">
      <alignment horizontal="center" vertical="center" wrapText="1"/>
      <protection hidden="1"/>
    </xf>
    <xf numFmtId="0" fontId="13" fillId="3" borderId="7" xfId="0" applyFont="1" applyFill="1" applyBorder="1" applyAlignment="1" applyProtection="1">
      <alignment vertical="top" shrinkToFit="1"/>
      <protection hidden="1"/>
    </xf>
    <xf numFmtId="0" fontId="26" fillId="4" borderId="9" xfId="0" applyFont="1" applyFill="1" applyBorder="1" applyAlignment="1" applyProtection="1">
      <alignment horizontal="center" vertical="center" wrapText="1"/>
      <protection hidden="1"/>
    </xf>
    <xf numFmtId="0" fontId="26" fillId="4" borderId="10" xfId="0" applyFont="1" applyFill="1" applyBorder="1" applyAlignment="1" applyProtection="1">
      <alignment horizontal="center" vertical="center" wrapText="1"/>
      <protection hidden="1"/>
    </xf>
    <xf numFmtId="0" fontId="26" fillId="4" borderId="6" xfId="0" applyFont="1" applyFill="1" applyBorder="1" applyAlignment="1" applyProtection="1">
      <alignment horizontal="center" vertical="center" wrapText="1"/>
      <protection hidden="1"/>
    </xf>
    <xf numFmtId="0" fontId="26" fillId="4" borderId="7" xfId="0" applyFont="1" applyFill="1" applyBorder="1" applyAlignment="1" applyProtection="1">
      <alignment horizontal="center" vertical="center" wrapText="1"/>
      <protection hidden="1"/>
    </xf>
    <xf numFmtId="0" fontId="13" fillId="3" borderId="4" xfId="1" applyFont="1" applyFill="1" applyBorder="1" applyAlignment="1" applyProtection="1">
      <alignment horizontal="right" vertical="top" shrinkToFit="1"/>
      <protection hidden="1"/>
    </xf>
    <xf numFmtId="0" fontId="13" fillId="3" borderId="0" xfId="1" applyFont="1" applyFill="1" applyBorder="1" applyAlignment="1" applyProtection="1">
      <alignment horizontal="right" vertical="top" shrinkToFit="1"/>
      <protection hidden="1"/>
    </xf>
    <xf numFmtId="0" fontId="17" fillId="3" borderId="0" xfId="0" applyFont="1" applyFill="1" applyAlignment="1" applyProtection="1">
      <alignment vertical="top" shrinkToFit="1"/>
      <protection hidden="1"/>
    </xf>
    <xf numFmtId="0" fontId="31" fillId="3" borderId="7" xfId="0" applyFont="1" applyFill="1" applyBorder="1" applyAlignment="1" applyProtection="1">
      <alignment horizontal="center" vertical="center"/>
      <protection hidden="1"/>
    </xf>
    <xf numFmtId="0" fontId="17" fillId="3" borderId="5" xfId="0" applyFont="1" applyFill="1" applyBorder="1" applyAlignment="1" applyProtection="1">
      <alignment vertical="center" wrapText="1"/>
      <protection hidden="1"/>
    </xf>
    <xf numFmtId="0" fontId="17" fillId="3" borderId="14" xfId="0" applyFont="1" applyFill="1" applyBorder="1" applyAlignment="1" applyProtection="1">
      <alignment vertical="center" wrapText="1"/>
      <protection hidden="1"/>
    </xf>
    <xf numFmtId="0" fontId="17" fillId="3" borderId="15" xfId="0" applyFont="1" applyFill="1" applyBorder="1" applyAlignment="1" applyProtection="1">
      <alignment vertical="center" wrapText="1"/>
      <protection hidden="1"/>
    </xf>
    <xf numFmtId="0" fontId="15" fillId="3" borderId="0" xfId="0" applyFont="1" applyFill="1" applyAlignment="1" applyProtection="1">
      <alignment shrinkToFit="1"/>
      <protection hidden="1"/>
    </xf>
    <xf numFmtId="0" fontId="20" fillId="3" borderId="0" xfId="0" applyFont="1" applyFill="1" applyAlignment="1" applyProtection="1">
      <alignment vertical="top" wrapText="1" shrinkToFit="1"/>
      <protection hidden="1"/>
    </xf>
    <xf numFmtId="0" fontId="13" fillId="3" borderId="19" xfId="1" applyFont="1" applyFill="1" applyBorder="1" applyAlignment="1" applyProtection="1">
      <alignment horizontal="center" vertical="center" wrapText="1"/>
      <protection hidden="1"/>
    </xf>
    <xf numFmtId="0" fontId="13" fillId="3" borderId="20" xfId="1" applyFont="1" applyFill="1" applyBorder="1" applyAlignment="1" applyProtection="1">
      <alignment horizontal="center" vertical="center" wrapText="1"/>
      <protection hidden="1"/>
    </xf>
    <xf numFmtId="0" fontId="17" fillId="0" borderId="7" xfId="0" applyFont="1" applyBorder="1" applyProtection="1">
      <protection hidden="1"/>
    </xf>
    <xf numFmtId="0" fontId="17" fillId="2" borderId="0" xfId="0" applyFont="1" applyFill="1" applyAlignment="1" applyProtection="1">
      <alignment vertical="top"/>
      <protection hidden="1"/>
    </xf>
    <xf numFmtId="0" fontId="17" fillId="0" borderId="7" xfId="0" applyFont="1" applyBorder="1" applyAlignment="1" applyProtection="1">
      <alignment vertical="top"/>
      <protection hidden="1"/>
    </xf>
    <xf numFmtId="0" fontId="17" fillId="0" borderId="0" xfId="0" applyFont="1" applyProtection="1">
      <protection hidden="1"/>
    </xf>
    <xf numFmtId="0" fontId="5" fillId="0" borderId="0" xfId="0" applyFont="1" applyAlignment="1" applyProtection="1">
      <alignment vertical="top"/>
      <protection hidden="1"/>
    </xf>
    <xf numFmtId="0" fontId="6" fillId="0" borderId="7" xfId="0" applyFont="1" applyBorder="1" applyAlignment="1" applyProtection="1">
      <alignment wrapText="1"/>
      <protection hidden="1"/>
    </xf>
    <xf numFmtId="0" fontId="5" fillId="0" borderId="12" xfId="2" applyFont="1" applyBorder="1" applyAlignment="1" applyProtection="1">
      <alignment horizontal="center" vertical="center"/>
      <protection hidden="1"/>
    </xf>
    <xf numFmtId="0" fontId="8" fillId="0" borderId="5" xfId="2" applyFont="1" applyBorder="1" applyAlignment="1" applyProtection="1">
      <alignment horizontal="center" vertical="center" textRotation="90"/>
      <protection hidden="1"/>
    </xf>
    <xf numFmtId="0" fontId="8" fillId="0" borderId="2" xfId="2" applyFont="1" applyBorder="1" applyAlignment="1" applyProtection="1">
      <alignment horizontal="center" vertical="center" textRotation="90"/>
      <protection hidden="1"/>
    </xf>
    <xf numFmtId="0" fontId="8" fillId="0" borderId="3" xfId="2" applyFont="1" applyBorder="1" applyAlignment="1" applyProtection="1">
      <alignment horizontal="center" vertical="center" textRotation="90"/>
      <protection hidden="1"/>
    </xf>
    <xf numFmtId="0" fontId="5" fillId="3" borderId="2" xfId="2" applyFont="1" applyFill="1" applyBorder="1" applyAlignment="1" applyProtection="1">
      <alignment horizontal="center" vertical="center" wrapText="1"/>
      <protection hidden="1"/>
    </xf>
    <xf numFmtId="0" fontId="5" fillId="0" borderId="9" xfId="2" applyFont="1" applyBorder="1" applyAlignment="1" applyProtection="1">
      <alignment horizontal="center" vertical="top" wrapText="1"/>
      <protection hidden="1"/>
    </xf>
    <xf numFmtId="0" fontId="5" fillId="0" borderId="4" xfId="2" applyFont="1" applyBorder="1" applyAlignment="1" applyProtection="1">
      <alignment horizontal="center" vertical="top" wrapText="1"/>
      <protection hidden="1"/>
    </xf>
    <xf numFmtId="0" fontId="6" fillId="0" borderId="2" xfId="2" applyFont="1" applyBorder="1" applyAlignment="1" applyProtection="1">
      <alignment horizontal="center" vertical="center" textRotation="90"/>
      <protection hidden="1"/>
    </xf>
    <xf numFmtId="0" fontId="8" fillId="3" borderId="2" xfId="2" applyFont="1" applyFill="1" applyBorder="1" applyAlignment="1" applyProtection="1">
      <alignment horizontal="center" vertical="center" textRotation="90"/>
      <protection hidden="1"/>
    </xf>
    <xf numFmtId="0" fontId="8" fillId="12" borderId="2" xfId="2" applyFont="1" applyFill="1" applyBorder="1" applyAlignment="1" applyProtection="1">
      <alignment horizontal="center" vertical="center" textRotation="90"/>
      <protection hidden="1"/>
    </xf>
    <xf numFmtId="0" fontId="5" fillId="12" borderId="2" xfId="2" applyFont="1" applyFill="1" applyBorder="1" applyAlignment="1" applyProtection="1">
      <alignment horizontal="center" vertical="center" wrapText="1"/>
      <protection hidden="1"/>
    </xf>
    <xf numFmtId="0" fontId="6" fillId="0" borderId="13" xfId="2" applyFont="1" applyBorder="1" applyAlignment="1" applyProtection="1">
      <alignment horizontal="center" vertical="center" textRotation="90"/>
      <protection hidden="1"/>
    </xf>
    <xf numFmtId="0" fontId="25" fillId="0" borderId="11" xfId="2" applyFont="1" applyBorder="1" applyAlignment="1" applyProtection="1">
      <alignment horizontal="center" vertical="top"/>
      <protection hidden="1"/>
    </xf>
    <xf numFmtId="0" fontId="25" fillId="0" borderId="1" xfId="2" applyFont="1" applyBorder="1" applyAlignment="1" applyProtection="1">
      <alignment horizontal="center" vertical="top"/>
      <protection hidden="1"/>
    </xf>
    <xf numFmtId="0" fontId="6" fillId="10" borderId="0" xfId="0" applyFont="1" applyFill="1" applyAlignment="1" applyProtection="1">
      <alignment vertical="top" wrapText="1"/>
      <protection hidden="1"/>
    </xf>
    <xf numFmtId="0" fontId="6" fillId="0" borderId="0" xfId="0" applyFont="1" applyAlignment="1" applyProtection="1">
      <alignment vertical="top" wrapText="1"/>
      <protection hidden="1"/>
    </xf>
    <xf numFmtId="0" fontId="5" fillId="3" borderId="2" xfId="0" applyFont="1" applyFill="1" applyBorder="1" applyAlignment="1" applyProtection="1">
      <alignment horizontal="center" vertical="center" wrapText="1"/>
      <protection hidden="1"/>
    </xf>
    <xf numFmtId="0" fontId="5" fillId="0" borderId="2" xfId="2" applyFont="1" applyBorder="1" applyAlignment="1" applyProtection="1">
      <alignment horizontal="left" vertical="top"/>
      <protection hidden="1"/>
    </xf>
    <xf numFmtId="0" fontId="5" fillId="0" borderId="3" xfId="2" applyFont="1" applyBorder="1" applyAlignment="1" applyProtection="1">
      <alignment horizontal="left" vertical="top"/>
      <protection hidden="1"/>
    </xf>
    <xf numFmtId="0" fontId="5" fillId="0" borderId="9" xfId="2" applyFont="1" applyBorder="1" applyAlignment="1" applyProtection="1">
      <alignment vertical="top" wrapText="1"/>
      <protection hidden="1"/>
    </xf>
    <xf numFmtId="0" fontId="5" fillId="0" borderId="11" xfId="2" applyFont="1" applyBorder="1" applyAlignment="1" applyProtection="1">
      <alignment vertical="top" wrapText="1"/>
      <protection hidden="1"/>
    </xf>
    <xf numFmtId="0" fontId="5" fillId="0" borderId="4" xfId="2" applyFont="1" applyBorder="1" applyAlignment="1" applyProtection="1">
      <alignment vertical="top" wrapText="1"/>
      <protection hidden="1"/>
    </xf>
    <xf numFmtId="0" fontId="5" fillId="0" borderId="1" xfId="2" applyFont="1" applyBorder="1" applyAlignment="1" applyProtection="1">
      <alignment vertical="top" wrapText="1"/>
      <protection hidden="1"/>
    </xf>
    <xf numFmtId="0" fontId="5" fillId="0" borderId="6" xfId="2" applyFont="1" applyBorder="1" applyAlignment="1" applyProtection="1">
      <alignment vertical="top" wrapText="1"/>
      <protection hidden="1"/>
    </xf>
    <xf numFmtId="0" fontId="5" fillId="0" borderId="8" xfId="2" applyFont="1" applyBorder="1" applyAlignment="1" applyProtection="1">
      <alignment vertical="top" wrapText="1"/>
      <protection hidden="1"/>
    </xf>
    <xf numFmtId="0" fontId="5" fillId="0" borderId="5" xfId="2" applyFont="1" applyBorder="1" applyAlignment="1" applyProtection="1">
      <alignment horizontal="left" vertical="top" wrapText="1"/>
      <protection hidden="1"/>
    </xf>
    <xf numFmtId="0" fontId="5" fillId="0" borderId="15" xfId="2" applyFont="1" applyBorder="1" applyAlignment="1" applyProtection="1">
      <alignment horizontal="left" vertical="top" wrapText="1"/>
      <protection hidden="1"/>
    </xf>
    <xf numFmtId="0" fontId="5" fillId="0" borderId="9" xfId="2" applyFont="1" applyBorder="1" applyAlignment="1" applyProtection="1">
      <alignment horizontal="left" vertical="top"/>
      <protection hidden="1"/>
    </xf>
    <xf numFmtId="0" fontId="5" fillId="0" borderId="4" xfId="2" applyFont="1" applyBorder="1" applyAlignment="1" applyProtection="1">
      <alignment horizontal="left" vertical="top"/>
      <protection hidden="1"/>
    </xf>
    <xf numFmtId="0" fontId="5" fillId="0" borderId="6" xfId="2" applyFont="1" applyBorder="1" applyAlignment="1" applyProtection="1">
      <alignment horizontal="left" vertical="top"/>
      <protection hidden="1"/>
    </xf>
    <xf numFmtId="0" fontId="6" fillId="0" borderId="3" xfId="0" applyFont="1" applyBorder="1" applyAlignment="1" applyProtection="1">
      <alignment horizontal="center" vertical="center" textRotation="90"/>
      <protection hidden="1"/>
    </xf>
    <xf numFmtId="0" fontId="6" fillId="0" borderId="12" xfId="0" applyFont="1" applyBorder="1" applyAlignment="1" applyProtection="1">
      <alignment horizontal="center" vertical="center" textRotation="90"/>
      <protection hidden="1"/>
    </xf>
    <xf numFmtId="0" fontId="6" fillId="0" borderId="13" xfId="0" applyFont="1" applyBorder="1" applyAlignment="1" applyProtection="1">
      <alignment horizontal="center" vertical="center" textRotation="90"/>
      <protection hidden="1"/>
    </xf>
    <xf numFmtId="0" fontId="34" fillId="14" borderId="0" xfId="0" applyFont="1" applyFill="1" applyAlignment="1" applyProtection="1">
      <alignment vertical="center" readingOrder="1"/>
      <protection hidden="1"/>
    </xf>
    <xf numFmtId="0" fontId="5" fillId="0" borderId="9" xfId="0" applyFont="1" applyBorder="1" applyAlignment="1" applyProtection="1">
      <alignment horizontal="center" vertical="top"/>
      <protection hidden="1"/>
    </xf>
    <xf numFmtId="0" fontId="5" fillId="0" borderId="4" xfId="0" applyFont="1" applyBorder="1" applyAlignment="1" applyProtection="1">
      <alignment horizontal="center" vertical="top"/>
      <protection hidden="1"/>
    </xf>
    <xf numFmtId="0" fontId="5" fillId="0" borderId="6" xfId="0" applyFont="1" applyBorder="1" applyAlignment="1" applyProtection="1">
      <alignment horizontal="center" vertical="top"/>
      <protection hidden="1"/>
    </xf>
    <xf numFmtId="0" fontId="13" fillId="0" borderId="0" xfId="0" applyFont="1" applyAlignment="1" applyProtection="1">
      <alignment vertical="top" wrapText="1"/>
      <protection hidden="1"/>
    </xf>
    <xf numFmtId="0" fontId="17" fillId="7" borderId="0" xfId="0" applyFont="1" applyFill="1" applyAlignment="1" applyProtection="1">
      <alignment vertical="top"/>
      <protection hidden="1"/>
    </xf>
    <xf numFmtId="0" fontId="5" fillId="0" borderId="4" xfId="0" applyFont="1" applyBorder="1"/>
  </cellXfs>
  <cellStyles count="4">
    <cellStyle name="Hyperlink" xfId="1" builtinId="8"/>
    <cellStyle name="Normal" xfId="0" builtinId="0"/>
    <cellStyle name="Normal 2" xfId="2" xr:uid="{00000000-0005-0000-0000-000002000000}"/>
    <cellStyle name="Normal_tablesOfCodes" xfId="3" xr:uid="{C7684F0C-8A87-4AF6-BADD-BC06CC8BE4B6}"/>
  </cellStyles>
  <dxfs count="48">
    <dxf>
      <fill>
        <patternFill>
          <bgColor rgb="FFFFFF00"/>
        </patternFill>
      </fill>
    </dxf>
    <dxf>
      <fill>
        <patternFill>
          <bgColor rgb="FFFFFF0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b val="0"/>
        <i val="0"/>
        <strike val="0"/>
        <condense val="0"/>
        <extend val="0"/>
        <outline val="0"/>
        <shadow val="0"/>
        <u val="none"/>
        <vertAlign val="baseline"/>
        <sz val="8"/>
        <color auto="1"/>
        <name val="Calibri"/>
        <family val="2"/>
        <scheme val="minor"/>
      </font>
      <fill>
        <patternFill patternType="none">
          <fgColor indexed="64"/>
          <bgColor auto="1"/>
        </patternFill>
      </fill>
      <alignment horizontal="general" vertical="top" textRotation="0" wrapText="1" indent="0" justifyLastLine="0" shrinkToFit="0" readingOrder="0"/>
      <border diagonalUp="0" diagonalDown="0">
        <left/>
        <right/>
        <top style="thin">
          <color theme="8"/>
        </top>
        <bottom/>
        <vertical/>
        <horizontal/>
      </border>
      <protection locked="1" hidden="1"/>
    </dxf>
    <dxf>
      <font>
        <b val="0"/>
        <i val="0"/>
        <strike val="0"/>
        <condense val="0"/>
        <extend val="0"/>
        <outline val="0"/>
        <shadow val="0"/>
        <u val="none"/>
        <vertAlign val="baseline"/>
        <sz val="8"/>
        <color auto="1"/>
        <name val="Calibri"/>
        <family val="2"/>
        <scheme val="minor"/>
      </font>
      <fill>
        <patternFill patternType="none">
          <fgColor indexed="64"/>
          <bgColor auto="1"/>
        </patternFill>
      </fill>
      <alignment horizontal="general" vertical="top" textRotation="0" wrapText="1" indent="0" justifyLastLine="0" shrinkToFit="0" readingOrder="0"/>
      <border diagonalUp="0" diagonalDown="0">
        <left/>
        <right/>
        <top style="thin">
          <color theme="8"/>
        </top>
        <bottom/>
        <vertical/>
        <horizontal/>
      </border>
      <protection locked="1" hidden="1"/>
    </dxf>
    <dxf>
      <font>
        <b val="0"/>
        <i val="0"/>
        <strike val="0"/>
        <condense val="0"/>
        <extend val="0"/>
        <outline val="0"/>
        <shadow val="0"/>
        <u val="none"/>
        <vertAlign val="baseline"/>
        <sz val="8"/>
        <color auto="1"/>
        <name val="Calibri"/>
        <family val="2"/>
        <scheme val="minor"/>
      </font>
      <fill>
        <patternFill patternType="none">
          <fgColor indexed="64"/>
          <bgColor auto="1"/>
        </patternFill>
      </fill>
      <alignment horizontal="general" vertical="top" textRotation="0" wrapText="1" indent="0" justifyLastLine="0" shrinkToFit="0" readingOrder="0"/>
      <border diagonalUp="0" diagonalDown="0">
        <left/>
        <right/>
        <top style="thin">
          <color theme="8"/>
        </top>
        <bottom/>
        <vertical/>
        <horizontal/>
      </border>
      <protection locked="1" hidden="1"/>
    </dxf>
    <dxf>
      <font>
        <b val="0"/>
        <i val="0"/>
        <strike val="0"/>
        <condense val="0"/>
        <extend val="0"/>
        <outline val="0"/>
        <shadow val="0"/>
        <u val="none"/>
        <vertAlign val="baseline"/>
        <sz val="8"/>
        <color auto="1"/>
        <name val="Calibri"/>
        <family val="2"/>
        <scheme val="minor"/>
      </font>
      <fill>
        <patternFill patternType="none">
          <fgColor indexed="64"/>
          <bgColor auto="1"/>
        </patternFill>
      </fill>
      <alignment horizontal="general" vertical="top" textRotation="0" wrapText="0" indent="0" justifyLastLine="0" shrinkToFit="0" readingOrder="0"/>
      <border diagonalUp="0" diagonalDown="0">
        <left/>
        <right/>
        <top style="thin">
          <color theme="8"/>
        </top>
        <bottom/>
        <vertical/>
        <horizontal/>
      </border>
      <protection locked="1" hidden="1"/>
    </dxf>
    <dxf>
      <font>
        <b val="0"/>
        <i val="0"/>
        <strike val="0"/>
        <condense val="0"/>
        <extend val="0"/>
        <outline val="0"/>
        <shadow val="0"/>
        <u val="none"/>
        <vertAlign val="baseline"/>
        <sz val="8"/>
        <color auto="1"/>
        <name val="Calibri"/>
        <family val="2"/>
        <scheme val="minor"/>
      </font>
      <fill>
        <patternFill patternType="none">
          <fgColor indexed="64"/>
          <bgColor auto="1"/>
        </patternFill>
      </fill>
      <alignment horizontal="general" vertical="top" textRotation="0" wrapText="0" indent="0" justifyLastLine="0" shrinkToFit="0" readingOrder="0"/>
      <border diagonalUp="0" diagonalDown="0">
        <left/>
        <right/>
        <top style="thin">
          <color theme="8"/>
        </top>
        <bottom/>
        <vertical/>
        <horizontal/>
      </border>
      <protection locked="1" hidden="1"/>
    </dxf>
    <dxf>
      <font>
        <b val="0"/>
        <i val="0"/>
        <strike val="0"/>
        <condense val="0"/>
        <extend val="0"/>
        <outline val="0"/>
        <shadow val="0"/>
        <u val="none"/>
        <vertAlign val="baseline"/>
        <sz val="8"/>
        <color auto="1"/>
        <name val="Calibri"/>
        <family val="2"/>
        <scheme val="minor"/>
      </font>
      <fill>
        <patternFill patternType="none">
          <fgColor indexed="64"/>
          <bgColor auto="1"/>
        </patternFill>
      </fill>
      <alignment horizontal="general" vertical="top" textRotation="0" wrapText="0" indent="0" justifyLastLine="0" shrinkToFit="0" readingOrder="0"/>
      <border diagonalUp="0" diagonalDown="0">
        <left/>
        <right/>
        <top style="thin">
          <color theme="8"/>
        </top>
        <bottom/>
        <vertical/>
        <horizontal/>
      </border>
      <protection locked="1" hidden="1"/>
    </dxf>
    <dxf>
      <font>
        <b val="0"/>
        <i val="0"/>
        <strike val="0"/>
        <condense val="0"/>
        <extend val="0"/>
        <outline val="0"/>
        <shadow val="0"/>
        <u val="none"/>
        <vertAlign val="baseline"/>
        <sz val="8"/>
        <color auto="1"/>
        <name val="Calibri"/>
        <scheme val="minor"/>
      </font>
      <fill>
        <patternFill patternType="none">
          <fgColor indexed="64"/>
          <bgColor auto="1"/>
        </patternFill>
      </fill>
      <alignment horizontal="general" vertical="top" textRotation="0" wrapText="1" indent="0" justifyLastLine="0" shrinkToFit="0" readingOrder="0"/>
      <protection locked="1" hidden="1"/>
    </dxf>
    <dxf>
      <font>
        <b val="0"/>
        <i val="0"/>
        <strike val="0"/>
        <condense val="0"/>
        <extend val="0"/>
        <outline val="0"/>
        <shadow val="0"/>
        <u val="none"/>
        <vertAlign val="baseline"/>
        <sz val="8"/>
        <color auto="1"/>
        <name val="Calibri"/>
        <scheme val="minor"/>
      </font>
      <fill>
        <patternFill patternType="none">
          <fgColor indexed="64"/>
          <bgColor auto="1"/>
        </patternFill>
      </fill>
      <alignment horizontal="general" vertical="top" textRotation="0" wrapText="1" indent="0" justifyLastLine="0" shrinkToFit="0" readingOrder="0"/>
      <protection locked="1" hidden="1"/>
    </dxf>
    <dxf>
      <font>
        <b val="0"/>
        <i val="0"/>
        <strike val="0"/>
        <condense val="0"/>
        <extend val="0"/>
        <outline val="0"/>
        <shadow val="0"/>
        <u val="none"/>
        <vertAlign val="baseline"/>
        <sz val="8"/>
        <color auto="1"/>
        <name val="Calibri"/>
        <family val="2"/>
        <scheme val="minor"/>
      </font>
      <fill>
        <patternFill patternType="none">
          <fgColor indexed="64"/>
          <bgColor auto="1"/>
        </patternFill>
      </fill>
      <alignment horizontal="general" vertical="top" textRotation="0" wrapText="0" indent="0" justifyLastLine="0" shrinkToFit="0" readingOrder="0"/>
      <border diagonalUp="0" diagonalDown="0">
        <left/>
        <right/>
        <top style="thin">
          <color theme="8"/>
        </top>
        <bottom/>
        <vertical/>
        <horizontal/>
      </border>
      <protection locked="1" hidden="1"/>
    </dxf>
    <dxf>
      <font>
        <b val="0"/>
        <i val="0"/>
        <strike val="0"/>
        <condense val="0"/>
        <extend val="0"/>
        <outline val="0"/>
        <shadow val="0"/>
        <u val="none"/>
        <vertAlign val="baseline"/>
        <sz val="8"/>
        <color auto="1"/>
        <name val="Calibri"/>
        <family val="2"/>
        <scheme val="minor"/>
      </font>
      <fill>
        <patternFill patternType="none">
          <fgColor indexed="64"/>
          <bgColor auto="1"/>
        </patternFill>
      </fill>
      <alignment horizontal="general" vertical="top" textRotation="0" wrapText="1" indent="0" justifyLastLine="0" shrinkToFit="0" readingOrder="0"/>
      <border diagonalUp="0" diagonalDown="0">
        <left/>
        <right/>
        <top style="thin">
          <color theme="8"/>
        </top>
        <bottom/>
        <vertical/>
        <horizontal/>
      </border>
      <protection locked="1" hidden="1"/>
    </dxf>
    <dxf>
      <font>
        <b val="0"/>
        <i val="0"/>
        <strike val="0"/>
        <condense val="0"/>
        <extend val="0"/>
        <outline val="0"/>
        <shadow val="0"/>
        <u val="none"/>
        <vertAlign val="baseline"/>
        <sz val="8"/>
        <color auto="1"/>
        <name val="Calibri"/>
        <family val="2"/>
        <scheme val="minor"/>
      </font>
      <fill>
        <patternFill patternType="none">
          <fgColor indexed="64"/>
          <bgColor indexed="65"/>
        </patternFill>
      </fill>
      <alignment horizontal="general" vertical="top" textRotation="0" wrapText="0" indent="0" justifyLastLine="0" shrinkToFit="0" readingOrder="0"/>
      <border diagonalUp="0" diagonalDown="0">
        <left/>
        <right/>
        <top style="thin">
          <color theme="8"/>
        </top>
        <bottom/>
        <vertical/>
        <horizontal/>
      </border>
      <protection locked="1" hidden="1"/>
    </dxf>
    <dxf>
      <font>
        <b val="0"/>
        <i val="0"/>
        <strike val="0"/>
        <condense val="0"/>
        <extend val="0"/>
        <outline val="0"/>
        <shadow val="0"/>
        <u val="none"/>
        <vertAlign val="baseline"/>
        <sz val="8"/>
        <color auto="1"/>
        <name val="Calibri"/>
        <family val="2"/>
        <scheme val="minor"/>
      </font>
      <fill>
        <patternFill patternType="none">
          <fgColor indexed="64"/>
          <bgColor auto="1"/>
        </patternFill>
      </fill>
      <alignment horizontal="general" vertical="top" textRotation="0" wrapText="0" indent="0" justifyLastLine="0" shrinkToFit="0" readingOrder="0"/>
      <border diagonalUp="0" diagonalDown="0">
        <left/>
        <right/>
        <top style="thin">
          <color theme="8"/>
        </top>
        <bottom/>
        <vertical/>
        <horizontal/>
      </border>
      <protection locked="1" hidden="1"/>
    </dxf>
    <dxf>
      <font>
        <b val="0"/>
        <strike val="0"/>
        <outline val="0"/>
        <shadow val="0"/>
        <u val="none"/>
        <vertAlign val="baseline"/>
        <sz val="8"/>
        <color auto="1"/>
        <name val="Calibri"/>
        <scheme val="minor"/>
      </font>
      <fill>
        <patternFill patternType="none">
          <fgColor indexed="64"/>
          <bgColor auto="1"/>
        </patternFill>
      </fill>
      <alignment horizontal="general" vertical="top" textRotation="0" wrapText="1" indent="0" justifyLastLine="0" readingOrder="0"/>
      <protection locked="1" hidden="1"/>
    </dxf>
    <dxf>
      <font>
        <b val="0"/>
        <i val="0"/>
        <strike val="0"/>
        <condense val="0"/>
        <extend val="0"/>
        <outline val="0"/>
        <shadow val="0"/>
        <u val="none"/>
        <vertAlign val="baseline"/>
        <sz val="8"/>
        <color auto="1"/>
        <name val="Calibri"/>
        <family val="2"/>
        <scheme val="minor"/>
      </font>
      <fill>
        <patternFill patternType="none">
          <fgColor indexed="64"/>
          <bgColor auto="1"/>
        </patternFill>
      </fill>
      <alignment horizontal="general" vertical="top" textRotation="0" wrapText="1" indent="0" justifyLastLine="0" shrinkToFit="0" readingOrder="0"/>
      <protection locked="1" hidden="1"/>
    </dxf>
    <dxf>
      <font>
        <b val="0"/>
        <i val="0"/>
        <strike val="0"/>
        <condense val="0"/>
        <extend val="0"/>
        <outline val="0"/>
        <shadow val="0"/>
        <u val="none"/>
        <vertAlign val="baseline"/>
        <sz val="8"/>
        <color auto="1"/>
        <name val="Calibri"/>
        <scheme val="minor"/>
      </font>
      <fill>
        <patternFill patternType="none">
          <fgColor indexed="64"/>
          <bgColor auto="1"/>
        </patternFill>
      </fill>
      <alignment horizontal="general" vertical="top" textRotation="0" wrapText="1" indent="0" justifyLastLine="0" shrinkToFit="0" readingOrder="0"/>
      <protection locked="1" hidden="1"/>
    </dxf>
    <dxf>
      <font>
        <b val="0"/>
        <i val="0"/>
        <strike val="0"/>
        <condense val="0"/>
        <extend val="0"/>
        <outline val="0"/>
        <shadow val="0"/>
        <u val="none"/>
        <vertAlign val="baseline"/>
        <sz val="8"/>
        <color auto="1"/>
        <name val="Calibri"/>
        <family val="2"/>
        <scheme val="minor"/>
      </font>
      <fill>
        <patternFill patternType="none">
          <fgColor indexed="64"/>
          <bgColor auto="1"/>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8"/>
        <color auto="1"/>
        <name val="Calibri"/>
        <family val="2"/>
        <scheme val="minor"/>
      </font>
      <fill>
        <patternFill patternType="none">
          <fgColor indexed="64"/>
          <bgColor auto="1"/>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8"/>
        <color auto="1"/>
        <name val="Calibri"/>
        <family val="2"/>
        <scheme val="minor"/>
      </font>
      <fill>
        <patternFill patternType="none">
          <fgColor indexed="64"/>
          <bgColor auto="1"/>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8"/>
        <color auto="1"/>
        <name val="Calibri"/>
        <family val="2"/>
        <scheme val="minor"/>
      </font>
      <fill>
        <patternFill patternType="none">
          <fgColor indexed="64"/>
          <bgColor auto="1"/>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8"/>
        <color auto="1"/>
        <name val="Calibri"/>
        <family val="2"/>
        <scheme val="minor"/>
      </font>
      <fill>
        <patternFill patternType="none">
          <fgColor indexed="64"/>
          <bgColor auto="1"/>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8"/>
        <color auto="1"/>
        <name val="Calibri"/>
        <family val="2"/>
        <scheme val="minor"/>
      </font>
      <fill>
        <patternFill patternType="none">
          <fgColor indexed="64"/>
          <bgColor auto="1"/>
        </patternFill>
      </fill>
      <alignment horizontal="general" vertical="top" textRotation="0" wrapText="0" indent="0" justifyLastLine="0" shrinkToFit="0" readingOrder="0"/>
      <protection locked="0" hidden="0"/>
    </dxf>
    <dxf>
      <font>
        <b val="0"/>
        <i val="0"/>
        <strike val="0"/>
        <condense val="0"/>
        <extend val="0"/>
        <outline val="0"/>
        <shadow val="0"/>
        <u val="none"/>
        <vertAlign val="baseline"/>
        <sz val="8"/>
        <color auto="1"/>
        <name val="Calibri"/>
        <family val="2"/>
        <scheme val="minor"/>
      </font>
      <fill>
        <patternFill patternType="none">
          <fgColor indexed="64"/>
          <bgColor auto="1"/>
        </patternFill>
      </fill>
      <alignment horizontal="center" vertical="bottom" textRotation="0" wrapText="0" indent="0" justifyLastLine="0" shrinkToFit="0" readingOrder="0"/>
      <protection locked="0" hidden="0"/>
    </dxf>
    <dxf>
      <border outline="0">
        <right style="thin">
          <color theme="4" tint="0.39997558519241921"/>
        </right>
        <top style="thin">
          <color indexed="64"/>
        </top>
      </border>
    </dxf>
    <dxf>
      <font>
        <b val="0"/>
        <i val="0"/>
        <strike val="0"/>
        <condense val="0"/>
        <extend val="0"/>
        <outline val="0"/>
        <shadow val="0"/>
        <u val="none"/>
        <vertAlign val="baseline"/>
        <sz val="8"/>
        <color auto="1"/>
        <name val="Calibri"/>
        <family val="2"/>
        <scheme val="minor"/>
      </font>
      <fill>
        <patternFill patternType="none">
          <fgColor indexed="64"/>
          <bgColor auto="1"/>
        </patternFill>
      </fill>
      <alignment horizontal="center" vertical="bottom" textRotation="0" wrapText="0" indent="0" justifyLastLine="0" shrinkToFit="0" readingOrder="0"/>
      <protection locked="0" hidden="0"/>
    </dxf>
    <dxf>
      <font>
        <b/>
        <i val="0"/>
        <strike val="0"/>
        <condense val="0"/>
        <extend val="0"/>
        <outline val="0"/>
        <shadow val="0"/>
        <u val="none"/>
        <vertAlign val="baseline"/>
        <sz val="8"/>
        <color auto="1"/>
        <name val="Calibri"/>
        <family val="2"/>
        <scheme val="minor"/>
      </font>
      <fill>
        <patternFill patternType="solid">
          <fgColor indexed="64"/>
          <bgColor theme="4" tint="0.7999816888943144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8"/>
        <color auto="1"/>
        <name val="Calibri"/>
        <family val="2"/>
        <scheme val="minor"/>
      </font>
      <fill>
        <patternFill patternType="none">
          <fgColor indexed="64"/>
          <bgColor auto="1"/>
        </patternFill>
      </fill>
      <alignment horizontal="general" vertical="top" textRotation="0" wrapText="0" indent="0" justifyLastLine="0" shrinkToFit="0" readingOrder="0"/>
      <protection locked="0" hidden="0"/>
    </dxf>
    <dxf>
      <font>
        <b val="0"/>
        <i val="0"/>
        <strike val="0"/>
        <condense val="0"/>
        <extend val="0"/>
        <outline val="0"/>
        <shadow val="0"/>
        <u val="none"/>
        <vertAlign val="baseline"/>
        <sz val="8"/>
        <color auto="1"/>
        <name val="Calibri"/>
        <family val="2"/>
        <scheme val="minor"/>
      </font>
      <fill>
        <patternFill patternType="none">
          <fgColor indexed="64"/>
          <bgColor indexed="65"/>
        </patternFill>
      </fill>
      <alignment horizontal="general" vertical="top" textRotation="0" wrapText="0" indent="0" justifyLastLine="0" shrinkToFit="0" readingOrder="0"/>
      <protection locked="0" hidden="0"/>
    </dxf>
    <dxf>
      <font>
        <b val="0"/>
        <i val="0"/>
        <strike val="0"/>
        <condense val="0"/>
        <extend val="0"/>
        <outline val="0"/>
        <shadow val="0"/>
        <u val="none"/>
        <vertAlign val="baseline"/>
        <sz val="8"/>
        <color auto="1"/>
        <name val="Calibri"/>
        <family val="2"/>
        <scheme val="minor"/>
      </font>
      <fill>
        <patternFill patternType="none">
          <fgColor indexed="64"/>
          <bgColor auto="1"/>
        </patternFill>
      </fill>
      <alignment horizontal="general" vertical="top" textRotation="0" wrapText="0" indent="0" justifyLastLine="0" shrinkToFit="0" readingOrder="0"/>
      <protection locked="0" hidden="0"/>
    </dxf>
    <dxf>
      <font>
        <b val="0"/>
        <i val="0"/>
        <strike val="0"/>
        <condense val="0"/>
        <extend val="0"/>
        <outline val="0"/>
        <shadow val="0"/>
        <u val="none"/>
        <vertAlign val="baseline"/>
        <sz val="8"/>
        <color auto="1"/>
        <name val="Calibri"/>
        <family val="2"/>
        <scheme val="minor"/>
      </font>
      <fill>
        <patternFill patternType="none">
          <fgColor indexed="64"/>
          <bgColor indexed="65"/>
        </patternFill>
      </fill>
      <alignment horizontal="general" vertical="top" textRotation="0" wrapText="0" indent="0" justifyLastLine="0" shrinkToFit="0" readingOrder="0"/>
      <protection locked="0" hidden="0"/>
    </dxf>
    <dxf>
      <font>
        <b val="0"/>
        <i val="0"/>
        <strike val="0"/>
        <condense val="0"/>
        <extend val="0"/>
        <outline val="0"/>
        <shadow val="0"/>
        <u val="none"/>
        <vertAlign val="baseline"/>
        <sz val="8"/>
        <color auto="1"/>
        <name val="Calibri"/>
        <family val="2"/>
        <scheme val="minor"/>
      </font>
      <fill>
        <patternFill patternType="none">
          <fgColor indexed="64"/>
          <bgColor auto="1"/>
        </patternFill>
      </fill>
      <alignment horizontal="general" vertical="top" textRotation="0" wrapText="0" indent="0" justifyLastLine="0" shrinkToFit="0" readingOrder="0"/>
      <protection locked="0" hidden="0"/>
    </dxf>
    <dxf>
      <font>
        <b val="0"/>
        <i val="0"/>
        <strike val="0"/>
        <condense val="0"/>
        <extend val="0"/>
        <outline val="0"/>
        <shadow val="0"/>
        <u val="none"/>
        <vertAlign val="baseline"/>
        <sz val="8"/>
        <color auto="1"/>
        <name val="Calibri"/>
        <family val="2"/>
        <scheme val="minor"/>
      </font>
      <fill>
        <patternFill patternType="none">
          <fgColor indexed="64"/>
          <bgColor indexed="65"/>
        </patternFill>
      </fill>
      <alignment horizontal="general" vertical="top" textRotation="0" wrapText="0" indent="0" justifyLastLine="0" shrinkToFit="0" readingOrder="0"/>
      <protection locked="0" hidden="0"/>
    </dxf>
    <dxf>
      <font>
        <b val="0"/>
        <i val="0"/>
        <strike val="0"/>
        <condense val="0"/>
        <extend val="0"/>
        <outline val="0"/>
        <shadow val="0"/>
        <u val="none"/>
        <vertAlign val="baseline"/>
        <sz val="8"/>
        <color auto="1"/>
        <name val="Calibri"/>
        <family val="2"/>
        <scheme val="minor"/>
      </font>
      <fill>
        <patternFill patternType="none">
          <fgColor indexed="64"/>
          <bgColor auto="1"/>
        </patternFill>
      </fill>
      <alignment horizontal="general" vertical="top" textRotation="0" wrapText="0" indent="0" justifyLastLine="0" shrinkToFit="0" readingOrder="0"/>
      <protection locked="0" hidden="0"/>
    </dxf>
    <dxf>
      <font>
        <b val="0"/>
        <i val="0"/>
        <strike val="0"/>
        <condense val="0"/>
        <extend val="0"/>
        <outline val="0"/>
        <shadow val="0"/>
        <u val="none"/>
        <vertAlign val="baseline"/>
        <sz val="8"/>
        <color auto="1"/>
        <name val="Calibri"/>
        <family val="2"/>
        <scheme val="minor"/>
      </font>
      <fill>
        <patternFill patternType="none">
          <fgColor indexed="64"/>
          <bgColor auto="1"/>
        </patternFill>
      </fill>
      <alignment horizontal="general" vertical="top" textRotation="0" wrapText="0" indent="0" justifyLastLine="0" shrinkToFit="0" readingOrder="0"/>
      <protection locked="0" hidden="0"/>
    </dxf>
    <dxf>
      <font>
        <b val="0"/>
        <i val="0"/>
        <strike val="0"/>
        <condense val="0"/>
        <extend val="0"/>
        <outline val="0"/>
        <shadow val="0"/>
        <u val="none"/>
        <vertAlign val="baseline"/>
        <sz val="8"/>
        <color auto="1"/>
        <name val="Calibri"/>
        <family val="2"/>
        <scheme val="minor"/>
      </font>
      <fill>
        <patternFill patternType="none">
          <fgColor indexed="64"/>
          <bgColor auto="1"/>
        </patternFill>
      </fill>
      <alignment horizontal="general" vertical="top" textRotation="0" wrapText="0" indent="0" justifyLastLine="0" shrinkToFit="0" readingOrder="0"/>
      <protection locked="0" hidden="0"/>
    </dxf>
    <dxf>
      <font>
        <b val="0"/>
        <i val="0"/>
        <strike val="0"/>
        <condense val="0"/>
        <extend val="0"/>
        <outline val="0"/>
        <shadow val="0"/>
        <u val="none"/>
        <vertAlign val="baseline"/>
        <sz val="8"/>
        <color auto="1"/>
        <name val="Calibri"/>
        <family val="2"/>
        <scheme val="minor"/>
      </font>
      <fill>
        <patternFill patternType="none">
          <fgColor indexed="64"/>
          <bgColor auto="1"/>
        </patternFill>
      </fill>
      <alignment horizontal="general" vertical="top" textRotation="0" wrapText="0" indent="0" justifyLastLine="0" shrinkToFit="1" readingOrder="0"/>
      <protection locked="0" hidden="0"/>
    </dxf>
    <dxf>
      <font>
        <b val="0"/>
        <i val="0"/>
        <strike val="0"/>
        <condense val="0"/>
        <extend val="0"/>
        <outline val="0"/>
        <shadow val="0"/>
        <u val="none"/>
        <vertAlign val="baseline"/>
        <sz val="8"/>
        <color auto="1"/>
        <name val="Calibri"/>
        <family val="2"/>
        <scheme val="minor"/>
      </font>
      <fill>
        <patternFill patternType="none">
          <fgColor indexed="64"/>
          <bgColor auto="1"/>
        </patternFill>
      </fill>
      <alignment horizontal="general" vertical="top" textRotation="0" wrapText="0" indent="0" justifyLastLine="0" shrinkToFit="0" readingOrder="0"/>
      <protection locked="0" hidden="0"/>
    </dxf>
    <dxf>
      <font>
        <b val="0"/>
        <i val="0"/>
        <strike val="0"/>
        <condense val="0"/>
        <extend val="0"/>
        <outline val="0"/>
        <shadow val="0"/>
        <u val="none"/>
        <vertAlign val="baseline"/>
        <sz val="8"/>
        <color auto="1"/>
        <name val="Calibri"/>
        <family val="2"/>
        <scheme val="minor"/>
      </font>
      <fill>
        <patternFill patternType="none">
          <fgColor indexed="64"/>
          <bgColor auto="1"/>
        </patternFill>
      </fill>
      <alignment horizontal="general" vertical="top" textRotation="0" wrapText="0" indent="0" justifyLastLine="0" shrinkToFit="0" readingOrder="0"/>
      <protection locked="0" hidden="0"/>
    </dxf>
    <dxf>
      <font>
        <b val="0"/>
        <i val="0"/>
        <strike val="0"/>
        <condense val="0"/>
        <extend val="0"/>
        <outline val="0"/>
        <shadow val="0"/>
        <u val="none"/>
        <vertAlign val="baseline"/>
        <sz val="8"/>
        <color auto="1"/>
        <name val="Calibri"/>
        <family val="2"/>
        <scheme val="minor"/>
      </font>
      <numFmt numFmtId="19" formatCode="yyyy/mm/dd"/>
      <fill>
        <patternFill patternType="none">
          <fgColor indexed="64"/>
          <bgColor auto="1"/>
        </patternFill>
      </fill>
      <alignment horizontal="general" vertical="top" textRotation="0" wrapText="0" indent="0" justifyLastLine="0" shrinkToFit="0" readingOrder="0"/>
      <protection locked="0" hidden="0"/>
    </dxf>
    <dxf>
      <font>
        <b val="0"/>
        <i val="0"/>
        <strike val="0"/>
        <condense val="0"/>
        <extend val="0"/>
        <outline val="0"/>
        <shadow val="0"/>
        <u val="none"/>
        <vertAlign val="baseline"/>
        <sz val="8"/>
        <color auto="1"/>
        <name val="Calibri"/>
        <family val="2"/>
        <scheme val="minor"/>
      </font>
      <fill>
        <patternFill patternType="none">
          <fgColor indexed="64"/>
          <bgColor auto="1"/>
        </patternFill>
      </fill>
      <alignment horizontal="general" vertical="top" textRotation="0" wrapText="0" indent="0" justifyLastLine="0" shrinkToFit="0" readingOrder="0"/>
      <protection locked="0" hidden="0"/>
    </dxf>
    <dxf>
      <font>
        <b val="0"/>
        <i val="0"/>
        <strike val="0"/>
        <condense val="0"/>
        <extend val="0"/>
        <outline val="0"/>
        <shadow val="0"/>
        <u val="none"/>
        <vertAlign val="baseline"/>
        <sz val="8"/>
        <color auto="1"/>
        <name val="Calibri"/>
        <family val="2"/>
        <scheme val="minor"/>
      </font>
      <fill>
        <patternFill patternType="none">
          <fgColor indexed="64"/>
          <bgColor auto="1"/>
        </patternFill>
      </fill>
      <alignment horizontal="general" vertical="top" textRotation="0" wrapText="0" indent="0" justifyLastLine="0" shrinkToFit="0" readingOrder="0"/>
      <protection locked="0" hidden="0"/>
    </dxf>
    <dxf>
      <font>
        <strike val="0"/>
        <outline val="0"/>
        <shadow val="0"/>
        <u val="none"/>
        <vertAlign val="baseline"/>
        <sz val="8"/>
        <color auto="1"/>
        <name val="Calibri"/>
        <family val="2"/>
        <scheme val="minor"/>
      </font>
      <fill>
        <patternFill patternType="solid">
          <fgColor indexed="64"/>
          <bgColor theme="0" tint="-0.14999847407452621"/>
        </patternFill>
      </fill>
      <protection locked="1" hidden="1"/>
    </dxf>
  </dxfs>
  <tableStyles count="0" defaultTableStyle="TableStyleMedium9" defaultPivotStyle="PivotStyleLight16"/>
  <colors>
    <mruColors>
      <color rgb="FFFF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9</xdr:col>
      <xdr:colOff>0</xdr:colOff>
      <xdr:row>0</xdr:row>
      <xdr:rowOff>0</xdr:rowOff>
    </xdr:from>
    <xdr:to>
      <xdr:col>10</xdr:col>
      <xdr:colOff>86458</xdr:colOff>
      <xdr:row>1</xdr:row>
      <xdr:rowOff>240323</xdr:rowOff>
    </xdr:to>
    <xdr:pic>
      <xdr:nvPicPr>
        <xdr:cNvPr id="2" name="Picture 17" descr="LOGOTIPO" hidden="1">
          <a:extLst>
            <a:ext uri="{FF2B5EF4-FFF2-40B4-BE49-F238E27FC236}">
              <a16:creationId xmlns:a16="http://schemas.microsoft.com/office/drawing/2014/main" id="{00000000-0008-0000-0100-000002000000}"/>
            </a:ext>
          </a:extLst>
        </xdr:cNvPr>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39975" y="0"/>
          <a:ext cx="505558" cy="421298"/>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0000000}" name="tblST10A" displayName="tblST10A" ref="A26:N50" totalsRowShown="0" headerRowDxfId="47" dataDxfId="46">
  <autoFilter ref="A26:N50" xr:uid="{00000000-0009-0000-0100-000008000000}"/>
  <tableColumns count="14">
    <tableColumn id="1" xr3:uid="{00000000-0010-0000-0000-000001000000}" name="LandingID" dataDxfId="45"/>
    <tableColumn id="2" xr3:uid="{00000000-0010-0000-0000-000002000000}" name="DtLanding" dataDxfId="44"/>
    <tableColumn id="3" xr3:uid="{00000000-0010-0000-0000-000003000000}" name="ICCATSerialNo" dataDxfId="43"/>
    <tableColumn id="4" xr3:uid="{00000000-0010-0000-0000-000004000000}" name="VesselName" dataDxfId="42"/>
    <tableColumn id="5" xr3:uid="{00000000-0010-0000-0000-000005000000}" name="VessNRN" dataDxfId="41"/>
    <tableColumn id="6" xr3:uid="{00000000-0010-0000-0000-000006000000}" name="FlagVesCd" dataDxfId="40"/>
    <tableColumn id="7" xr3:uid="{00000000-0010-0000-0000-000007000000}" name="GearCd" dataDxfId="39"/>
    <tableColumn id="9" xr3:uid="{00000000-0010-0000-0000-000009000000}" name="YFTw" dataDxfId="38"/>
    <tableColumn id="8" xr3:uid="{00000000-0010-0000-0000-000008000000}" name="YFTpt" dataDxfId="37"/>
    <tableColumn id="11" xr3:uid="{00000000-0010-0000-0000-00000B000000}" name="BETw" dataDxfId="36"/>
    <tableColumn id="10" xr3:uid="{00000000-0010-0000-0000-00000A000000}" name="BETpt" dataDxfId="35"/>
    <tableColumn id="13" xr3:uid="{00000000-0010-0000-0000-00000D000000}" name="SKJw" dataDxfId="34"/>
    <tableColumn id="12" xr3:uid="{00000000-0010-0000-0000-00000C000000}" name="SKJpt" dataDxfId="33"/>
    <tableColumn id="14" xr3:uid="{00000000-0010-0000-0000-00000E000000}" name="SzDataYN" dataDxfId="32"/>
  </tableColumns>
  <tableStyleInfo name="TableStyleLight1" showFirstColumn="0" showLastColumn="0" showRowStripes="0" showColumnStripes="1"/>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blST10B" displayName="tblST10B" ref="A18:G39" totalsRowShown="0" headerRowDxfId="31" dataDxfId="30" tableBorderDxfId="29">
  <autoFilter ref="A18:G39" xr:uid="{00000000-0009-0000-0100-000002000000}"/>
  <tableColumns count="7">
    <tableColumn id="1" xr3:uid="{00000000-0010-0000-0100-000001000000}" name="szLandingID" dataDxfId="28"/>
    <tableColumn id="2" xr3:uid="{00000000-0010-0000-0100-000002000000}" name="SpeciesCd" dataDxfId="27"/>
    <tableColumn id="3" xr3:uid="{00000000-0010-0000-0100-000003000000}" name="SzFreqTypCd" dataDxfId="26"/>
    <tableColumn id="4" xr3:uid="{00000000-0010-0000-0100-000004000000}" name="SzPTypeCd" dataDxfId="25"/>
    <tableColumn id="5" xr3:uid="{00000000-0010-0000-0100-000005000000}" name="SexCd" dataDxfId="24"/>
    <tableColumn id="6" xr3:uid="{00000000-0010-0000-0100-000006000000}" name="LenghCm" dataDxfId="23"/>
    <tableColumn id="7" xr3:uid="{00000000-0010-0000-0100-000007000000}" name="Notes" dataDxfId="22"/>
  </tableColumns>
  <tableStyleInfo name="TableStyleLight2" showFirstColumn="0" showLastColumn="0" showRowStripes="0" showColumnStripes="1"/>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2000000}" name="tblTrans3Langs" displayName="tblTrans3Langs" ref="A4:M82" totalsRowShown="0" headerRowDxfId="21" dataDxfId="20">
  <autoFilter ref="A4:M82" xr:uid="{2948119A-38C3-455C-9A12-58D89FEC9CDD}"/>
  <tableColumns count="13">
    <tableColumn id="1" xr3:uid="{00000000-0010-0000-0200-000001000000}" name="FieldID" dataDxfId="19"/>
    <tableColumn id="2" xr3:uid="{00000000-0010-0000-0200-000002000000}" name="Order" dataDxfId="18"/>
    <tableColumn id="13" xr3:uid="{C92A68D0-0596-46BF-AAA4-B8E6AF49642E}" name="FormID" dataDxfId="17"/>
    <tableColumn id="3" xr3:uid="{00000000-0010-0000-0200-000003000000}" name="SubFormID" dataDxfId="16"/>
    <tableColumn id="4" xr3:uid="{00000000-0010-0000-0200-000004000000}" name="Section" dataDxfId="15"/>
    <tableColumn id="5" xr3:uid="{00000000-0010-0000-0200-000005000000}" name="Item" dataDxfId="14"/>
    <tableColumn id="6" xr3:uid="{00000000-0010-0000-0200-000006000000}" name="FieldType" dataDxfId="13"/>
    <tableColumn id="7" xr3:uid="{00000000-0010-0000-0200-000007000000}" name="FldNameEN" dataDxfId="12"/>
    <tableColumn id="8" xr3:uid="{00000000-0010-0000-0200-000008000000}" name="FldNameFR" dataDxfId="11"/>
    <tableColumn id="9" xr3:uid="{00000000-0010-0000-0200-000009000000}" name="FldNameES" dataDxfId="10"/>
    <tableColumn id="10" xr3:uid="{00000000-0010-0000-0200-00000A000000}" name="FldInstructEN" dataDxfId="9"/>
    <tableColumn id="11" xr3:uid="{00000000-0010-0000-0200-00000B000000}" name="FldInstructFR" dataDxfId="8"/>
    <tableColumn id="12" xr3:uid="{00000000-0010-0000-0200-00000C000000}" name="FldInstructES" dataDxfId="7"/>
  </tableColumns>
  <tableStyleInfo name="TableStyleLight1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00B0F0"/>
    <pageSetUpPr autoPageBreaks="0"/>
  </sheetPr>
  <dimension ref="A1:R50"/>
  <sheetViews>
    <sheetView tabSelected="1" showOutlineSymbols="0" zoomScaleNormal="100" zoomScaleSheetLayoutView="100" workbookViewId="0">
      <selection activeCell="T7" sqref="T7"/>
    </sheetView>
  </sheetViews>
  <sheetFormatPr defaultColWidth="9.07421875" defaultRowHeight="12" x14ac:dyDescent="0.3"/>
  <cols>
    <col min="1" max="1" width="13.07421875" style="71" customWidth="1"/>
    <col min="2" max="2" width="14.07421875" style="71" customWidth="1"/>
    <col min="3" max="3" width="16.07421875" style="52" customWidth="1"/>
    <col min="4" max="4" width="21.69140625" style="71" bestFit="1" customWidth="1"/>
    <col min="5" max="5" width="12.84375" style="71" customWidth="1"/>
    <col min="6" max="6" width="9" style="71" customWidth="1"/>
    <col min="7" max="7" width="8.4609375" style="71" customWidth="1"/>
    <col min="8" max="12" width="8.69140625" style="71" customWidth="1"/>
    <col min="13" max="13" width="8.4609375" style="71" bestFit="1" customWidth="1"/>
    <col min="14" max="14" width="14.4609375" style="71" customWidth="1"/>
    <col min="15" max="15" width="5.4609375" style="71" customWidth="1"/>
    <col min="16" max="16" width="2" style="71" bestFit="1" customWidth="1"/>
    <col min="17" max="17" width="7.07421875" style="71" bestFit="1" customWidth="1"/>
    <col min="18" max="18" width="8.3046875" style="71" bestFit="1" customWidth="1"/>
    <col min="19" max="16384" width="9.07421875" style="71"/>
  </cols>
  <sheetData>
    <row r="1" spans="1:18" s="46" customFormat="1" ht="19.75" x14ac:dyDescent="0.3">
      <c r="A1" s="212" t="str">
        <f>VLOOKUP("T00",tblTrans3Langs[],LangFieldID,FALSE)</f>
        <v>ST10-PrtSmp</v>
      </c>
      <c r="B1" s="213"/>
      <c r="C1" s="216" t="str">
        <f>VLOOKUP("T00",tblTrans3Langs[],LangNameID,FALSE)</f>
        <v xml:space="preserve">TASK 3 - PORT SAMPLING </v>
      </c>
      <c r="D1" s="216"/>
      <c r="E1" s="216"/>
      <c r="F1" s="216"/>
      <c r="G1" s="216"/>
      <c r="H1" s="216"/>
      <c r="I1" s="216"/>
      <c r="J1" s="216"/>
      <c r="K1" s="216"/>
      <c r="L1" s="216"/>
      <c r="M1" s="216"/>
      <c r="N1" s="216"/>
      <c r="O1" s="216"/>
      <c r="P1" s="216"/>
      <c r="Q1" s="1" t="str">
        <f>VLOOKUP("tVersion",tblTrans3Langs[],LangFieldID,FALSE)</f>
        <v>Version</v>
      </c>
      <c r="R1" s="2" t="str">
        <f>VLOOKUP("tLang",tblTrans3Langs[],LangFieldID,FALSE)</f>
        <v>Language</v>
      </c>
    </row>
    <row r="2" spans="1:18" s="46" customFormat="1" ht="14.15" x14ac:dyDescent="0.3">
      <c r="A2" s="214"/>
      <c r="B2" s="215"/>
      <c r="C2" s="217" t="str">
        <f>VLOOKUP("T01",tblTrans3Langs[],LangFieldID,FALSE)&amp;": "&amp;VLOOKUP("T01",tblTrans3Langs[],LangNameID,FALSE)</f>
        <v>ICCAT: INTERNATIONAL COMMISSION FOR THE CONSERVATION OF ATLANTIC TUNAS</v>
      </c>
      <c r="D2" s="217"/>
      <c r="E2" s="217"/>
      <c r="F2" s="217"/>
      <c r="G2" s="217"/>
      <c r="H2" s="217"/>
      <c r="I2" s="217"/>
      <c r="J2" s="217"/>
      <c r="K2" s="217"/>
      <c r="L2" s="217"/>
      <c r="M2" s="217"/>
      <c r="N2" s="217"/>
      <c r="O2" s="217"/>
      <c r="P2" s="217"/>
      <c r="Q2" s="3" t="s">
        <v>2204</v>
      </c>
      <c r="R2" s="8" t="s">
        <v>2011</v>
      </c>
    </row>
    <row r="3" spans="1:18" s="9" customFormat="1" ht="10.75" x14ac:dyDescent="0.3">
      <c r="A3" s="218"/>
      <c r="B3" s="218"/>
      <c r="C3" s="218"/>
      <c r="D3" s="218"/>
      <c r="E3" s="218"/>
      <c r="F3" s="218"/>
      <c r="G3" s="218"/>
      <c r="H3" s="218"/>
      <c r="I3" s="81"/>
      <c r="J3" s="81"/>
      <c r="K3" s="81"/>
      <c r="L3" s="81"/>
      <c r="M3" s="81"/>
      <c r="N3" s="81"/>
      <c r="O3" s="81"/>
      <c r="P3" s="81"/>
      <c r="Q3" s="81"/>
      <c r="R3" s="81"/>
    </row>
    <row r="4" spans="1:18" s="9" customFormat="1" ht="10.75" x14ac:dyDescent="0.3">
      <c r="A4" s="219" t="str">
        <f>VLOOKUP("H10",tblTrans3Langs[],LangFieldID,FALSE)</f>
        <v>Statistical correspondent</v>
      </c>
      <c r="B4" s="220"/>
      <c r="C4" s="220"/>
      <c r="D4" s="220"/>
      <c r="E4" s="220"/>
      <c r="F4" s="220"/>
      <c r="G4" s="220"/>
      <c r="H4" s="220"/>
      <c r="I4" s="220"/>
      <c r="J4" s="11" t="str">
        <f>IF(AND(C5&gt;0,C6&gt;0,G6&gt;0,C7&gt;0,C8&gt;0,C9&gt;0,G9&gt;0),"ok","inc")</f>
        <v>inc</v>
      </c>
      <c r="K4" s="221" t="str">
        <f>VLOOKUP("H20",tblTrans3Langs[],LangFieldID,FALSE)</f>
        <v>Secretariat use only</v>
      </c>
      <c r="L4" s="222"/>
      <c r="M4" s="222"/>
      <c r="N4" s="222"/>
      <c r="O4" s="222"/>
      <c r="P4" s="223" t="str">
        <f>VLOOKUP("H21",tblTrans3Langs[],LangFieldID,FALSE)</f>
        <v>Filtering criteria</v>
      </c>
      <c r="Q4" s="223"/>
      <c r="R4" s="224"/>
    </row>
    <row r="5" spans="1:18" s="9" customFormat="1" ht="10.75" x14ac:dyDescent="0.3">
      <c r="A5" s="12" t="str">
        <f>VLOOKUP("H11",tblTrans3Langs[],LangFieldID,FALSE)</f>
        <v>Identification</v>
      </c>
      <c r="B5" s="78" t="str">
        <f>VLOOKUP("hName",tblTrans3Langs[],LangFieldID,FALSE)</f>
        <v>Name</v>
      </c>
      <c r="C5" s="205"/>
      <c r="D5" s="205"/>
      <c r="E5" s="205"/>
      <c r="F5" s="205"/>
      <c r="G5" s="205"/>
      <c r="H5" s="205"/>
      <c r="I5" s="205"/>
      <c r="J5" s="13"/>
      <c r="K5" s="206" t="str">
        <f>VLOOKUP("hDaterep",tblTrans3Langs[],LangFieldID,FALSE)</f>
        <v>Date reported</v>
      </c>
      <c r="L5" s="207"/>
      <c r="M5" s="208"/>
      <c r="N5" s="208"/>
      <c r="O5" s="13"/>
      <c r="P5" s="13"/>
      <c r="Q5" s="14" t="str">
        <f>VLOOKUP("hFilter1",tblTrans3Langs[],LangFieldID,FALSE)</f>
        <v>Filter 1</v>
      </c>
      <c r="R5" s="14" t="str">
        <f>VLOOKUP("hFilter2",tblTrans3Langs[],LangFieldID,FALSE)</f>
        <v>Filter 2</v>
      </c>
    </row>
    <row r="6" spans="1:18" s="9" customFormat="1" ht="10.75" x14ac:dyDescent="0.3">
      <c r="A6" s="15"/>
      <c r="B6" s="78" t="str">
        <f>VLOOKUP("hEmail",tblTrans3Langs[],LangFieldID,FALSE)</f>
        <v>E-mail</v>
      </c>
      <c r="C6" s="209"/>
      <c r="D6" s="210"/>
      <c r="E6" s="210"/>
      <c r="F6" s="78" t="str">
        <f>VLOOKUP("hPhone",tblTrans3Langs[],LangFieldID,FALSE)</f>
        <v>Phone</v>
      </c>
      <c r="G6" s="211"/>
      <c r="H6" s="211"/>
      <c r="I6" s="211"/>
      <c r="J6" s="79"/>
      <c r="K6" s="206" t="str">
        <f>VLOOKUP("hRef",tblTrans3Langs[],LangFieldID,FALSE)</f>
        <v>Reference Nº</v>
      </c>
      <c r="L6" s="207"/>
      <c r="M6" s="248"/>
      <c r="N6" s="248"/>
      <c r="O6" s="13"/>
      <c r="P6" s="16" t="s">
        <v>1663</v>
      </c>
      <c r="Q6" s="142">
        <v>0</v>
      </c>
      <c r="R6" s="245" t="s">
        <v>1587</v>
      </c>
    </row>
    <row r="7" spans="1:18" s="9" customFormat="1" ht="10.75" x14ac:dyDescent="0.3">
      <c r="A7" s="17" t="str">
        <f>VLOOKUP("H12",tblTrans3Langs[],LangFieldID,FALSE)</f>
        <v>Affiliation</v>
      </c>
      <c r="B7" s="78" t="str">
        <f>VLOOKUP("hInstit",tblTrans3Langs[],LangFieldID,FALSE)</f>
        <v>Institution</v>
      </c>
      <c r="C7" s="205"/>
      <c r="D7" s="205"/>
      <c r="E7" s="205"/>
      <c r="F7" s="205"/>
      <c r="G7" s="18"/>
      <c r="H7" s="13"/>
      <c r="I7" s="19"/>
      <c r="J7" s="79"/>
      <c r="K7" s="20"/>
      <c r="L7" s="16" t="s">
        <v>1962</v>
      </c>
      <c r="M7" s="114"/>
      <c r="N7" s="13"/>
      <c r="O7" s="21"/>
      <c r="P7" s="16" t="s">
        <v>1664</v>
      </c>
      <c r="Q7" s="143">
        <v>0</v>
      </c>
      <c r="R7" s="246"/>
    </row>
    <row r="8" spans="1:18" s="9" customFormat="1" ht="10.75" x14ac:dyDescent="0.3">
      <c r="A8" s="22"/>
      <c r="B8" s="78" t="str">
        <f>VLOOKUP("hDepart",tblTrans3Langs[],LangFieldID,FALSE)</f>
        <v>Department</v>
      </c>
      <c r="C8" s="205"/>
      <c r="D8" s="205"/>
      <c r="E8" s="205"/>
      <c r="F8" s="205"/>
      <c r="G8" s="18"/>
      <c r="H8" s="13"/>
      <c r="I8" s="19"/>
      <c r="J8" s="79"/>
      <c r="K8" s="250" t="str">
        <f>VLOOKUP("hFName",tblTrans3Langs[],LangFieldID,FALSE)</f>
        <v>File name (proposed)</v>
      </c>
      <c r="L8" s="251"/>
      <c r="M8" s="251"/>
      <c r="N8" s="251"/>
      <c r="O8" s="79"/>
      <c r="P8" s="16" t="s">
        <v>1665</v>
      </c>
      <c r="Q8" s="143">
        <v>0</v>
      </c>
      <c r="R8" s="246"/>
    </row>
    <row r="9" spans="1:18" s="9" customFormat="1" ht="10.75" x14ac:dyDescent="0.3">
      <c r="A9" s="23"/>
      <c r="B9" s="78" t="str">
        <f>VLOOKUP("hAddress",tblTrans3Langs[],LangFieldID,FALSE)</f>
        <v>Address</v>
      </c>
      <c r="C9" s="205"/>
      <c r="D9" s="205"/>
      <c r="E9" s="205"/>
      <c r="F9" s="24" t="str">
        <f>VLOOKUP("hCountry",tblTrans3Langs[],LangFieldID,FALSE)</f>
        <v>Country</v>
      </c>
      <c r="G9" s="249"/>
      <c r="H9" s="249"/>
      <c r="I9" s="249"/>
      <c r="J9" s="13"/>
      <c r="K9" s="243" t="str">
        <f>IF(AND(J4="ok",J11="ok"),"ST10_"&amp;E12&amp;C13&amp;LEFT(C17,1)&amp;"-"&amp;LEFT(C19,2)&amp;"#"&amp;M6&amp;".xlsx","")</f>
        <v/>
      </c>
      <c r="L9" s="244"/>
      <c r="M9" s="244"/>
      <c r="N9" s="244"/>
      <c r="O9" s="79"/>
      <c r="P9" s="16" t="s">
        <v>1666</v>
      </c>
      <c r="Q9" s="140"/>
      <c r="R9" s="246"/>
    </row>
    <row r="10" spans="1:18" s="9" customFormat="1" ht="10.75" x14ac:dyDescent="0.3">
      <c r="A10" s="25"/>
      <c r="B10" s="26"/>
      <c r="C10" s="26"/>
      <c r="D10" s="26"/>
      <c r="E10" s="26"/>
      <c r="F10" s="26"/>
      <c r="G10" s="26"/>
      <c r="H10" s="26"/>
      <c r="I10" s="27"/>
      <c r="J10" s="28"/>
      <c r="K10" s="29"/>
      <c r="L10" s="26"/>
      <c r="M10" s="26"/>
      <c r="N10" s="26"/>
      <c r="O10" s="28"/>
      <c r="P10" s="28"/>
      <c r="Q10" s="141"/>
      <c r="R10" s="247"/>
    </row>
    <row r="11" spans="1:18" s="9" customFormat="1" ht="10.75" x14ac:dyDescent="0.3">
      <c r="A11" s="219" t="str">
        <f>VLOOKUP("H30",tblTrans3Langs[],LangFieldID,FALSE)</f>
        <v>Data set characteristics</v>
      </c>
      <c r="B11" s="220"/>
      <c r="C11" s="220"/>
      <c r="D11" s="220"/>
      <c r="E11" s="220"/>
      <c r="F11" s="227" t="str">
        <f>VLOOKUP("H31",tblTrans3Langs[],LangFieldID,FALSE)</f>
        <v>Tropical Tunas Moratory Sampling Area</v>
      </c>
      <c r="G11" s="227"/>
      <c r="H11" s="227"/>
      <c r="I11" s="227"/>
      <c r="J11" s="11" t="str">
        <f>IF(E12="","inc",IF(AND(C13&gt;0,C15&gt;0,C17&gt;0,C18&gt;0),"ok","inc"))</f>
        <v>inc</v>
      </c>
      <c r="K11" s="235" t="str">
        <f>VLOOKUP("hNotes",tblTrans3Langs[],LangFieldID,FALSE)</f>
        <v>Notes</v>
      </c>
      <c r="L11" s="235"/>
      <c r="M11" s="235"/>
      <c r="N11" s="235"/>
      <c r="O11" s="235"/>
      <c r="P11" s="235"/>
      <c r="Q11" s="235"/>
      <c r="R11" s="236"/>
    </row>
    <row r="12" spans="1:18" s="9" customFormat="1" ht="12.15" customHeight="1" x14ac:dyDescent="0.3">
      <c r="A12" s="225" t="str">
        <f>VLOOKUP("hFlagrep",tblTrans3Langs[],LangFieldID,FALSE)</f>
        <v>Reporting Flag</v>
      </c>
      <c r="B12" s="226"/>
      <c r="C12" s="205"/>
      <c r="D12" s="205"/>
      <c r="E12" s="79" t="str">
        <f>IFERROR(IF(C12&gt;0,VLOOKUP(C12,Codes!A3:B175,2,FALSE),""),"")</f>
        <v/>
      </c>
      <c r="F12" s="230" t="str">
        <f>VLOOKUP("H31",tblTrans3Langs[],LangNameID,FALSE)</f>
        <v>ICCAT Convention Area (January &amp; February 2020)</v>
      </c>
      <c r="G12" s="230"/>
      <c r="H12" s="230"/>
      <c r="I12" s="230"/>
      <c r="J12" s="82"/>
      <c r="K12" s="228"/>
      <c r="L12" s="228"/>
      <c r="M12" s="228"/>
      <c r="N12" s="228"/>
      <c r="O12" s="228"/>
      <c r="P12" s="228"/>
      <c r="Q12" s="228"/>
      <c r="R12" s="229"/>
    </row>
    <row r="13" spans="1:18" s="9" customFormat="1" ht="12.15" customHeight="1" x14ac:dyDescent="0.3">
      <c r="A13" s="206" t="str">
        <f>VLOOKUP("hYearC",tblTrans3Langs[],LangFieldID,FALSE)</f>
        <v>Year (calendar)</v>
      </c>
      <c r="B13" s="207"/>
      <c r="C13" s="80"/>
      <c r="D13" s="79"/>
      <c r="E13" s="79"/>
      <c r="F13" s="230"/>
      <c r="G13" s="230"/>
      <c r="H13" s="230"/>
      <c r="I13" s="230"/>
      <c r="J13" s="45"/>
      <c r="K13" s="228"/>
      <c r="L13" s="228"/>
      <c r="M13" s="228"/>
      <c r="N13" s="228"/>
      <c r="O13" s="228"/>
      <c r="P13" s="228"/>
      <c r="Q13" s="228"/>
      <c r="R13" s="229"/>
    </row>
    <row r="14" spans="1:18" s="9" customFormat="1" ht="10.75" x14ac:dyDescent="0.3">
      <c r="A14" s="252"/>
      <c r="B14" s="253"/>
      <c r="C14" s="13"/>
      <c r="D14" s="13"/>
      <c r="E14" s="13"/>
      <c r="F14" s="230"/>
      <c r="G14" s="230"/>
      <c r="H14" s="230"/>
      <c r="I14" s="230"/>
      <c r="J14" s="45"/>
      <c r="K14" s="228"/>
      <c r="L14" s="228"/>
      <c r="M14" s="228"/>
      <c r="N14" s="228"/>
      <c r="O14" s="228"/>
      <c r="P14" s="228"/>
      <c r="Q14" s="228"/>
      <c r="R14" s="229"/>
    </row>
    <row r="15" spans="1:18" s="9" customFormat="1" ht="10.75" x14ac:dyDescent="0.3">
      <c r="A15" s="206" t="str">
        <f>VLOOKUP("hLandingPort",tblTrans3Langs[],LangFieldID,FALSE)</f>
        <v>Landing/sampling Port (name)</v>
      </c>
      <c r="B15" s="207"/>
      <c r="C15" s="205"/>
      <c r="D15" s="205"/>
      <c r="E15" s="13"/>
      <c r="F15" s="230"/>
      <c r="G15" s="230"/>
      <c r="H15" s="230"/>
      <c r="I15" s="230"/>
      <c r="J15" s="45"/>
      <c r="K15" s="228"/>
      <c r="L15" s="228"/>
      <c r="M15" s="228"/>
      <c r="N15" s="228"/>
      <c r="O15" s="228"/>
      <c r="P15" s="228"/>
      <c r="Q15" s="228"/>
      <c r="R15" s="229"/>
    </row>
    <row r="16" spans="1:18" s="9" customFormat="1" ht="10.75" x14ac:dyDescent="0.3">
      <c r="A16" s="22"/>
      <c r="B16" s="13"/>
      <c r="C16" s="13"/>
      <c r="D16" s="79"/>
      <c r="E16" s="19"/>
      <c r="F16" s="62"/>
      <c r="G16" s="62"/>
      <c r="H16" s="62"/>
      <c r="I16" s="62"/>
      <c r="J16" s="45"/>
      <c r="K16" s="228"/>
      <c r="L16" s="228"/>
      <c r="M16" s="228"/>
      <c r="N16" s="228"/>
      <c r="O16" s="228"/>
      <c r="P16" s="228"/>
      <c r="Q16" s="228"/>
      <c r="R16" s="229"/>
    </row>
    <row r="17" spans="1:18" s="9" customFormat="1" ht="10.75" x14ac:dyDescent="0.3">
      <c r="A17" s="225" t="str">
        <f>VLOOKUP("hVersion",tblTrans3Langs[],LangFieldID,FALSE)</f>
        <v>Version reported</v>
      </c>
      <c r="B17" s="226"/>
      <c r="C17" s="80"/>
      <c r="D17" s="79"/>
      <c r="E17" s="19"/>
      <c r="F17" s="233" t="str">
        <f>VLOOKUP("T04",tblTrans3Langs[],LangFieldID,FALSE)</f>
        <v>ST10B</v>
      </c>
      <c r="G17" s="231" t="str">
        <f>VLOOKUP("T04",tblTrans3Langs[],LangNameID,FALSE)</f>
        <v>Size Frequency sample details by landing operation</v>
      </c>
      <c r="H17" s="231"/>
      <c r="I17" s="231"/>
      <c r="J17" s="45"/>
      <c r="K17" s="228"/>
      <c r="L17" s="228"/>
      <c r="M17" s="228"/>
      <c r="N17" s="228"/>
      <c r="O17" s="228"/>
      <c r="P17" s="228"/>
      <c r="Q17" s="228"/>
      <c r="R17" s="229"/>
    </row>
    <row r="18" spans="1:18" s="9" customFormat="1" ht="12.15" customHeight="1" x14ac:dyDescent="0.3">
      <c r="A18" s="225" t="str">
        <f>VLOOKUP("hContent",tblTrans3Langs[],LangFieldID,FALSE)</f>
        <v>Content (data)</v>
      </c>
      <c r="B18" s="226"/>
      <c r="C18" s="48"/>
      <c r="D18" s="79"/>
      <c r="E18" s="19"/>
      <c r="F18" s="234"/>
      <c r="G18" s="232"/>
      <c r="H18" s="232"/>
      <c r="I18" s="232"/>
      <c r="J18" s="45"/>
      <c r="K18" s="228"/>
      <c r="L18" s="228"/>
      <c r="M18" s="228"/>
      <c r="N18" s="228"/>
      <c r="O18" s="228"/>
      <c r="P18" s="228"/>
      <c r="Q18" s="228"/>
      <c r="R18" s="229"/>
    </row>
    <row r="19" spans="1:18" s="9" customFormat="1" ht="10.75" x14ac:dyDescent="0.3">
      <c r="A19" s="25"/>
      <c r="B19" s="30"/>
      <c r="C19" s="265" t="str">
        <f>IF(C18&gt;0,VLOOKUP(C18,Codes!$T$39:$V$42,3,FALSE)&amp;": " &amp;VLOOKUP(C18,Codes!$T$39:$V$42,2,FALSE),"")</f>
        <v/>
      </c>
      <c r="D19" s="265"/>
      <c r="E19" s="265"/>
      <c r="F19" s="31"/>
      <c r="G19" s="75"/>
      <c r="H19" s="75"/>
      <c r="I19" s="75"/>
      <c r="J19" s="32"/>
      <c r="K19" s="76"/>
      <c r="L19" s="76"/>
      <c r="M19" s="76"/>
      <c r="N19" s="76"/>
      <c r="O19" s="76"/>
      <c r="P19" s="76"/>
      <c r="Q19" s="76"/>
      <c r="R19" s="77"/>
    </row>
    <row r="20" spans="1:18" s="9" customFormat="1" ht="10.75" x14ac:dyDescent="0.3">
      <c r="C20" s="81"/>
    </row>
    <row r="21" spans="1:18" s="9" customFormat="1" ht="10.75" x14ac:dyDescent="0.3">
      <c r="A21" s="257" t="str">
        <f>VLOOKUP("D01",tblTrans3Langs[],LangFieldID,FALSE) &amp; ": " &amp;VLOOKUP("D01",tblTrans3Langs[],LangNameID,FALSE)</f>
        <v>Data by Landing Operation(s): Complete this section for each vessel-landing operation by date.  If size samples were taken please add this information to the subform ST10B-PrtSmpSZ</v>
      </c>
      <c r="B21" s="258"/>
      <c r="C21" s="258"/>
      <c r="D21" s="258"/>
      <c r="E21" s="258"/>
      <c r="F21" s="258"/>
      <c r="G21" s="258"/>
      <c r="H21" s="258"/>
      <c r="I21" s="258"/>
      <c r="J21" s="258"/>
      <c r="K21" s="258"/>
      <c r="L21" s="258"/>
      <c r="M21" s="258"/>
      <c r="N21" s="259"/>
    </row>
    <row r="22" spans="1:18" s="4" customFormat="1" ht="10.75" x14ac:dyDescent="0.3">
      <c r="A22" s="254" t="str">
        <f>VLOOKUP("D10",tblTrans3Langs[],LangFieldID,FALSE)</f>
        <v>Landing operation details</v>
      </c>
      <c r="B22" s="255"/>
      <c r="C22" s="255"/>
      <c r="D22" s="255"/>
      <c r="E22" s="255"/>
      <c r="F22" s="255"/>
      <c r="G22" s="256"/>
      <c r="H22" s="262" t="str">
        <f>VLOOKUP("D20",tblTrans3Langs[],LangFieldID,FALSE)</f>
        <v>Landings (YFT, BET, SKJ)</v>
      </c>
      <c r="I22" s="263"/>
      <c r="J22" s="263"/>
      <c r="K22" s="263"/>
      <c r="L22" s="263"/>
      <c r="M22" s="264"/>
      <c r="N22" s="241" t="str">
        <f>VLOOKUP("D30",tblTrans3Langs[],LangFieldID,FALSE)</f>
        <v>Sampling (size availability)</v>
      </c>
      <c r="P22" s="56"/>
    </row>
    <row r="23" spans="1:18" s="7" customFormat="1" ht="11.25" customHeight="1" x14ac:dyDescent="0.3">
      <c r="A23" s="237" t="str">
        <f>VLOOKUP(A$26,tblTrans3Langs[],LangFieldID,FALSE)</f>
        <v>Landing ID (secuencial number)</v>
      </c>
      <c r="B23" s="237" t="str">
        <f>VLOOKUP(B$26,tblTrans3Langs[],LangFieldID,FALSE)</f>
        <v>Landing date (yyyy/mm/dd)</v>
      </c>
      <c r="C23" s="237" t="str">
        <f>VLOOKUP(C$26,tblTrans3Langs[],LangFieldID,FALSE)</f>
        <v>Vessel ICCAT Serial number</v>
      </c>
      <c r="D23" s="237" t="str">
        <f>VLOOKUP(D$26,tblTrans3Langs[],LangFieldID,FALSE)</f>
        <v>Vessel name (latin)</v>
      </c>
      <c r="E23" s="237" t="str">
        <f>VLOOKUP(E$26,tblTrans3Langs[],LangFieldID,FALSE)</f>
        <v>Vessel National Register number</v>
      </c>
      <c r="F23" s="237" t="str">
        <f>VLOOKUP(F$26,tblTrans3Langs[],LangFieldID,FALSE)</f>
        <v>Flag of Vessel (cod)</v>
      </c>
      <c r="G23" s="239" t="str">
        <f>VLOOKUP($G$26,tblTrans3Langs[],LangFieldID,FALSE)</f>
        <v>Gear (cod)</v>
      </c>
      <c r="H23" s="260" t="s">
        <v>27</v>
      </c>
      <c r="I23" s="261"/>
      <c r="J23" s="260" t="s">
        <v>40</v>
      </c>
      <c r="K23" s="261"/>
      <c r="L23" s="260" t="s">
        <v>56</v>
      </c>
      <c r="M23" s="261"/>
      <c r="N23" s="242"/>
    </row>
    <row r="24" spans="1:18" s="7" customFormat="1" ht="21.45" x14ac:dyDescent="0.3">
      <c r="A24" s="238"/>
      <c r="B24" s="238"/>
      <c r="C24" s="238"/>
      <c r="D24" s="238"/>
      <c r="E24" s="238"/>
      <c r="F24" s="238"/>
      <c r="G24" s="240"/>
      <c r="H24" s="63" t="str">
        <f>VLOOKUP(H$26,tblTrans3Langs[],LangFieldID,FALSE)</f>
        <v>Weight (kg)</v>
      </c>
      <c r="I24" s="67" t="str">
        <f>VLOOKUP(I$26,tblTrans3Langs[],LangFieldID,FALSE)</f>
        <v>Product type</v>
      </c>
      <c r="J24" s="63" t="str">
        <f>VLOOKUP(J$26,tblTrans3Langs[],LangFieldID,FALSE)</f>
        <v>Weight (kg)</v>
      </c>
      <c r="K24" s="67" t="str">
        <f>VLOOKUP(K$26,tblTrans3Langs[],LangFieldID,FALSE)</f>
        <v>Product type</v>
      </c>
      <c r="L24" s="63" t="str">
        <f>VLOOKUP(L$26,tblTrans3Langs[],LangFieldID,FALSE)</f>
        <v>Weight (kg)</v>
      </c>
      <c r="M24" s="67" t="str">
        <f>VLOOKUP(M$26,tblTrans3Langs[],LangFieldID,FALSE)</f>
        <v>Product type</v>
      </c>
      <c r="N24" s="64" t="str">
        <f>VLOOKUP($N$26,tblTrans3Langs[],LangFieldID,FALSE)</f>
        <v>Landings with samples (Y/N ?</v>
      </c>
    </row>
    <row r="25" spans="1:18" s="9" customFormat="1" ht="10.75" x14ac:dyDescent="0.3">
      <c r="A25" s="33" t="str">
        <f t="shared" ref="A25:M25" si="0">REPT("+",8)</f>
        <v>++++++++</v>
      </c>
      <c r="B25" s="33" t="str">
        <f t="shared" si="0"/>
        <v>++++++++</v>
      </c>
      <c r="C25" s="33" t="str">
        <f>REPT("+",13)</f>
        <v>+++++++++++++</v>
      </c>
      <c r="D25" s="33" t="str">
        <f>REPT("+",30)</f>
        <v>++++++++++++++++++++++++++++++</v>
      </c>
      <c r="E25" s="33" t="str">
        <f>REPT("+",14)</f>
        <v>++++++++++++++</v>
      </c>
      <c r="F25" s="33" t="str">
        <f t="shared" si="0"/>
        <v>++++++++</v>
      </c>
      <c r="G25" s="33" t="str">
        <f t="shared" si="0"/>
        <v>++++++++</v>
      </c>
      <c r="H25" s="33" t="str">
        <f t="shared" si="0"/>
        <v>++++++++</v>
      </c>
      <c r="I25" s="33" t="str">
        <f t="shared" si="0"/>
        <v>++++++++</v>
      </c>
      <c r="J25" s="33" t="str">
        <f t="shared" si="0"/>
        <v>++++++++</v>
      </c>
      <c r="K25" s="33" t="str">
        <f t="shared" si="0"/>
        <v>++++++++</v>
      </c>
      <c r="L25" s="33" t="str">
        <f t="shared" si="0"/>
        <v>++++++++</v>
      </c>
      <c r="M25" s="33" t="str">
        <f t="shared" si="0"/>
        <v>++++++++</v>
      </c>
      <c r="N25" s="33" t="str">
        <f>REPT("+",4)</f>
        <v>++++</v>
      </c>
    </row>
    <row r="26" spans="1:18" s="4" customFormat="1" ht="10.75" x14ac:dyDescent="0.3">
      <c r="A26" s="68" t="s">
        <v>562</v>
      </c>
      <c r="B26" s="68" t="s">
        <v>1807</v>
      </c>
      <c r="C26" s="68" t="s">
        <v>1779</v>
      </c>
      <c r="D26" s="68" t="s">
        <v>1808</v>
      </c>
      <c r="E26" s="68" t="s">
        <v>1809</v>
      </c>
      <c r="F26" s="68" t="s">
        <v>1810</v>
      </c>
      <c r="G26" s="68" t="s">
        <v>1811</v>
      </c>
      <c r="H26" s="68" t="s">
        <v>564</v>
      </c>
      <c r="I26" s="69" t="s">
        <v>1776</v>
      </c>
      <c r="J26" s="68" t="s">
        <v>565</v>
      </c>
      <c r="K26" s="69" t="s">
        <v>1774</v>
      </c>
      <c r="L26" s="68" t="s">
        <v>566</v>
      </c>
      <c r="M26" s="69" t="s">
        <v>1775</v>
      </c>
      <c r="N26" s="70" t="s">
        <v>1773</v>
      </c>
    </row>
    <row r="27" spans="1:18" s="101" customFormat="1" ht="10.75" x14ac:dyDescent="0.3">
      <c r="B27" s="102"/>
      <c r="E27" s="80"/>
    </row>
    <row r="28" spans="1:18" s="101" customFormat="1" ht="11.25" customHeight="1" x14ac:dyDescent="0.3">
      <c r="B28" s="102"/>
      <c r="E28" s="80"/>
    </row>
    <row r="29" spans="1:18" s="101" customFormat="1" ht="10.75" x14ac:dyDescent="0.3">
      <c r="B29" s="102"/>
      <c r="E29" s="80"/>
    </row>
    <row r="30" spans="1:18" s="101" customFormat="1" ht="10.75" x14ac:dyDescent="0.3">
      <c r="B30" s="102"/>
      <c r="E30" s="80"/>
    </row>
    <row r="31" spans="1:18" s="101" customFormat="1" ht="10.75" x14ac:dyDescent="0.3">
      <c r="B31" s="102"/>
      <c r="E31" s="80"/>
      <c r="R31" s="103"/>
    </row>
    <row r="32" spans="1:18" s="101" customFormat="1" ht="10.75" x14ac:dyDescent="0.3">
      <c r="B32" s="102"/>
      <c r="E32" s="80"/>
      <c r="R32" s="102"/>
    </row>
    <row r="33" spans="2:5" s="101" customFormat="1" ht="10.75" x14ac:dyDescent="0.3">
      <c r="B33" s="102"/>
      <c r="E33" s="80"/>
    </row>
    <row r="34" spans="2:5" s="101" customFormat="1" ht="10.75" x14ac:dyDescent="0.3">
      <c r="B34" s="102"/>
      <c r="E34" s="80"/>
    </row>
    <row r="35" spans="2:5" s="101" customFormat="1" ht="10.75" x14ac:dyDescent="0.3">
      <c r="B35" s="102"/>
      <c r="E35" s="80"/>
    </row>
    <row r="36" spans="2:5" s="101" customFormat="1" ht="10.75" x14ac:dyDescent="0.3">
      <c r="B36" s="102"/>
      <c r="E36" s="80"/>
    </row>
    <row r="37" spans="2:5" s="101" customFormat="1" ht="10.75" x14ac:dyDescent="0.3">
      <c r="B37" s="102"/>
      <c r="E37" s="80"/>
    </row>
    <row r="38" spans="2:5" s="101" customFormat="1" ht="10.75" x14ac:dyDescent="0.3">
      <c r="B38" s="102"/>
      <c r="E38" s="80"/>
    </row>
    <row r="39" spans="2:5" s="101" customFormat="1" ht="10.75" x14ac:dyDescent="0.3">
      <c r="B39" s="102"/>
      <c r="E39" s="80"/>
    </row>
    <row r="40" spans="2:5" s="101" customFormat="1" ht="10.75" x14ac:dyDescent="0.3">
      <c r="B40" s="102"/>
      <c r="E40" s="80"/>
    </row>
    <row r="41" spans="2:5" s="101" customFormat="1" ht="10.75" x14ac:dyDescent="0.3">
      <c r="B41" s="102"/>
      <c r="E41" s="80"/>
    </row>
    <row r="42" spans="2:5" s="101" customFormat="1" ht="10.75" x14ac:dyDescent="0.3">
      <c r="B42" s="102"/>
      <c r="E42" s="80"/>
    </row>
    <row r="43" spans="2:5" s="101" customFormat="1" ht="10.75" x14ac:dyDescent="0.3">
      <c r="B43" s="102"/>
      <c r="E43" s="80"/>
    </row>
    <row r="44" spans="2:5" s="101" customFormat="1" ht="10.75" x14ac:dyDescent="0.3">
      <c r="B44" s="102"/>
      <c r="E44" s="80"/>
    </row>
    <row r="45" spans="2:5" s="101" customFormat="1" ht="10.75" x14ac:dyDescent="0.3">
      <c r="B45" s="102"/>
      <c r="E45" s="80"/>
    </row>
    <row r="46" spans="2:5" s="101" customFormat="1" ht="10.75" x14ac:dyDescent="0.3">
      <c r="B46" s="102"/>
      <c r="E46" s="80"/>
    </row>
    <row r="47" spans="2:5" s="101" customFormat="1" ht="10.75" x14ac:dyDescent="0.3">
      <c r="B47" s="102"/>
      <c r="E47" s="80"/>
    </row>
    <row r="48" spans="2:5" s="101" customFormat="1" ht="10.75" x14ac:dyDescent="0.3">
      <c r="B48" s="102"/>
      <c r="E48" s="80"/>
    </row>
    <row r="49" spans="2:5" s="101" customFormat="1" ht="10.75" x14ac:dyDescent="0.3">
      <c r="B49" s="102"/>
      <c r="E49" s="80"/>
    </row>
    <row r="50" spans="2:5" s="101" customFormat="1" ht="10.75" x14ac:dyDescent="0.3">
      <c r="B50" s="102"/>
      <c r="E50" s="80"/>
    </row>
  </sheetData>
  <sheetProtection algorithmName="SHA-512" hashValue="idIOF+Eo0mh/Kiqf4EvMqHE96luHTzs97Mp1itfGdlyOTDYDMoA1ldpODEOPxerboAX4L/DK/3XfWhfuaxgZzg==" saltValue="HKOG7lWB7cR8fIQaMbeBqg==" spinCount="100000" sheet="1" formatCells="0" formatRows="0" insertRows="0" deleteRows="0" autoFilter="0"/>
  <dataConsolidate/>
  <mergeCells count="51">
    <mergeCell ref="A23:A24"/>
    <mergeCell ref="B23:B24"/>
    <mergeCell ref="C23:C24"/>
    <mergeCell ref="A14:B14"/>
    <mergeCell ref="A22:G22"/>
    <mergeCell ref="A21:N21"/>
    <mergeCell ref="H23:I23"/>
    <mergeCell ref="H22:M22"/>
    <mergeCell ref="J23:K23"/>
    <mergeCell ref="L23:M23"/>
    <mergeCell ref="A17:B17"/>
    <mergeCell ref="A15:B15"/>
    <mergeCell ref="C15:D15"/>
    <mergeCell ref="C19:E19"/>
    <mergeCell ref="D23:D24"/>
    <mergeCell ref="E23:E24"/>
    <mergeCell ref="F23:F24"/>
    <mergeCell ref="G23:G24"/>
    <mergeCell ref="N22:N23"/>
    <mergeCell ref="K9:N9"/>
    <mergeCell ref="R6:R10"/>
    <mergeCell ref="K6:L6"/>
    <mergeCell ref="M6:N6"/>
    <mergeCell ref="C7:F7"/>
    <mergeCell ref="C8:F8"/>
    <mergeCell ref="C9:E9"/>
    <mergeCell ref="G9:I9"/>
    <mergeCell ref="K8:N8"/>
    <mergeCell ref="A12:B12"/>
    <mergeCell ref="C12:D12"/>
    <mergeCell ref="F11:I11"/>
    <mergeCell ref="A11:E11"/>
    <mergeCell ref="K12:R18"/>
    <mergeCell ref="F12:I15"/>
    <mergeCell ref="G17:I18"/>
    <mergeCell ref="F17:F18"/>
    <mergeCell ref="K11:R11"/>
    <mergeCell ref="A18:B18"/>
    <mergeCell ref="A13:B13"/>
    <mergeCell ref="A1:B2"/>
    <mergeCell ref="C1:P1"/>
    <mergeCell ref="C2:P2"/>
    <mergeCell ref="A3:H3"/>
    <mergeCell ref="A4:I4"/>
    <mergeCell ref="K4:O4"/>
    <mergeCell ref="P4:R4"/>
    <mergeCell ref="C5:I5"/>
    <mergeCell ref="K5:L5"/>
    <mergeCell ref="M5:N5"/>
    <mergeCell ref="C6:E6"/>
    <mergeCell ref="G6:I6"/>
  </mergeCells>
  <phoneticPr fontId="0" type="noConversion"/>
  <conditionalFormatting sqref="C5:I5 C6:E6 G6:I6 C7:F8 C9:E9 G9:I9 C12:D12 C13 C15:D15 C17:C18">
    <cfRule type="containsBlanks" dxfId="6" priority="6">
      <formula>LEN(TRIM(C5))=0</formula>
    </cfRule>
  </conditionalFormatting>
  <conditionalFormatting sqref="J4 J11">
    <cfRule type="containsText" dxfId="5" priority="5" operator="containsText" text="inc">
      <formula>NOT(ISERROR(SEARCH("inc",J4)))</formula>
    </cfRule>
  </conditionalFormatting>
  <conditionalFormatting sqref="J4 K9:N9 J11 C12">
    <cfRule type="containsErrors" dxfId="4" priority="1">
      <formula>ISERROR(C4)</formula>
    </cfRule>
  </conditionalFormatting>
  <conditionalFormatting sqref="K9:N9">
    <cfRule type="expression" dxfId="3" priority="2">
      <formula>LEN($C$12)=0</formula>
    </cfRule>
    <cfRule type="expression" dxfId="2" priority="3">
      <formula>LEN($K$9)=0</formula>
    </cfRule>
  </conditionalFormatting>
  <conditionalFormatting sqref="Q6:Q8">
    <cfRule type="cellIs" dxfId="1" priority="7" operator="equal">
      <formula>1</formula>
    </cfRule>
  </conditionalFormatting>
  <conditionalFormatting sqref="R6">
    <cfRule type="cellIs" dxfId="0" priority="8" operator="equal">
      <formula>1</formula>
    </cfRule>
  </conditionalFormatting>
  <dataValidations xWindow="316" yWindow="682" count="16">
    <dataValidation type="list" allowBlank="1" errorTitle="Reporting Flag name not defined" error="Select a valid Reporting Flag name" promptTitle="Reporting Flag names" prompt="Select from the list" sqref="C12:D12" xr:uid="{00000000-0002-0000-0000-000000000000}">
      <formula1>FlagName</formula1>
    </dataValidation>
    <dataValidation type="list" allowBlank="1" showInputMessage="1" showErrorMessage="1" sqref="R2" xr:uid="{00000000-0002-0000-0000-000001000000}">
      <formula1>"ENG,FRA,ESP"</formula1>
    </dataValidation>
    <dataValidation type="list" allowBlank="1" showInputMessage="1" showErrorMessage="1" errorTitle="Version reported" error="Select a valid option" promptTitle="Version reported" prompt="Final or preliminary" sqref="C17" xr:uid="{00000000-0002-0000-0000-000002000000}">
      <formula1>Version</formula1>
    </dataValidation>
    <dataValidation type="whole" allowBlank="1" errorTitle="Invalid year" error="Not between 1950 and Current Year" promptTitle="Year (4 digits)" prompt="between 1950 and Current Year" sqref="C13" xr:uid="{00000000-0002-0000-0000-000003000000}">
      <formula1>1950</formula1>
      <formula2>YEAR(NOW())</formula2>
    </dataValidation>
    <dataValidation type="list" allowBlank="1" showInputMessage="1" showErrorMessage="1" errorTitle="Country name not defined" error="Select a valid Country name" promptTitle="Country names" prompt="Select from the list" sqref="G9:I9" xr:uid="{00000000-0002-0000-0000-000004000000}">
      <formula1>FlagName</formula1>
    </dataValidation>
    <dataValidation type="list" allowBlank="1" showInputMessage="1" showErrorMessage="1" sqref="C18" xr:uid="{00000000-0002-0000-0000-000005000000}">
      <formula1>Content</formula1>
    </dataValidation>
    <dataValidation type="list" allowBlank="1" showInputMessage="1" showErrorMessage="1" prompt="Yes if size sample collected" sqref="N27:N50" xr:uid="{00000000-0002-0000-0000-000007000000}">
      <formula1>"No, Yes"</formula1>
    </dataValidation>
    <dataValidation type="list" allowBlank="1" showInputMessage="1" showErrorMessage="1" promptTitle="Gear Code" prompt="Select Gear code" sqref="G27:G50" xr:uid="{00000000-0002-0000-0000-000008000000}">
      <formula1>GearCode</formula1>
    </dataValidation>
    <dataValidation type="date" allowBlank="1" showInputMessage="1" showErrorMessage="1" errorTitle="Incorrect date" error="Please check the date of landing" promptTitle="Landing date" prompt="Year month day_x000a_yyyy/mm/dd" sqref="B27:B50" xr:uid="{00000000-0002-0000-0000-000009000000}">
      <formula1>41640</formula1>
      <formula2>TODAY()</formula2>
    </dataValidation>
    <dataValidation type="whole" operator="greaterThan" allowBlank="1" showInputMessage="1" showErrorMessage="1" sqref="H27:H50 J27:J50 L27:L50" xr:uid="{00000000-0002-0000-0000-00000C000000}">
      <formula1>0</formula1>
    </dataValidation>
    <dataValidation type="date" operator="greaterThanOrEqual" allowBlank="1" showInputMessage="1" showErrorMessage="1" sqref="M5:N5" xr:uid="{00000000-0002-0000-0000-00000D000000}">
      <formula1>DATE(YEAR(NOW()),1,1)</formula1>
    </dataValidation>
    <dataValidation type="textLength" allowBlank="1" showInputMessage="1" showErrorMessage="1" sqref="M6:N6" xr:uid="{00000000-0002-0000-0000-00000E000000}">
      <formula1>9</formula1>
      <formula2>9</formula2>
    </dataValidation>
    <dataValidation type="textLength" allowBlank="1" showInputMessage="1" showErrorMessage="1" sqref="M7" xr:uid="{56DBE54A-6784-4E70-986D-A86DBD0C0942}">
      <formula1>2</formula1>
      <formula2>2</formula2>
    </dataValidation>
    <dataValidation type="whole" allowBlank="1" showInputMessage="1" showErrorMessage="1" sqref="Q6:Q8" xr:uid="{4114EDE2-9EE6-42F2-B33B-DD5828E03975}">
      <formula1>0</formula1>
      <formula2>1</formula2>
    </dataValidation>
    <dataValidation type="list" allowBlank="1" showInputMessage="1" showErrorMessage="1" sqref="I27:I50 K27:K50 M27:M50" xr:uid="{EE4C6F33-B1E2-4E67-B8D1-69C556A32518}">
      <formula1>ProdTypeCode</formula1>
    </dataValidation>
    <dataValidation type="list" allowBlank="1" showInputMessage="1" showErrorMessage="1" promptTitle="Flag of Vessel" prompt="Current Flag of Vessel" sqref="F27:F50" xr:uid="{7A312B87-3B4B-45CF-B899-539939564235}">
      <formula1>FlagA3ISO</formula1>
    </dataValidation>
  </dataValidations>
  <hyperlinks>
    <hyperlink ref="G23:G24" location="GearCode" display="GearCode" xr:uid="{00000000-0004-0000-0000-000000000000}"/>
    <hyperlink ref="A12:B12" location="FlagName" display="FlagName" xr:uid="{00000000-0004-0000-0000-000001000000}"/>
    <hyperlink ref="F9" location="FlagName" display="FlagName" xr:uid="{00000000-0004-0000-0000-000002000000}"/>
    <hyperlink ref="A17:B17" location="Version" display="Version" xr:uid="{00000000-0004-0000-0000-000003000000}"/>
    <hyperlink ref="F17" location="'ST10B-PrtSmpSZ'!A1" display="ST10B" xr:uid="{00000000-0004-0000-0000-000005000000}"/>
    <hyperlink ref="A18:B18" location="Content" display="Content" xr:uid="{00000000-0004-0000-0000-000006000000}"/>
    <hyperlink ref="I24" location="ProdTypeCode" display="ProdTypeCode" xr:uid="{00000000-0004-0000-0000-000007000000}"/>
    <hyperlink ref="K24" location="ProdTypeCode" display="ProdTypeCode" xr:uid="{9BB966A8-46BC-4A1B-8E8C-9C0982D0E047}"/>
    <hyperlink ref="M24" location="ProdTypeCode" display="ProdTypeCode" xr:uid="{5A4DD6E8-B52E-4257-BC66-094B0234C96D}"/>
  </hyperlinks>
  <pageMargins left="0.45" right="0.36" top="0.44" bottom="0.33" header="0.24" footer="0.26"/>
  <pageSetup paperSize="9" scale="95" orientation="landscape" r:id="rId1"/>
  <headerFooter alignWithMargins="0">
    <oddHeader>&amp;R&amp;"Times New Roman,Regular"page: &amp;P/&amp;N</oddHeader>
  </headerFooter>
  <legacy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rgb="FF00B0F0"/>
  </sheetPr>
  <dimension ref="A1:K39"/>
  <sheetViews>
    <sheetView zoomScaleNormal="100" workbookViewId="0">
      <selection activeCell="H14" sqref="H14:XFD39"/>
    </sheetView>
  </sheetViews>
  <sheetFormatPr defaultColWidth="9.07421875" defaultRowHeight="12.45" x14ac:dyDescent="0.3"/>
  <cols>
    <col min="1" max="1" width="12.3046875" style="73" bestFit="1" customWidth="1"/>
    <col min="2" max="2" width="11.3046875" style="74" bestFit="1" customWidth="1"/>
    <col min="3" max="3" width="12.84375" style="74" bestFit="1" customWidth="1"/>
    <col min="4" max="4" width="11.69140625" style="74" bestFit="1" customWidth="1"/>
    <col min="5" max="5" width="8.84375" style="74" bestFit="1" customWidth="1"/>
    <col min="6" max="6" width="10.84375" style="74" bestFit="1" customWidth="1"/>
    <col min="7" max="7" width="27.84375" style="74" bestFit="1" customWidth="1"/>
    <col min="8" max="8" width="9.4609375" style="74" customWidth="1"/>
    <col min="9" max="9" width="6.07421875" style="74" bestFit="1" customWidth="1"/>
    <col min="10" max="10" width="7.3046875" style="74" bestFit="1" customWidth="1"/>
    <col min="11" max="16384" width="9.07421875" style="74"/>
  </cols>
  <sheetData>
    <row r="1" spans="1:11" s="104" customFormat="1" ht="19.75" x14ac:dyDescent="0.3">
      <c r="A1" s="266" t="str">
        <f>+'ST10A-PrtSmp'!$A$1</f>
        <v>ST10-PrtSmp</v>
      </c>
      <c r="B1" s="267"/>
      <c r="C1" s="216" t="str">
        <f>+'ST10A-PrtSmp'!$C$1</f>
        <v xml:space="preserve">TASK 3 - PORT SAMPLING </v>
      </c>
      <c r="D1" s="216"/>
      <c r="E1" s="216"/>
      <c r="F1" s="216"/>
      <c r="G1" s="216"/>
      <c r="H1" s="216"/>
      <c r="I1" s="216"/>
      <c r="J1" s="107" t="str">
        <f>+'ST10A-PrtSmp'!Q1</f>
        <v>Version</v>
      </c>
      <c r="K1" s="108" t="str">
        <f>+'ST10A-PrtSmp'!R1</f>
        <v>Language</v>
      </c>
    </row>
    <row r="2" spans="1:11" s="104" customFormat="1" x14ac:dyDescent="0.3">
      <c r="A2" s="268"/>
      <c r="B2" s="269"/>
      <c r="C2" s="273" t="str">
        <f>+'ST10A-PrtSmp'!$C$2</f>
        <v>ICCAT: INTERNATIONAL COMMISSION FOR THE CONSERVATION OF ATLANTIC TUNAS</v>
      </c>
      <c r="D2" s="273"/>
      <c r="E2" s="273"/>
      <c r="F2" s="273"/>
      <c r="G2" s="273"/>
      <c r="H2" s="273"/>
      <c r="I2" s="273"/>
      <c r="J2" s="105" t="str">
        <f>+'ST10A-PrtSmp'!Q2</f>
        <v>2024a</v>
      </c>
      <c r="K2" s="106" t="str">
        <f>+'ST10A-PrtSmp'!R2</f>
        <v>ENG</v>
      </c>
    </row>
    <row r="3" spans="1:11" s="6" customFormat="1" ht="12" x14ac:dyDescent="0.35">
      <c r="A3" s="5"/>
    </row>
    <row r="4" spans="1:11" s="34" customFormat="1" ht="10.75" x14ac:dyDescent="0.3">
      <c r="A4" s="219" t="str">
        <f>+'ST10A-PrtSmp'!A11</f>
        <v>Data set characteristics</v>
      </c>
      <c r="B4" s="220"/>
      <c r="C4" s="220"/>
      <c r="D4" s="220"/>
      <c r="E4" s="220"/>
      <c r="F4" s="115"/>
      <c r="G4" s="115"/>
      <c r="H4" s="115"/>
      <c r="I4" s="115"/>
      <c r="J4" s="115"/>
      <c r="K4" s="116"/>
    </row>
    <row r="5" spans="1:11" s="34" customFormat="1" ht="10.75" x14ac:dyDescent="0.3">
      <c r="A5" s="270" t="str">
        <f>+'ST10A-PrtSmp'!A12</f>
        <v>Reporting Flag</v>
      </c>
      <c r="B5" s="271"/>
      <c r="C5" s="272" t="str">
        <f>IF('ST10A-PrtSmp'!C12&gt;0,'ST10A-PrtSmp'!C12,"")</f>
        <v/>
      </c>
      <c r="D5" s="272"/>
      <c r="E5" s="79"/>
      <c r="F5" s="277" t="str">
        <f>'ST10A-PrtSmp'!F11</f>
        <v>Tropical Tunas Moratory Sampling Area</v>
      </c>
      <c r="G5" s="277"/>
      <c r="H5" s="65"/>
      <c r="I5" s="65"/>
      <c r="J5" s="65"/>
      <c r="K5" s="54"/>
    </row>
    <row r="6" spans="1:11" s="34" customFormat="1" ht="10.199999999999999" customHeight="1" x14ac:dyDescent="0.3">
      <c r="A6" s="270" t="str">
        <f>+'ST10A-PrtSmp'!A13</f>
        <v>Year (calendar)</v>
      </c>
      <c r="B6" s="271"/>
      <c r="C6" s="119" t="str">
        <f>IF('ST10A-PrtSmp'!C13&gt;0,'ST10A-PrtSmp'!C13,"")</f>
        <v/>
      </c>
      <c r="D6" s="79"/>
      <c r="E6" s="79"/>
      <c r="F6" s="278" t="str">
        <f>'ST10A-PrtSmp'!F12</f>
        <v>ICCAT Convention Area (January &amp; February 2020)</v>
      </c>
      <c r="G6" s="278"/>
      <c r="H6" s="65"/>
      <c r="I6" s="65"/>
      <c r="J6" s="65"/>
      <c r="K6" s="54"/>
    </row>
    <row r="7" spans="1:11" s="34" customFormat="1" ht="10.75" x14ac:dyDescent="0.3">
      <c r="A7" s="270">
        <f>+'ST10A-PrtSmp'!A14</f>
        <v>0</v>
      </c>
      <c r="B7" s="271"/>
      <c r="C7" s="119" t="str">
        <f>IF('ST10A-PrtSmp'!C14&gt;0,'ST10A-PrtSmp'!C14,"")</f>
        <v/>
      </c>
      <c r="D7" s="13"/>
      <c r="E7" s="13"/>
      <c r="F7" s="278"/>
      <c r="G7" s="278"/>
      <c r="H7" s="65"/>
      <c r="I7" s="65"/>
      <c r="J7" s="65"/>
      <c r="K7" s="54"/>
    </row>
    <row r="8" spans="1:11" s="34" customFormat="1" ht="10.75" x14ac:dyDescent="0.3">
      <c r="A8" s="270" t="str">
        <f>+'ST10A-PrtSmp'!A15</f>
        <v>Landing/sampling Port (name)</v>
      </c>
      <c r="B8" s="271"/>
      <c r="C8" s="272" t="str">
        <f>IF('ST10A-PrtSmp'!C15&gt;0,'ST10A-PrtSmp'!C15,"")</f>
        <v/>
      </c>
      <c r="D8" s="272"/>
      <c r="E8" s="13"/>
      <c r="F8" s="278"/>
      <c r="G8" s="278"/>
      <c r="H8" s="65"/>
      <c r="I8" s="65"/>
      <c r="J8" s="65"/>
      <c r="K8" s="54"/>
    </row>
    <row r="9" spans="1:11" s="34" customFormat="1" ht="10.75" x14ac:dyDescent="0.3">
      <c r="A9" s="270"/>
      <c r="B9" s="271"/>
      <c r="C9" s="13"/>
      <c r="D9" s="79"/>
      <c r="E9" s="19"/>
      <c r="F9" s="278"/>
      <c r="G9" s="278"/>
      <c r="H9" s="65"/>
      <c r="I9" s="65"/>
      <c r="J9" s="65"/>
      <c r="K9" s="54"/>
    </row>
    <row r="10" spans="1:11" s="34" customFormat="1" ht="11.25" customHeight="1" x14ac:dyDescent="0.3">
      <c r="A10" s="270" t="str">
        <f>+'ST10A-PrtSmp'!A17</f>
        <v>Version reported</v>
      </c>
      <c r="B10" s="271"/>
      <c r="C10" s="272" t="str">
        <f>IF('ST10A-PrtSmp'!C17&gt;0,'ST10A-PrtSmp'!C17,"")</f>
        <v/>
      </c>
      <c r="D10" s="272"/>
      <c r="E10" s="19"/>
      <c r="F10" s="65"/>
      <c r="G10" s="65"/>
      <c r="H10" s="65"/>
      <c r="I10" s="65"/>
      <c r="J10" s="109"/>
      <c r="K10" s="110"/>
    </row>
    <row r="11" spans="1:11" s="34" customFormat="1" ht="12.15" customHeight="1" x14ac:dyDescent="0.3">
      <c r="A11" s="270" t="str">
        <f>+'ST10A-PrtSmp'!A18</f>
        <v>Content (data)</v>
      </c>
      <c r="B11" s="271"/>
      <c r="C11" s="272" t="str">
        <f>IF('ST10A-PrtSmp'!C18&gt;0,'ST10A-PrtSmp'!C18,"")</f>
        <v/>
      </c>
      <c r="D11" s="272"/>
      <c r="E11" s="19"/>
      <c r="F11" s="233" t="str">
        <f>VLOOKUP("T03",tblTrans3Langs[],LangFieldID,FALSE)</f>
        <v>ST10A</v>
      </c>
      <c r="G11" s="279" t="str">
        <f>VLOOKUP("T03",tblTrans3Langs[],LangNameID,FALSE)</f>
        <v>Landing Operation details</v>
      </c>
      <c r="H11" s="65"/>
      <c r="I11" s="65"/>
      <c r="J11" s="109"/>
      <c r="K11" s="110"/>
    </row>
    <row r="12" spans="1:11" s="34" customFormat="1" ht="12.15" customHeight="1" x14ac:dyDescent="0.3">
      <c r="A12" s="117"/>
      <c r="B12" s="118"/>
      <c r="C12" s="119"/>
      <c r="D12" s="119"/>
      <c r="E12" s="19"/>
      <c r="F12" s="234"/>
      <c r="G12" s="280"/>
      <c r="H12" s="65"/>
      <c r="I12" s="65"/>
      <c r="J12" s="109"/>
      <c r="K12" s="110"/>
    </row>
    <row r="13" spans="1:11" s="34" customFormat="1" ht="10.75" x14ac:dyDescent="0.3">
      <c r="A13" s="25"/>
      <c r="B13" s="30"/>
      <c r="C13" s="30"/>
      <c r="D13" s="30"/>
      <c r="E13" s="30"/>
      <c r="F13" s="30"/>
      <c r="G13" s="30"/>
      <c r="H13" s="120"/>
      <c r="I13" s="120"/>
      <c r="J13" s="86"/>
      <c r="K13" s="53"/>
    </row>
    <row r="14" spans="1:11" s="34" customFormat="1" ht="10.75" x14ac:dyDescent="0.3">
      <c r="A14" s="55"/>
      <c r="C14" s="56"/>
      <c r="D14" s="56"/>
      <c r="E14" s="56"/>
      <c r="F14" s="56"/>
      <c r="G14" s="56"/>
    </row>
    <row r="15" spans="1:11" s="34" customFormat="1" ht="10.75" x14ac:dyDescent="0.3">
      <c r="A15" s="274" t="str">
        <f>VLOOKUP("D40",tblTrans3Langs[],LangFieldID,FALSE)</f>
        <v>Size Frequency Sample details by landing operation</v>
      </c>
      <c r="B15" s="275"/>
      <c r="C15" s="275"/>
      <c r="D15" s="275"/>
      <c r="E15" s="275"/>
      <c r="F15" s="275"/>
      <c r="G15" s="276"/>
    </row>
    <row r="16" spans="1:11" s="34" customFormat="1" ht="21.45" x14ac:dyDescent="0.3">
      <c r="A16" s="111" t="str">
        <f>VLOOKUP($A$18,tblTrans3Langs[],LangFieldID,FALSE)</f>
        <v>Landing ID (from ST10A)</v>
      </c>
      <c r="B16" s="112" t="str">
        <f>VLOOKUP($B$18,tblTrans3Langs[],LangFieldID,FALSE)</f>
        <v>Species (cod)</v>
      </c>
      <c r="C16" s="111" t="str">
        <f>VLOOKUP($C$18,tblTrans3Langs[],LangFieldID,FALSE)</f>
        <v>Size class type</v>
      </c>
      <c r="D16" s="111" t="str">
        <f>VLOOKUP($D$18,tblTrans3Langs[],LangFieldID,FALSE)</f>
        <v>Product type</v>
      </c>
      <c r="E16" s="111" t="str">
        <f>VLOOKUP($E$18,tblTrans3Langs[],LangFieldID,FALSE)</f>
        <v>Sex code</v>
      </c>
      <c r="F16" s="49" t="str">
        <f>VLOOKUP($F$18,tblTrans3Langs[],LangFieldID,FALSE)</f>
        <v>Size (cm)</v>
      </c>
      <c r="G16" s="49" t="str">
        <f>VLOOKUP($G$18,tblTrans3Langs[],LangFieldID,FALSE)</f>
        <v>Notes</v>
      </c>
    </row>
    <row r="17" spans="1:7" s="34" customFormat="1" ht="21.45" x14ac:dyDescent="0.3">
      <c r="A17" s="50" t="str">
        <f>REPT("+",12)</f>
        <v>++++++++++++</v>
      </c>
      <c r="B17" s="51" t="str">
        <f t="shared" ref="B17:F17" si="0">REPT("+",8)</f>
        <v>++++++++</v>
      </c>
      <c r="C17" s="51" t="str">
        <f>REPT("+",12)</f>
        <v>++++++++++++</v>
      </c>
      <c r="D17" s="51" t="str">
        <f t="shared" si="0"/>
        <v>++++++++</v>
      </c>
      <c r="E17" s="51" t="str">
        <f t="shared" si="0"/>
        <v>++++++++</v>
      </c>
      <c r="F17" s="51" t="str">
        <f t="shared" si="0"/>
        <v>++++++++</v>
      </c>
      <c r="G17" s="51" t="str">
        <f>REPT("+",40)</f>
        <v>++++++++++++++++++++++++++++++++++++++++</v>
      </c>
    </row>
    <row r="18" spans="1:7" s="7" customFormat="1" ht="10.75" x14ac:dyDescent="0.3">
      <c r="A18" s="66" t="s">
        <v>1795</v>
      </c>
      <c r="B18" s="66" t="s">
        <v>1575</v>
      </c>
      <c r="C18" s="66" t="s">
        <v>1820</v>
      </c>
      <c r="D18" s="66" t="s">
        <v>1792</v>
      </c>
      <c r="E18" s="66" t="s">
        <v>1796</v>
      </c>
      <c r="F18" s="66" t="s">
        <v>1815</v>
      </c>
      <c r="G18" s="66" t="s">
        <v>426</v>
      </c>
    </row>
    <row r="19" spans="1:7" s="113" customFormat="1" ht="10.75" x14ac:dyDescent="0.3">
      <c r="A19" s="100"/>
      <c r="B19" s="101"/>
      <c r="C19" s="100"/>
      <c r="D19" s="100"/>
      <c r="E19" s="100"/>
      <c r="F19" s="100"/>
      <c r="G19" s="100"/>
    </row>
    <row r="20" spans="1:7" s="113" customFormat="1" ht="10.75" x14ac:dyDescent="0.3">
      <c r="A20" s="100"/>
      <c r="B20" s="101"/>
      <c r="C20" s="100"/>
      <c r="D20" s="100"/>
      <c r="E20" s="100"/>
      <c r="F20" s="100"/>
      <c r="G20" s="100"/>
    </row>
    <row r="21" spans="1:7" s="113" customFormat="1" ht="10.75" x14ac:dyDescent="0.3">
      <c r="A21" s="100"/>
      <c r="B21" s="101"/>
      <c r="C21" s="100"/>
      <c r="D21" s="100"/>
      <c r="E21" s="100"/>
      <c r="F21" s="100"/>
      <c r="G21" s="100"/>
    </row>
    <row r="22" spans="1:7" s="113" customFormat="1" ht="10.75" x14ac:dyDescent="0.3">
      <c r="A22" s="100"/>
      <c r="B22" s="101"/>
      <c r="C22" s="100"/>
      <c r="D22" s="100"/>
      <c r="E22" s="100"/>
      <c r="F22" s="100"/>
      <c r="G22" s="100"/>
    </row>
    <row r="23" spans="1:7" s="113" customFormat="1" ht="10.75" x14ac:dyDescent="0.3">
      <c r="A23" s="100"/>
      <c r="B23" s="101"/>
      <c r="C23" s="100"/>
      <c r="D23" s="100"/>
      <c r="E23" s="100"/>
      <c r="F23" s="100"/>
      <c r="G23" s="100"/>
    </row>
    <row r="24" spans="1:7" s="113" customFormat="1" ht="10.75" x14ac:dyDescent="0.3">
      <c r="A24" s="100"/>
      <c r="B24" s="101"/>
      <c r="C24" s="100"/>
      <c r="D24" s="100"/>
      <c r="E24" s="100"/>
      <c r="F24" s="100"/>
      <c r="G24" s="100"/>
    </row>
    <row r="25" spans="1:7" s="113" customFormat="1" ht="10.75" x14ac:dyDescent="0.3">
      <c r="A25" s="100"/>
      <c r="B25" s="101"/>
      <c r="C25" s="100"/>
      <c r="D25" s="100"/>
      <c r="E25" s="100"/>
      <c r="F25" s="100"/>
      <c r="G25" s="100"/>
    </row>
    <row r="26" spans="1:7" s="113" customFormat="1" ht="10.75" x14ac:dyDescent="0.3">
      <c r="A26" s="100"/>
      <c r="B26" s="101"/>
      <c r="C26" s="100"/>
      <c r="D26" s="100"/>
      <c r="E26" s="100"/>
      <c r="F26" s="100"/>
      <c r="G26" s="100"/>
    </row>
    <row r="27" spans="1:7" s="113" customFormat="1" ht="10.75" x14ac:dyDescent="0.3">
      <c r="A27" s="100"/>
      <c r="B27" s="101"/>
      <c r="C27" s="100"/>
      <c r="D27" s="100"/>
      <c r="E27" s="100"/>
      <c r="F27" s="100"/>
      <c r="G27" s="100"/>
    </row>
    <row r="28" spans="1:7" s="113" customFormat="1" ht="10.75" x14ac:dyDescent="0.3">
      <c r="A28" s="100"/>
      <c r="B28" s="101"/>
      <c r="C28" s="100"/>
      <c r="D28" s="100"/>
      <c r="E28" s="100"/>
      <c r="F28" s="100"/>
      <c r="G28" s="100"/>
    </row>
    <row r="29" spans="1:7" s="113" customFormat="1" ht="10.75" x14ac:dyDescent="0.3">
      <c r="A29" s="100"/>
      <c r="B29" s="101"/>
      <c r="C29" s="100"/>
      <c r="D29" s="100"/>
      <c r="E29" s="100"/>
      <c r="F29" s="100"/>
      <c r="G29" s="100"/>
    </row>
    <row r="30" spans="1:7" s="113" customFormat="1" ht="10.75" x14ac:dyDescent="0.3">
      <c r="A30" s="100"/>
      <c r="B30" s="101"/>
      <c r="C30" s="100"/>
      <c r="D30" s="100"/>
      <c r="E30" s="100"/>
      <c r="F30" s="100"/>
      <c r="G30" s="100"/>
    </row>
    <row r="31" spans="1:7" s="113" customFormat="1" ht="10.75" x14ac:dyDescent="0.3">
      <c r="A31" s="100"/>
      <c r="B31" s="101"/>
      <c r="C31" s="100"/>
      <c r="D31" s="100"/>
      <c r="E31" s="100"/>
      <c r="F31" s="100"/>
      <c r="G31" s="100"/>
    </row>
    <row r="32" spans="1:7" s="113" customFormat="1" ht="10.75" x14ac:dyDescent="0.3">
      <c r="A32" s="100"/>
      <c r="B32" s="101"/>
      <c r="C32" s="100"/>
      <c r="D32" s="100"/>
      <c r="E32" s="100"/>
      <c r="F32" s="100"/>
      <c r="G32" s="100"/>
    </row>
    <row r="33" spans="1:7" s="113" customFormat="1" ht="10.75" x14ac:dyDescent="0.3">
      <c r="A33" s="100"/>
      <c r="B33" s="101"/>
      <c r="C33" s="100"/>
      <c r="D33" s="100"/>
      <c r="E33" s="100"/>
      <c r="F33" s="100"/>
      <c r="G33" s="100"/>
    </row>
    <row r="34" spans="1:7" s="113" customFormat="1" ht="10.75" x14ac:dyDescent="0.3">
      <c r="A34" s="100"/>
      <c r="B34" s="101"/>
      <c r="C34" s="100"/>
      <c r="D34" s="100"/>
      <c r="E34" s="100"/>
      <c r="F34" s="100"/>
      <c r="G34" s="100"/>
    </row>
    <row r="35" spans="1:7" s="113" customFormat="1" ht="10.75" x14ac:dyDescent="0.3">
      <c r="A35" s="100"/>
      <c r="B35" s="101"/>
      <c r="C35" s="100"/>
      <c r="D35" s="100"/>
      <c r="E35" s="100"/>
      <c r="F35" s="100"/>
      <c r="G35" s="100"/>
    </row>
    <row r="36" spans="1:7" s="113" customFormat="1" ht="10.75" x14ac:dyDescent="0.3">
      <c r="A36" s="100"/>
      <c r="B36" s="101"/>
      <c r="C36" s="100"/>
      <c r="D36" s="100"/>
      <c r="E36" s="100"/>
      <c r="F36" s="100"/>
      <c r="G36" s="100"/>
    </row>
    <row r="37" spans="1:7" s="113" customFormat="1" ht="10.75" x14ac:dyDescent="0.3">
      <c r="A37" s="100"/>
      <c r="B37" s="101"/>
      <c r="C37" s="100"/>
      <c r="D37" s="100"/>
      <c r="E37" s="100"/>
      <c r="F37" s="100"/>
      <c r="G37" s="100"/>
    </row>
    <row r="38" spans="1:7" s="72" customFormat="1" ht="12" x14ac:dyDescent="0.35">
      <c r="A38" s="100"/>
      <c r="B38" s="101"/>
      <c r="C38" s="100"/>
      <c r="D38" s="100"/>
      <c r="E38" s="100"/>
      <c r="F38" s="100"/>
      <c r="G38" s="100"/>
    </row>
    <row r="39" spans="1:7" x14ac:dyDescent="0.3">
      <c r="A39" s="100"/>
      <c r="B39" s="101"/>
      <c r="C39" s="100"/>
      <c r="D39" s="100"/>
      <c r="E39" s="100"/>
      <c r="F39" s="100"/>
      <c r="G39" s="100"/>
    </row>
  </sheetData>
  <sheetProtection algorithmName="SHA-512" hashValue="/I0Xi+aMJmFoS4v3n4NmUWhCMlc2fQ08GNvhOpFIZjgbOF17qlm9/RxncPDLwhFnnBybvAIW8XekVU0HkH/B9Q==" saltValue="Nxx4ONwblRDNqEBeVwlnlg==" spinCount="100000" sheet="1" formatCells="0" formatRows="0" insertRows="0" deleteRows="0" autoFilter="0"/>
  <mergeCells count="20">
    <mergeCell ref="A11:B11"/>
    <mergeCell ref="A15:G15"/>
    <mergeCell ref="A4:E4"/>
    <mergeCell ref="A5:B5"/>
    <mergeCell ref="A6:B6"/>
    <mergeCell ref="A7:B7"/>
    <mergeCell ref="A8:B8"/>
    <mergeCell ref="F5:G5"/>
    <mergeCell ref="F6:G9"/>
    <mergeCell ref="C10:D10"/>
    <mergeCell ref="C11:D11"/>
    <mergeCell ref="F11:F12"/>
    <mergeCell ref="G11:G12"/>
    <mergeCell ref="A1:B2"/>
    <mergeCell ref="A9:B9"/>
    <mergeCell ref="A10:B10"/>
    <mergeCell ref="C5:D5"/>
    <mergeCell ref="C8:D8"/>
    <mergeCell ref="C1:I1"/>
    <mergeCell ref="C2:I2"/>
  </mergeCells>
  <dataValidations count="6">
    <dataValidation type="list" allowBlank="1" showInputMessage="1" showErrorMessage="1" sqref="C19:C39" xr:uid="{00000000-0002-0000-0100-000000000000}">
      <formula1>SizeFreqTypeCode</formula1>
    </dataValidation>
    <dataValidation type="list" allowBlank="1" showInputMessage="1" showErrorMessage="1" sqref="E19:E39" xr:uid="{00000000-0002-0000-0100-000001000000}">
      <formula1>SexCode</formula1>
    </dataValidation>
    <dataValidation type="list" allowBlank="1" showInputMessage="1" showErrorMessage="1" sqref="D19:D39" xr:uid="{00000000-0002-0000-0100-000002000000}">
      <formula1>ProdTypeCode</formula1>
    </dataValidation>
    <dataValidation type="list" allowBlank="1" showErrorMessage="1" sqref="B19:B39" xr:uid="{00000000-0002-0000-0100-000003000000}">
      <formula1>SpeciesCode</formula1>
    </dataValidation>
    <dataValidation type="list" operator="greaterThanOrEqual" allowBlank="1" showInputMessage="1" showErrorMessage="1" sqref="A19:A39" xr:uid="{00000000-0002-0000-0100-000004000000}">
      <formula1>LandingID</formula1>
    </dataValidation>
    <dataValidation type="decimal" allowBlank="1" showInputMessage="1" showErrorMessage="1" errorTitle="Error" error="Value between 10 and 400" sqref="F19:F39" xr:uid="{00000000-0002-0000-0100-000005000000}">
      <formula1>10</formula1>
      <formula2>400</formula2>
    </dataValidation>
  </dataValidations>
  <hyperlinks>
    <hyperlink ref="E16" location="SexCode" display="SexCode" xr:uid="{00000000-0004-0000-0100-000000000000}"/>
    <hyperlink ref="B16" location="SpeciesCode" display="SpeciesCode" xr:uid="{00000000-0004-0000-0100-000001000000}"/>
    <hyperlink ref="D16" location="ProdTypeCode" display="ProdTypeCode" xr:uid="{00000000-0004-0000-0100-000002000000}"/>
    <hyperlink ref="C16" location="SizeFreqTypeCode" display="SizeFreqTypeCode" xr:uid="{00000000-0004-0000-0100-000003000000}"/>
    <hyperlink ref="A16" location="LandingID" display="LandingID" xr:uid="{00000000-0004-0000-0100-000004000000}"/>
    <hyperlink ref="F11" location="'ST10B-PrtSmpSZ'!A1" display="ST10B" xr:uid="{00000000-0004-0000-0100-000005000000}"/>
    <hyperlink ref="F11" location="'ST10A-PrtSmp'!A1" display="'ST10A-PrtSmp'!A1" xr:uid="{00000000-0004-0000-0100-000006000000}"/>
  </hyperlinks>
  <pageMargins left="0.7" right="0.7" top="0.75" bottom="0.75" header="0.3" footer="0.3"/>
  <pageSetup paperSize="9" orientation="portrait" r:id="rId1"/>
  <ignoredErrors>
    <ignoredError sqref="C5:C7 C8:D11" unlockedFormula="1"/>
    <ignoredError sqref="B17:C17" formula="1"/>
  </ignoredErrors>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V204"/>
  <sheetViews>
    <sheetView zoomScale="85" zoomScaleNormal="85" zoomScaleSheetLayoutView="100" workbookViewId="0">
      <pane ySplit="2" topLeftCell="A3" activePane="bottomLeft" state="frozen"/>
      <selection activeCell="S42" sqref="S42"/>
      <selection pane="bottomLeft" activeCell="Q13" sqref="Q13"/>
    </sheetView>
  </sheetViews>
  <sheetFormatPr defaultColWidth="7.3046875" defaultRowHeight="10.75" x14ac:dyDescent="0.3"/>
  <cols>
    <col min="1" max="1" width="20" style="34" bestFit="1" customWidth="1"/>
    <col min="2" max="2" width="7.4609375" style="34" bestFit="1" customWidth="1"/>
    <col min="3" max="3" width="8.07421875" style="34" bestFit="1" customWidth="1"/>
    <col min="4" max="4" width="58.07421875" style="34" bestFit="1" customWidth="1"/>
    <col min="5" max="6" width="8.3046875" style="34" bestFit="1" customWidth="1"/>
    <col min="7" max="7" width="2.3046875" style="34" customWidth="1"/>
    <col min="8" max="8" width="9.69140625" style="34" bestFit="1" customWidth="1"/>
    <col min="9" max="9" width="23.84375" style="34" bestFit="1" customWidth="1"/>
    <col min="10" max="10" width="24.07421875" style="34" bestFit="1" customWidth="1"/>
    <col min="11" max="11" width="23.3046875" style="34" bestFit="1" customWidth="1"/>
    <col min="12" max="12" width="24" style="34" bestFit="1" customWidth="1"/>
    <col min="13" max="13" width="15.4609375" style="34" bestFit="1" customWidth="1"/>
    <col min="14" max="14" width="10.3046875" style="34" bestFit="1" customWidth="1"/>
    <col min="15" max="15" width="2.3046875" style="34" customWidth="1"/>
    <col min="16" max="16" width="7.4609375" style="34" bestFit="1" customWidth="1"/>
    <col min="17" max="17" width="42.3046875" style="34" bestFit="1" customWidth="1"/>
    <col min="18" max="18" width="8.07421875" style="34" bestFit="1" customWidth="1"/>
    <col min="19" max="19" width="2.3046875" style="34" customWidth="1"/>
    <col min="20" max="20" width="13.3046875" style="34" bestFit="1" customWidth="1"/>
    <col min="21" max="21" width="49.07421875" style="34" bestFit="1" customWidth="1"/>
    <col min="22" max="22" width="8.4609375" style="34" bestFit="1" customWidth="1"/>
    <col min="23" max="16384" width="7.3046875" style="34"/>
  </cols>
  <sheetData>
    <row r="1" spans="1:21" ht="11.25" customHeight="1" x14ac:dyDescent="0.3">
      <c r="A1" s="282" t="s">
        <v>1756</v>
      </c>
      <c r="B1" s="282"/>
      <c r="C1" s="282"/>
      <c r="D1" s="282"/>
      <c r="E1" s="282"/>
      <c r="F1" s="282"/>
      <c r="H1" s="283" t="s">
        <v>1757</v>
      </c>
      <c r="I1" s="283"/>
      <c r="J1" s="283"/>
      <c r="K1" s="283"/>
      <c r="L1" s="283"/>
      <c r="M1" s="283"/>
      <c r="N1" s="283"/>
      <c r="P1" s="284" t="s">
        <v>1758</v>
      </c>
      <c r="Q1" s="284"/>
      <c r="R1" s="284"/>
      <c r="T1" s="284" t="s">
        <v>1759</v>
      </c>
      <c r="U1" s="284"/>
    </row>
    <row r="2" spans="1:21" ht="12" x14ac:dyDescent="0.35">
      <c r="A2" s="184" t="s">
        <v>1396</v>
      </c>
      <c r="B2" s="185" t="s">
        <v>1963</v>
      </c>
      <c r="C2" s="185" t="s">
        <v>1964</v>
      </c>
      <c r="D2" s="121" t="s">
        <v>2206</v>
      </c>
      <c r="E2" s="185" t="s">
        <v>1397</v>
      </c>
      <c r="F2" s="186" t="s">
        <v>1398</v>
      </c>
      <c r="H2" s="83" t="s">
        <v>1988</v>
      </c>
      <c r="I2" s="84" t="s">
        <v>815</v>
      </c>
      <c r="J2" s="84" t="s">
        <v>816</v>
      </c>
      <c r="K2" s="84" t="s">
        <v>817</v>
      </c>
      <c r="L2" s="84" t="s">
        <v>818</v>
      </c>
      <c r="M2" s="84" t="s">
        <v>819</v>
      </c>
      <c r="N2" s="85" t="s">
        <v>820</v>
      </c>
      <c r="P2" s="89" t="s">
        <v>1989</v>
      </c>
      <c r="Q2" s="121" t="s">
        <v>115</v>
      </c>
      <c r="R2" s="90" t="s">
        <v>114</v>
      </c>
      <c r="T2" s="199" t="s">
        <v>2188</v>
      </c>
      <c r="U2" s="200" t="s">
        <v>2189</v>
      </c>
    </row>
    <row r="3" spans="1:21" ht="12" x14ac:dyDescent="0.35">
      <c r="A3" s="189" t="s">
        <v>242</v>
      </c>
      <c r="B3" s="187" t="s">
        <v>34</v>
      </c>
      <c r="C3" s="187" t="s">
        <v>412</v>
      </c>
      <c r="D3" s="122"/>
      <c r="E3" s="187" t="s">
        <v>34</v>
      </c>
      <c r="F3" s="187" t="s">
        <v>1399</v>
      </c>
      <c r="H3" s="6" t="s">
        <v>18</v>
      </c>
      <c r="I3" s="6" t="s">
        <v>19</v>
      </c>
      <c r="J3" s="6" t="s">
        <v>487</v>
      </c>
      <c r="K3" s="6" t="s">
        <v>488</v>
      </c>
      <c r="L3" s="6" t="s">
        <v>489</v>
      </c>
      <c r="M3" s="6" t="s">
        <v>821</v>
      </c>
      <c r="N3" s="6" t="s">
        <v>822</v>
      </c>
      <c r="P3" s="193" t="s">
        <v>122</v>
      </c>
      <c r="Q3" s="187" t="s">
        <v>123</v>
      </c>
      <c r="R3" s="194" t="s">
        <v>122</v>
      </c>
      <c r="T3" s="201" t="s">
        <v>1395</v>
      </c>
      <c r="U3" s="202" t="s">
        <v>2190</v>
      </c>
    </row>
    <row r="4" spans="1:21" ht="12" x14ac:dyDescent="0.35">
      <c r="A4" s="189" t="s">
        <v>12</v>
      </c>
      <c r="B4" s="187" t="s">
        <v>13</v>
      </c>
      <c r="C4" s="187" t="s">
        <v>412</v>
      </c>
      <c r="D4" s="122"/>
      <c r="E4" s="187" t="s">
        <v>13</v>
      </c>
      <c r="F4" s="187" t="s">
        <v>1400</v>
      </c>
      <c r="H4" s="6" t="s">
        <v>27</v>
      </c>
      <c r="I4" s="6" t="s">
        <v>28</v>
      </c>
      <c r="J4" s="6" t="s">
        <v>29</v>
      </c>
      <c r="K4" s="6" t="s">
        <v>30</v>
      </c>
      <c r="L4" s="6" t="s">
        <v>31</v>
      </c>
      <c r="M4" s="6" t="s">
        <v>821</v>
      </c>
      <c r="N4" s="6" t="s">
        <v>822</v>
      </c>
      <c r="P4" s="193" t="s">
        <v>2111</v>
      </c>
      <c r="Q4" s="187" t="s">
        <v>2147</v>
      </c>
      <c r="R4" s="194" t="s">
        <v>122</v>
      </c>
      <c r="T4" s="201" t="s">
        <v>300</v>
      </c>
      <c r="U4" s="202" t="s">
        <v>2191</v>
      </c>
    </row>
    <row r="5" spans="1:21" ht="12" x14ac:dyDescent="0.35">
      <c r="A5" s="189" t="s">
        <v>16</v>
      </c>
      <c r="B5" s="187" t="s">
        <v>17</v>
      </c>
      <c r="C5" s="187" t="s">
        <v>412</v>
      </c>
      <c r="D5" s="122"/>
      <c r="E5" s="187" t="s">
        <v>17</v>
      </c>
      <c r="F5" s="187" t="s">
        <v>1401</v>
      </c>
      <c r="H5" s="6" t="s">
        <v>34</v>
      </c>
      <c r="I5" s="6" t="s">
        <v>35</v>
      </c>
      <c r="J5" s="6" t="s">
        <v>30</v>
      </c>
      <c r="K5" s="6" t="s">
        <v>36</v>
      </c>
      <c r="L5" s="6" t="s">
        <v>37</v>
      </c>
      <c r="M5" s="6" t="s">
        <v>821</v>
      </c>
      <c r="N5" s="6" t="s">
        <v>822</v>
      </c>
      <c r="P5" s="193" t="s">
        <v>2112</v>
      </c>
      <c r="Q5" s="187" t="s">
        <v>2148</v>
      </c>
      <c r="R5" s="194" t="s">
        <v>122</v>
      </c>
      <c r="T5" s="201" t="s">
        <v>286</v>
      </c>
      <c r="U5" s="202" t="s">
        <v>2192</v>
      </c>
    </row>
    <row r="6" spans="1:21" ht="12" x14ac:dyDescent="0.35">
      <c r="A6" s="189" t="s">
        <v>20</v>
      </c>
      <c r="B6" s="187" t="s">
        <v>21</v>
      </c>
      <c r="C6" s="187" t="s">
        <v>412</v>
      </c>
      <c r="D6" s="122"/>
      <c r="E6" s="187" t="s">
        <v>21</v>
      </c>
      <c r="F6" s="187" t="s">
        <v>178</v>
      </c>
      <c r="H6" s="6" t="s">
        <v>40</v>
      </c>
      <c r="I6" s="6" t="s">
        <v>41</v>
      </c>
      <c r="J6" s="6" t="s">
        <v>42</v>
      </c>
      <c r="K6" s="6" t="s">
        <v>43</v>
      </c>
      <c r="L6" s="6" t="s">
        <v>44</v>
      </c>
      <c r="M6" s="6" t="s">
        <v>821</v>
      </c>
      <c r="N6" s="6" t="s">
        <v>822</v>
      </c>
      <c r="P6" s="193" t="s">
        <v>2113</v>
      </c>
      <c r="Q6" s="187" t="s">
        <v>2149</v>
      </c>
      <c r="R6" s="194" t="s">
        <v>122</v>
      </c>
      <c r="T6" s="201" t="s">
        <v>2193</v>
      </c>
      <c r="U6" s="202" t="s">
        <v>2194</v>
      </c>
    </row>
    <row r="7" spans="1:21" ht="12" x14ac:dyDescent="0.35">
      <c r="A7" s="189" t="s">
        <v>392</v>
      </c>
      <c r="B7" s="187" t="s">
        <v>257</v>
      </c>
      <c r="C7" s="187" t="s">
        <v>412</v>
      </c>
      <c r="D7" s="122" t="s">
        <v>473</v>
      </c>
      <c r="E7" s="187" t="s">
        <v>257</v>
      </c>
      <c r="F7" s="187" t="s">
        <v>1402</v>
      </c>
      <c r="H7" s="6" t="s">
        <v>56</v>
      </c>
      <c r="I7" s="6" t="s">
        <v>57</v>
      </c>
      <c r="J7" s="6" t="s">
        <v>58</v>
      </c>
      <c r="K7" s="6" t="s">
        <v>59</v>
      </c>
      <c r="L7" s="6" t="s">
        <v>60</v>
      </c>
      <c r="M7" s="6" t="s">
        <v>821</v>
      </c>
      <c r="N7" s="6" t="s">
        <v>822</v>
      </c>
      <c r="P7" s="193" t="s">
        <v>2114</v>
      </c>
      <c r="Q7" s="187" t="s">
        <v>2150</v>
      </c>
      <c r="R7" s="194" t="s">
        <v>122</v>
      </c>
      <c r="T7" s="201" t="s">
        <v>2195</v>
      </c>
      <c r="U7" s="202" t="s">
        <v>2196</v>
      </c>
    </row>
    <row r="8" spans="1:21" ht="12" x14ac:dyDescent="0.35">
      <c r="A8" s="189" t="s">
        <v>474</v>
      </c>
      <c r="B8" s="187" t="s">
        <v>26</v>
      </c>
      <c r="C8" s="187" t="s">
        <v>412</v>
      </c>
      <c r="D8" s="122" t="s">
        <v>604</v>
      </c>
      <c r="E8" s="187" t="s">
        <v>26</v>
      </c>
      <c r="F8" s="187" t="s">
        <v>1403</v>
      </c>
      <c r="H8" s="6" t="s">
        <v>91</v>
      </c>
      <c r="I8" s="6" t="s">
        <v>92</v>
      </c>
      <c r="J8" s="6" t="s">
        <v>93</v>
      </c>
      <c r="K8" s="6" t="s">
        <v>94</v>
      </c>
      <c r="L8" s="6" t="s">
        <v>95</v>
      </c>
      <c r="M8" s="6" t="s">
        <v>821</v>
      </c>
      <c r="N8" s="6" t="s">
        <v>822</v>
      </c>
      <c r="P8" s="326" t="s">
        <v>2115</v>
      </c>
      <c r="Q8" s="195" t="s">
        <v>2151</v>
      </c>
      <c r="R8" s="194" t="s">
        <v>122</v>
      </c>
      <c r="T8" s="201" t="s">
        <v>292</v>
      </c>
      <c r="U8" s="202" t="s">
        <v>2197</v>
      </c>
    </row>
    <row r="9" spans="1:21" ht="12" x14ac:dyDescent="0.35">
      <c r="A9" s="189" t="s">
        <v>32</v>
      </c>
      <c r="B9" s="187" t="s">
        <v>33</v>
      </c>
      <c r="C9" s="187" t="s">
        <v>412</v>
      </c>
      <c r="D9" s="122"/>
      <c r="E9" s="187" t="s">
        <v>33</v>
      </c>
      <c r="F9" s="187" t="s">
        <v>1404</v>
      </c>
      <c r="H9" s="6" t="s">
        <v>97</v>
      </c>
      <c r="I9" s="6" t="s">
        <v>98</v>
      </c>
      <c r="J9" s="6" t="s">
        <v>490</v>
      </c>
      <c r="K9" s="6" t="s">
        <v>491</v>
      </c>
      <c r="L9" s="6" t="s">
        <v>492</v>
      </c>
      <c r="M9" s="6" t="s">
        <v>821</v>
      </c>
      <c r="N9" s="6" t="s">
        <v>822</v>
      </c>
      <c r="P9" s="193" t="s">
        <v>2116</v>
      </c>
      <c r="Q9" s="187" t="s">
        <v>2152</v>
      </c>
      <c r="R9" s="194" t="s">
        <v>122</v>
      </c>
      <c r="T9" s="201" t="s">
        <v>295</v>
      </c>
      <c r="U9" s="202" t="s">
        <v>296</v>
      </c>
    </row>
    <row r="10" spans="1:21" ht="12" x14ac:dyDescent="0.35">
      <c r="A10" s="189" t="s">
        <v>38</v>
      </c>
      <c r="B10" s="187" t="s">
        <v>39</v>
      </c>
      <c r="C10" s="187" t="s">
        <v>412</v>
      </c>
      <c r="D10" s="122" t="s">
        <v>475</v>
      </c>
      <c r="E10" s="187" t="s">
        <v>39</v>
      </c>
      <c r="F10" s="187" t="s">
        <v>1405</v>
      </c>
      <c r="H10" s="6" t="s">
        <v>99</v>
      </c>
      <c r="I10" s="6" t="s">
        <v>1994</v>
      </c>
      <c r="J10" s="6" t="s">
        <v>100</v>
      </c>
      <c r="K10" s="6" t="s">
        <v>101</v>
      </c>
      <c r="L10" s="6" t="s">
        <v>102</v>
      </c>
      <c r="M10" s="6" t="s">
        <v>821</v>
      </c>
      <c r="N10" s="6" t="s">
        <v>822</v>
      </c>
      <c r="P10" s="193" t="s">
        <v>2117</v>
      </c>
      <c r="Q10" s="187" t="s">
        <v>2153</v>
      </c>
      <c r="R10" s="194" t="s">
        <v>122</v>
      </c>
      <c r="T10" s="201" t="s">
        <v>2198</v>
      </c>
      <c r="U10" s="202" t="s">
        <v>2199</v>
      </c>
    </row>
    <row r="11" spans="1:21" ht="12" x14ac:dyDescent="0.35">
      <c r="A11" s="189" t="s">
        <v>476</v>
      </c>
      <c r="B11" s="187" t="s">
        <v>45</v>
      </c>
      <c r="C11" s="187" t="s">
        <v>412</v>
      </c>
      <c r="D11" s="122"/>
      <c r="E11" s="187" t="s">
        <v>45</v>
      </c>
      <c r="F11" s="187" t="s">
        <v>1406</v>
      </c>
      <c r="H11" s="6" t="s">
        <v>104</v>
      </c>
      <c r="I11" s="6" t="s">
        <v>105</v>
      </c>
      <c r="J11" s="6" t="s">
        <v>106</v>
      </c>
      <c r="K11" s="6" t="s">
        <v>107</v>
      </c>
      <c r="L11" s="6" t="s">
        <v>108</v>
      </c>
      <c r="M11" s="6" t="s">
        <v>821</v>
      </c>
      <c r="N11" s="6" t="s">
        <v>822</v>
      </c>
      <c r="P11" s="193" t="s">
        <v>2118</v>
      </c>
      <c r="Q11" s="187" t="s">
        <v>2154</v>
      </c>
      <c r="R11" s="194" t="s">
        <v>122</v>
      </c>
      <c r="T11" s="201" t="s">
        <v>2200</v>
      </c>
      <c r="U11" s="202" t="s">
        <v>2201</v>
      </c>
    </row>
    <row r="12" spans="1:21" ht="12" x14ac:dyDescent="0.35">
      <c r="A12" s="189" t="s">
        <v>430</v>
      </c>
      <c r="B12" s="187" t="s">
        <v>484</v>
      </c>
      <c r="C12" s="187" t="s">
        <v>412</v>
      </c>
      <c r="D12" s="122" t="s">
        <v>473</v>
      </c>
      <c r="E12" s="187" t="s">
        <v>484</v>
      </c>
      <c r="F12" s="187" t="s">
        <v>1407</v>
      </c>
      <c r="H12" s="6" t="s">
        <v>109</v>
      </c>
      <c r="I12" s="6" t="s">
        <v>110</v>
      </c>
      <c r="J12" s="6" t="s">
        <v>111</v>
      </c>
      <c r="K12" s="6" t="s">
        <v>112</v>
      </c>
      <c r="L12" s="6" t="s">
        <v>113</v>
      </c>
      <c r="M12" s="123" t="s">
        <v>821</v>
      </c>
      <c r="N12" s="123" t="s">
        <v>822</v>
      </c>
      <c r="P12" s="326" t="s">
        <v>2119</v>
      </c>
      <c r="Q12" s="195" t="s">
        <v>2155</v>
      </c>
      <c r="R12" s="194" t="s">
        <v>122</v>
      </c>
      <c r="T12" s="203" t="s">
        <v>96</v>
      </c>
      <c r="U12" s="204" t="s">
        <v>2202</v>
      </c>
    </row>
    <row r="13" spans="1:21" ht="12" x14ac:dyDescent="0.35">
      <c r="A13" s="189" t="s">
        <v>605</v>
      </c>
      <c r="B13" s="187" t="s">
        <v>50</v>
      </c>
      <c r="C13" s="187" t="s">
        <v>412</v>
      </c>
      <c r="D13" s="122" t="s">
        <v>477</v>
      </c>
      <c r="E13" s="187" t="s">
        <v>50</v>
      </c>
      <c r="F13" s="187" t="s">
        <v>1408</v>
      </c>
      <c r="H13" s="6" t="s">
        <v>46</v>
      </c>
      <c r="I13" s="6" t="s">
        <v>47</v>
      </c>
      <c r="J13" s="6" t="s">
        <v>48</v>
      </c>
      <c r="K13" s="6" t="s">
        <v>49</v>
      </c>
      <c r="L13" s="6" t="s">
        <v>525</v>
      </c>
      <c r="M13" s="6" t="s">
        <v>1826</v>
      </c>
      <c r="N13" s="6" t="s">
        <v>822</v>
      </c>
      <c r="P13" s="193" t="s">
        <v>2120</v>
      </c>
      <c r="Q13" s="187" t="s">
        <v>2156</v>
      </c>
      <c r="R13" s="194" t="s">
        <v>122</v>
      </c>
    </row>
    <row r="14" spans="1:21" ht="12" x14ac:dyDescent="0.35">
      <c r="A14" s="189" t="s">
        <v>2023</v>
      </c>
      <c r="B14" s="187" t="s">
        <v>2024</v>
      </c>
      <c r="C14" s="187" t="s">
        <v>412</v>
      </c>
      <c r="D14" s="187"/>
      <c r="E14" s="187" t="s">
        <v>1821</v>
      </c>
      <c r="F14" s="187" t="s">
        <v>1822</v>
      </c>
      <c r="H14" s="6" t="s">
        <v>51</v>
      </c>
      <c r="I14" s="6" t="s">
        <v>52</v>
      </c>
      <c r="J14" s="6" t="s">
        <v>53</v>
      </c>
      <c r="K14" s="6" t="s">
        <v>54</v>
      </c>
      <c r="L14" s="6" t="s">
        <v>55</v>
      </c>
      <c r="M14" s="6" t="s">
        <v>1826</v>
      </c>
      <c r="N14" s="6" t="s">
        <v>822</v>
      </c>
      <c r="P14" s="193" t="s">
        <v>2121</v>
      </c>
      <c r="Q14" s="187" t="s">
        <v>2157</v>
      </c>
      <c r="R14" s="194" t="s">
        <v>122</v>
      </c>
    </row>
    <row r="15" spans="1:21" ht="12" x14ac:dyDescent="0.35">
      <c r="A15" s="189" t="s">
        <v>2025</v>
      </c>
      <c r="B15" s="187" t="s">
        <v>2026</v>
      </c>
      <c r="C15" s="187" t="s">
        <v>412</v>
      </c>
      <c r="D15" s="122"/>
      <c r="E15" s="187" t="s">
        <v>1409</v>
      </c>
      <c r="F15" s="187" t="s">
        <v>1410</v>
      </c>
      <c r="H15" s="6" t="s">
        <v>61</v>
      </c>
      <c r="I15" s="6" t="s">
        <v>62</v>
      </c>
      <c r="J15" s="6" t="s">
        <v>63</v>
      </c>
      <c r="K15" s="6" t="s">
        <v>64</v>
      </c>
      <c r="L15" s="6" t="s">
        <v>65</v>
      </c>
      <c r="M15" s="6" t="s">
        <v>1826</v>
      </c>
      <c r="N15" s="6" t="s">
        <v>822</v>
      </c>
      <c r="P15" s="193" t="s">
        <v>219</v>
      </c>
      <c r="Q15" s="187" t="s">
        <v>220</v>
      </c>
      <c r="R15" s="194" t="s">
        <v>219</v>
      </c>
      <c r="T15" s="281" t="s">
        <v>1760</v>
      </c>
      <c r="U15" s="281"/>
    </row>
    <row r="16" spans="1:21" ht="12" x14ac:dyDescent="0.35">
      <c r="A16" s="189" t="s">
        <v>2027</v>
      </c>
      <c r="B16" s="187" t="s">
        <v>2028</v>
      </c>
      <c r="C16" s="187" t="s">
        <v>412</v>
      </c>
      <c r="D16" s="122"/>
      <c r="E16" s="187" t="s">
        <v>1411</v>
      </c>
      <c r="F16" s="187" t="s">
        <v>1412</v>
      </c>
      <c r="H16" s="6" t="s">
        <v>66</v>
      </c>
      <c r="I16" s="6" t="s">
        <v>67</v>
      </c>
      <c r="J16" s="6" t="s">
        <v>68</v>
      </c>
      <c r="K16" s="6" t="s">
        <v>69</v>
      </c>
      <c r="L16" s="6" t="s">
        <v>70</v>
      </c>
      <c r="M16" s="6" t="s">
        <v>1826</v>
      </c>
      <c r="N16" s="6" t="s">
        <v>822</v>
      </c>
      <c r="P16" s="193" t="s">
        <v>2122</v>
      </c>
      <c r="Q16" s="187" t="s">
        <v>2158</v>
      </c>
      <c r="R16" s="194" t="s">
        <v>219</v>
      </c>
      <c r="T16" s="60" t="s">
        <v>1990</v>
      </c>
      <c r="U16" s="60" t="s">
        <v>319</v>
      </c>
    </row>
    <row r="17" spans="1:21" ht="12" x14ac:dyDescent="0.35">
      <c r="A17" s="189" t="s">
        <v>2029</v>
      </c>
      <c r="B17" s="187" t="s">
        <v>2030</v>
      </c>
      <c r="C17" s="187" t="s">
        <v>412</v>
      </c>
      <c r="D17" s="122" t="s">
        <v>606</v>
      </c>
      <c r="E17" s="187" t="s">
        <v>1413</v>
      </c>
      <c r="F17" s="187" t="s">
        <v>1414</v>
      </c>
      <c r="H17" s="6" t="s">
        <v>71</v>
      </c>
      <c r="I17" s="6" t="s">
        <v>72</v>
      </c>
      <c r="J17" s="6" t="s">
        <v>73</v>
      </c>
      <c r="K17" s="6" t="s">
        <v>74</v>
      </c>
      <c r="L17" s="6" t="s">
        <v>75</v>
      </c>
      <c r="M17" s="6" t="s">
        <v>1826</v>
      </c>
      <c r="N17" s="6" t="s">
        <v>822</v>
      </c>
      <c r="P17" s="193" t="s">
        <v>2123</v>
      </c>
      <c r="Q17" s="187" t="s">
        <v>2159</v>
      </c>
      <c r="R17" s="194" t="s">
        <v>219</v>
      </c>
      <c r="T17" s="36" t="s">
        <v>325</v>
      </c>
      <c r="U17" s="37" t="s">
        <v>386</v>
      </c>
    </row>
    <row r="18" spans="1:21" ht="12" x14ac:dyDescent="0.35">
      <c r="A18" s="189" t="s">
        <v>2031</v>
      </c>
      <c r="B18" s="187" t="s">
        <v>2032</v>
      </c>
      <c r="C18" s="187" t="s">
        <v>412</v>
      </c>
      <c r="D18" s="122" t="s">
        <v>606</v>
      </c>
      <c r="E18" s="187" t="s">
        <v>1415</v>
      </c>
      <c r="F18" s="187" t="s">
        <v>1416</v>
      </c>
      <c r="H18" s="6" t="s">
        <v>76</v>
      </c>
      <c r="I18" s="6" t="s">
        <v>77</v>
      </c>
      <c r="J18" s="6" t="s">
        <v>78</v>
      </c>
      <c r="K18" s="6" t="s">
        <v>79</v>
      </c>
      <c r="L18" s="6" t="s">
        <v>80</v>
      </c>
      <c r="M18" s="6" t="s">
        <v>1826</v>
      </c>
      <c r="N18" s="6" t="s">
        <v>822</v>
      </c>
      <c r="P18" s="193" t="s">
        <v>2124</v>
      </c>
      <c r="Q18" s="187" t="s">
        <v>2160</v>
      </c>
      <c r="R18" s="194" t="s">
        <v>219</v>
      </c>
      <c r="T18" s="36" t="s">
        <v>333</v>
      </c>
      <c r="U18" s="37" t="s">
        <v>334</v>
      </c>
    </row>
    <row r="19" spans="1:21" ht="12" x14ac:dyDescent="0.35">
      <c r="A19" s="189" t="s">
        <v>2033</v>
      </c>
      <c r="B19" s="187" t="s">
        <v>2034</v>
      </c>
      <c r="C19" s="187" t="s">
        <v>412</v>
      </c>
      <c r="D19" s="188"/>
      <c r="E19" s="187" t="s">
        <v>1135</v>
      </c>
      <c r="F19" s="187" t="s">
        <v>1965</v>
      </c>
      <c r="H19" s="6" t="s">
        <v>81</v>
      </c>
      <c r="I19" s="6" t="s">
        <v>82</v>
      </c>
      <c r="J19" s="6" t="s">
        <v>83</v>
      </c>
      <c r="K19" s="6" t="s">
        <v>84</v>
      </c>
      <c r="L19" s="6" t="s">
        <v>85</v>
      </c>
      <c r="M19" s="6" t="s">
        <v>1826</v>
      </c>
      <c r="N19" s="6" t="s">
        <v>822</v>
      </c>
      <c r="P19" s="193" t="s">
        <v>2125</v>
      </c>
      <c r="Q19" s="187" t="s">
        <v>2161</v>
      </c>
      <c r="R19" s="194" t="s">
        <v>219</v>
      </c>
      <c r="T19" s="36" t="s">
        <v>336</v>
      </c>
      <c r="U19" s="37" t="s">
        <v>337</v>
      </c>
    </row>
    <row r="20" spans="1:21" ht="12" x14ac:dyDescent="0.35">
      <c r="A20" s="189" t="s">
        <v>2035</v>
      </c>
      <c r="B20" s="187" t="s">
        <v>2036</v>
      </c>
      <c r="C20" s="187" t="s">
        <v>412</v>
      </c>
      <c r="D20" s="122"/>
      <c r="E20" s="187" t="s">
        <v>1417</v>
      </c>
      <c r="F20" s="187" t="s">
        <v>1418</v>
      </c>
      <c r="H20" s="6" t="s">
        <v>86</v>
      </c>
      <c r="I20" s="6" t="s">
        <v>87</v>
      </c>
      <c r="J20" s="6" t="s">
        <v>88</v>
      </c>
      <c r="K20" s="6" t="s">
        <v>89</v>
      </c>
      <c r="L20" s="6" t="s">
        <v>90</v>
      </c>
      <c r="M20" s="6" t="s">
        <v>1826</v>
      </c>
      <c r="N20" s="6" t="s">
        <v>822</v>
      </c>
      <c r="P20" s="193" t="s">
        <v>2126</v>
      </c>
      <c r="Q20" s="187" t="s">
        <v>2162</v>
      </c>
      <c r="R20" s="194" t="s">
        <v>219</v>
      </c>
      <c r="T20" s="88" t="s">
        <v>299</v>
      </c>
      <c r="U20" s="87" t="s">
        <v>385</v>
      </c>
    </row>
    <row r="21" spans="1:21" ht="12" x14ac:dyDescent="0.35">
      <c r="A21" s="189" t="s">
        <v>2037</v>
      </c>
      <c r="B21" s="187" t="s">
        <v>2038</v>
      </c>
      <c r="C21" s="187" t="s">
        <v>412</v>
      </c>
      <c r="D21" s="122" t="s">
        <v>607</v>
      </c>
      <c r="E21" s="187" t="s">
        <v>1419</v>
      </c>
      <c r="F21" s="187" t="s">
        <v>1420</v>
      </c>
      <c r="H21" s="6" t="s">
        <v>135</v>
      </c>
      <c r="I21" s="6" t="s">
        <v>136</v>
      </c>
      <c r="J21" s="6" t="s">
        <v>137</v>
      </c>
      <c r="K21" s="6" t="s">
        <v>138</v>
      </c>
      <c r="L21" s="6" t="s">
        <v>139</v>
      </c>
      <c r="M21" s="6" t="s">
        <v>1826</v>
      </c>
      <c r="N21" s="6" t="s">
        <v>822</v>
      </c>
      <c r="P21" s="193" t="s">
        <v>2127</v>
      </c>
      <c r="Q21" s="187" t="s">
        <v>2163</v>
      </c>
      <c r="R21" s="194" t="s">
        <v>219</v>
      </c>
    </row>
    <row r="22" spans="1:21" ht="12" x14ac:dyDescent="0.35">
      <c r="A22" s="189" t="s">
        <v>2039</v>
      </c>
      <c r="B22" s="187" t="s">
        <v>2040</v>
      </c>
      <c r="C22" s="187" t="s">
        <v>412</v>
      </c>
      <c r="D22" s="122"/>
      <c r="E22" s="187" t="s">
        <v>1421</v>
      </c>
      <c r="F22" s="187" t="s">
        <v>1422</v>
      </c>
      <c r="H22" s="6" t="s">
        <v>142</v>
      </c>
      <c r="I22" s="6" t="s">
        <v>143</v>
      </c>
      <c r="J22" s="6" t="s">
        <v>144</v>
      </c>
      <c r="K22" s="6" t="s">
        <v>145</v>
      </c>
      <c r="L22" s="6" t="s">
        <v>146</v>
      </c>
      <c r="M22" s="6" t="s">
        <v>1826</v>
      </c>
      <c r="N22" s="6" t="s">
        <v>822</v>
      </c>
      <c r="P22" s="193" t="s">
        <v>2128</v>
      </c>
      <c r="Q22" s="187" t="s">
        <v>2164</v>
      </c>
      <c r="R22" s="194" t="s">
        <v>219</v>
      </c>
    </row>
    <row r="23" spans="1:21" ht="12" x14ac:dyDescent="0.35">
      <c r="A23" s="189" t="s">
        <v>2041</v>
      </c>
      <c r="B23" s="187" t="s">
        <v>2042</v>
      </c>
      <c r="C23" s="187" t="s">
        <v>412</v>
      </c>
      <c r="D23" s="188"/>
      <c r="E23" s="187" t="s">
        <v>1966</v>
      </c>
      <c r="F23" s="187" t="s">
        <v>1967</v>
      </c>
      <c r="H23" s="6" t="s">
        <v>149</v>
      </c>
      <c r="I23" s="6" t="s">
        <v>150</v>
      </c>
      <c r="J23" s="6" t="s">
        <v>151</v>
      </c>
      <c r="K23" s="6" t="s">
        <v>152</v>
      </c>
      <c r="L23" s="6" t="s">
        <v>153</v>
      </c>
      <c r="M23" s="6" t="s">
        <v>1826</v>
      </c>
      <c r="N23" s="6" t="s">
        <v>822</v>
      </c>
      <c r="P23" s="193" t="s">
        <v>2129</v>
      </c>
      <c r="Q23" s="187" t="s">
        <v>2165</v>
      </c>
      <c r="R23" s="194" t="s">
        <v>2145</v>
      </c>
      <c r="T23" s="281" t="s">
        <v>1761</v>
      </c>
      <c r="U23" s="281"/>
    </row>
    <row r="24" spans="1:21" ht="12" x14ac:dyDescent="0.35">
      <c r="A24" s="189" t="s">
        <v>2043</v>
      </c>
      <c r="B24" s="187" t="s">
        <v>2044</v>
      </c>
      <c r="C24" s="187" t="s">
        <v>412</v>
      </c>
      <c r="D24" s="122" t="s">
        <v>1752</v>
      </c>
      <c r="E24" s="187" t="s">
        <v>1423</v>
      </c>
      <c r="F24" s="187" t="s">
        <v>1424</v>
      </c>
      <c r="H24" s="6" t="s">
        <v>156</v>
      </c>
      <c r="I24" s="6" t="s">
        <v>157</v>
      </c>
      <c r="J24" s="6" t="s">
        <v>158</v>
      </c>
      <c r="K24" s="6" t="s">
        <v>159</v>
      </c>
      <c r="L24" s="6" t="s">
        <v>160</v>
      </c>
      <c r="M24" s="6" t="s">
        <v>1826</v>
      </c>
      <c r="N24" s="6" t="s">
        <v>822</v>
      </c>
      <c r="P24" s="193" t="s">
        <v>2130</v>
      </c>
      <c r="Q24" s="187" t="s">
        <v>2166</v>
      </c>
      <c r="R24" s="194" t="s">
        <v>2145</v>
      </c>
      <c r="T24" s="60" t="s">
        <v>2018</v>
      </c>
      <c r="U24" s="60" t="s">
        <v>2019</v>
      </c>
    </row>
    <row r="25" spans="1:21" ht="12" x14ac:dyDescent="0.35">
      <c r="A25" s="189" t="s">
        <v>2045</v>
      </c>
      <c r="B25" s="187" t="s">
        <v>2046</v>
      </c>
      <c r="C25" s="187" t="s">
        <v>412</v>
      </c>
      <c r="D25" s="122"/>
      <c r="E25" s="187" t="s">
        <v>1425</v>
      </c>
      <c r="F25" s="187" t="s">
        <v>1426</v>
      </c>
      <c r="H25" s="6" t="s">
        <v>526</v>
      </c>
      <c r="I25" s="6" t="s">
        <v>527</v>
      </c>
      <c r="J25" s="6" t="s">
        <v>528</v>
      </c>
      <c r="K25" s="6" t="s">
        <v>529</v>
      </c>
      <c r="L25" s="6" t="s">
        <v>530</v>
      </c>
      <c r="M25" s="123" t="s">
        <v>1826</v>
      </c>
      <c r="N25" s="123" t="s">
        <v>822</v>
      </c>
      <c r="P25" s="193" t="s">
        <v>2131</v>
      </c>
      <c r="Q25" s="187" t="s">
        <v>2167</v>
      </c>
      <c r="R25" s="194" t="s">
        <v>2145</v>
      </c>
      <c r="T25" s="36" t="s">
        <v>550</v>
      </c>
      <c r="U25" s="37" t="s">
        <v>15</v>
      </c>
    </row>
    <row r="26" spans="1:21" ht="12" x14ac:dyDescent="0.35">
      <c r="A26" s="189" t="s">
        <v>2047</v>
      </c>
      <c r="B26" s="187" t="s">
        <v>2048</v>
      </c>
      <c r="C26" s="187" t="s">
        <v>412</v>
      </c>
      <c r="D26" s="122" t="s">
        <v>606</v>
      </c>
      <c r="E26" s="187" t="s">
        <v>1427</v>
      </c>
      <c r="F26" s="187" t="s">
        <v>1428</v>
      </c>
      <c r="H26" s="6" t="s">
        <v>22</v>
      </c>
      <c r="I26" s="6" t="s">
        <v>23</v>
      </c>
      <c r="J26" s="6" t="s">
        <v>24</v>
      </c>
      <c r="K26" s="6" t="s">
        <v>25</v>
      </c>
      <c r="L26" s="6" t="s">
        <v>493</v>
      </c>
      <c r="M26" s="6" t="s">
        <v>1827</v>
      </c>
      <c r="N26" s="6" t="s">
        <v>822</v>
      </c>
      <c r="P26" s="193" t="s">
        <v>178</v>
      </c>
      <c r="Q26" s="187" t="s">
        <v>179</v>
      </c>
      <c r="R26" s="194" t="s">
        <v>178</v>
      </c>
      <c r="T26" s="36" t="s">
        <v>551</v>
      </c>
      <c r="U26" s="37" t="s">
        <v>470</v>
      </c>
    </row>
    <row r="27" spans="1:21" ht="12" x14ac:dyDescent="0.35">
      <c r="A27" s="189" t="s">
        <v>2049</v>
      </c>
      <c r="B27" s="187" t="s">
        <v>2050</v>
      </c>
      <c r="C27" s="187" t="s">
        <v>412</v>
      </c>
      <c r="D27" s="6"/>
      <c r="E27" s="187" t="s">
        <v>1429</v>
      </c>
      <c r="F27" s="187" t="s">
        <v>1430</v>
      </c>
      <c r="H27" s="6" t="s">
        <v>674</v>
      </c>
      <c r="I27" s="6" t="s">
        <v>675</v>
      </c>
      <c r="J27" s="6" t="s">
        <v>676</v>
      </c>
      <c r="K27" s="6" t="s">
        <v>677</v>
      </c>
      <c r="L27" s="6" t="s">
        <v>678</v>
      </c>
      <c r="M27" s="6" t="s">
        <v>1827</v>
      </c>
      <c r="N27" s="6" t="s">
        <v>822</v>
      </c>
      <c r="P27" s="193" t="s">
        <v>2132</v>
      </c>
      <c r="Q27" s="187" t="s">
        <v>2168</v>
      </c>
      <c r="R27" s="194" t="s">
        <v>178</v>
      </c>
      <c r="T27" s="36" t="s">
        <v>552</v>
      </c>
      <c r="U27" s="37" t="s">
        <v>553</v>
      </c>
    </row>
    <row r="28" spans="1:21" ht="12" x14ac:dyDescent="0.35">
      <c r="A28" s="189" t="s">
        <v>2051</v>
      </c>
      <c r="B28" s="187" t="s">
        <v>2052</v>
      </c>
      <c r="C28" s="187" t="s">
        <v>412</v>
      </c>
      <c r="D28" s="122"/>
      <c r="E28" s="187" t="s">
        <v>1431</v>
      </c>
      <c r="F28" s="187" t="s">
        <v>1432</v>
      </c>
      <c r="H28" s="6" t="s">
        <v>128</v>
      </c>
      <c r="I28" s="6" t="s">
        <v>129</v>
      </c>
      <c r="J28" s="6" t="s">
        <v>130</v>
      </c>
      <c r="K28" s="6" t="s">
        <v>131</v>
      </c>
      <c r="L28" s="6" t="s">
        <v>132</v>
      </c>
      <c r="M28" s="6" t="s">
        <v>1827</v>
      </c>
      <c r="N28" s="6" t="s">
        <v>822</v>
      </c>
      <c r="P28" s="193" t="s">
        <v>2133</v>
      </c>
      <c r="Q28" s="187" t="s">
        <v>2169</v>
      </c>
      <c r="R28" s="194" t="s">
        <v>178</v>
      </c>
      <c r="T28" s="38" t="s">
        <v>554</v>
      </c>
      <c r="U28" s="35" t="s">
        <v>555</v>
      </c>
    </row>
    <row r="29" spans="1:21" ht="12" x14ac:dyDescent="0.35">
      <c r="A29" s="189" t="s">
        <v>2053</v>
      </c>
      <c r="B29" s="187" t="s">
        <v>2054</v>
      </c>
      <c r="C29" s="187" t="s">
        <v>412</v>
      </c>
      <c r="D29" s="122" t="s">
        <v>478</v>
      </c>
      <c r="E29" s="187" t="s">
        <v>1433</v>
      </c>
      <c r="F29" s="187" t="s">
        <v>1434</v>
      </c>
      <c r="H29" s="6" t="s">
        <v>684</v>
      </c>
      <c r="I29" s="6" t="s">
        <v>685</v>
      </c>
      <c r="J29" s="6" t="s">
        <v>686</v>
      </c>
      <c r="K29" s="6" t="s">
        <v>687</v>
      </c>
      <c r="L29" s="6" t="s">
        <v>688</v>
      </c>
      <c r="M29" s="6" t="s">
        <v>1827</v>
      </c>
      <c r="N29" s="6" t="s">
        <v>822</v>
      </c>
      <c r="P29" s="193" t="s">
        <v>2134</v>
      </c>
      <c r="Q29" s="187" t="s">
        <v>2170</v>
      </c>
      <c r="R29" s="194" t="s">
        <v>178</v>
      </c>
    </row>
    <row r="30" spans="1:21" ht="12" x14ac:dyDescent="0.35">
      <c r="A30" s="189" t="s">
        <v>2055</v>
      </c>
      <c r="B30" s="187" t="s">
        <v>2056</v>
      </c>
      <c r="C30" s="187" t="s">
        <v>412</v>
      </c>
      <c r="D30" s="122"/>
      <c r="E30" s="187" t="s">
        <v>1155</v>
      </c>
      <c r="F30" s="187" t="s">
        <v>1435</v>
      </c>
      <c r="H30" s="6" t="s">
        <v>694</v>
      </c>
      <c r="I30" s="6" t="s">
        <v>695</v>
      </c>
      <c r="J30" s="6" t="s">
        <v>696</v>
      </c>
      <c r="K30" s="6" t="s">
        <v>697</v>
      </c>
      <c r="L30" s="6" t="s">
        <v>698</v>
      </c>
      <c r="M30" s="6" t="s">
        <v>1827</v>
      </c>
      <c r="N30" s="6" t="s">
        <v>822</v>
      </c>
      <c r="P30" s="193" t="s">
        <v>239</v>
      </c>
      <c r="Q30" s="187" t="s">
        <v>241</v>
      </c>
      <c r="R30" s="194" t="s">
        <v>240</v>
      </c>
    </row>
    <row r="31" spans="1:21" ht="12" x14ac:dyDescent="0.35">
      <c r="A31" s="189" t="s">
        <v>2057</v>
      </c>
      <c r="B31" s="187" t="s">
        <v>2058</v>
      </c>
      <c r="C31" s="187" t="s">
        <v>412</v>
      </c>
      <c r="D31" s="122"/>
      <c r="E31" s="187" t="s">
        <v>1436</v>
      </c>
      <c r="F31" s="187" t="s">
        <v>1437</v>
      </c>
      <c r="H31" s="6" t="s">
        <v>495</v>
      </c>
      <c r="I31" s="6" t="s">
        <v>496</v>
      </c>
      <c r="J31" s="6" t="s">
        <v>497</v>
      </c>
      <c r="K31" s="6" t="s">
        <v>498</v>
      </c>
      <c r="L31" s="6" t="s">
        <v>499</v>
      </c>
      <c r="M31" s="6" t="s">
        <v>1827</v>
      </c>
      <c r="N31" s="6" t="s">
        <v>822</v>
      </c>
      <c r="P31" s="193" t="s">
        <v>2135</v>
      </c>
      <c r="Q31" s="187" t="s">
        <v>2171</v>
      </c>
      <c r="R31" s="194" t="s">
        <v>240</v>
      </c>
      <c r="T31" s="281" t="s">
        <v>1672</v>
      </c>
      <c r="U31" s="281"/>
    </row>
    <row r="32" spans="1:21" ht="12" x14ac:dyDescent="0.35">
      <c r="A32" s="189" t="s">
        <v>2059</v>
      </c>
      <c r="B32" s="187" t="s">
        <v>2060</v>
      </c>
      <c r="C32" s="187" t="s">
        <v>412</v>
      </c>
      <c r="D32" s="189"/>
      <c r="E32" s="187" t="s">
        <v>1968</v>
      </c>
      <c r="F32" s="187" t="s">
        <v>1969</v>
      </c>
      <c r="H32" s="6" t="s">
        <v>699</v>
      </c>
      <c r="I32" s="6" t="s">
        <v>700</v>
      </c>
      <c r="J32" s="6" t="s">
        <v>701</v>
      </c>
      <c r="K32" s="6" t="s">
        <v>702</v>
      </c>
      <c r="L32" s="6" t="s">
        <v>703</v>
      </c>
      <c r="M32" s="6" t="s">
        <v>1827</v>
      </c>
      <c r="N32" s="6" t="s">
        <v>822</v>
      </c>
      <c r="P32" s="193" t="s">
        <v>603</v>
      </c>
      <c r="Q32" s="187" t="s">
        <v>2172</v>
      </c>
      <c r="R32" s="194" t="s">
        <v>240</v>
      </c>
      <c r="T32" s="39" t="s">
        <v>472</v>
      </c>
      <c r="U32" s="40" t="s">
        <v>1673</v>
      </c>
    </row>
    <row r="33" spans="1:22" ht="12" x14ac:dyDescent="0.35">
      <c r="A33" s="189" t="s">
        <v>2061</v>
      </c>
      <c r="B33" s="187" t="s">
        <v>2062</v>
      </c>
      <c r="C33" s="187" t="s">
        <v>412</v>
      </c>
      <c r="D33" s="122" t="s">
        <v>606</v>
      </c>
      <c r="E33" s="187" t="s">
        <v>1438</v>
      </c>
      <c r="F33" s="187" t="s">
        <v>1439</v>
      </c>
      <c r="H33" s="6" t="s">
        <v>704</v>
      </c>
      <c r="I33" s="6" t="s">
        <v>705</v>
      </c>
      <c r="J33" s="6" t="s">
        <v>706</v>
      </c>
      <c r="K33" s="6" t="s">
        <v>707</v>
      </c>
      <c r="L33" s="6" t="s">
        <v>708</v>
      </c>
      <c r="M33" s="6" t="s">
        <v>1827</v>
      </c>
      <c r="N33" s="6" t="s">
        <v>822</v>
      </c>
      <c r="P33" s="193" t="s">
        <v>2136</v>
      </c>
      <c r="Q33" s="187" t="s">
        <v>2173</v>
      </c>
      <c r="R33" s="194" t="s">
        <v>240</v>
      </c>
      <c r="T33" s="41" t="s">
        <v>1674</v>
      </c>
      <c r="U33" s="42" t="s">
        <v>1675</v>
      </c>
    </row>
    <row r="34" spans="1:22" ht="12" x14ac:dyDescent="0.35">
      <c r="A34" s="189" t="s">
        <v>2063</v>
      </c>
      <c r="B34" s="187" t="s">
        <v>2064</v>
      </c>
      <c r="C34" s="187" t="s">
        <v>412</v>
      </c>
      <c r="D34" s="122"/>
      <c r="E34" s="187" t="s">
        <v>1440</v>
      </c>
      <c r="F34" s="187" t="s">
        <v>1441</v>
      </c>
      <c r="H34" s="6" t="s">
        <v>709</v>
      </c>
      <c r="I34" s="6" t="s">
        <v>710</v>
      </c>
      <c r="J34" s="6" t="s">
        <v>711</v>
      </c>
      <c r="K34" s="6" t="s">
        <v>712</v>
      </c>
      <c r="L34" s="6" t="s">
        <v>713</v>
      </c>
      <c r="M34" s="6" t="s">
        <v>1827</v>
      </c>
      <c r="N34" s="6" t="s">
        <v>822</v>
      </c>
      <c r="P34" s="193" t="s">
        <v>169</v>
      </c>
      <c r="Q34" s="187" t="s">
        <v>2174</v>
      </c>
      <c r="R34" s="194" t="s">
        <v>170</v>
      </c>
      <c r="T34" s="43" t="s">
        <v>1676</v>
      </c>
      <c r="U34" s="44" t="s">
        <v>1677</v>
      </c>
    </row>
    <row r="35" spans="1:22" ht="12" x14ac:dyDescent="0.35">
      <c r="A35" s="189" t="s">
        <v>2065</v>
      </c>
      <c r="B35" s="187" t="s">
        <v>2066</v>
      </c>
      <c r="C35" s="187" t="s">
        <v>412</v>
      </c>
      <c r="D35" s="122"/>
      <c r="E35" s="187" t="s">
        <v>1442</v>
      </c>
      <c r="F35" s="187" t="s">
        <v>1443</v>
      </c>
      <c r="H35" s="6" t="s">
        <v>505</v>
      </c>
      <c r="I35" s="6" t="s">
        <v>506</v>
      </c>
      <c r="J35" s="6" t="s">
        <v>507</v>
      </c>
      <c r="K35" s="6" t="s">
        <v>508</v>
      </c>
      <c r="L35" s="6" t="s">
        <v>509</v>
      </c>
      <c r="M35" s="6" t="s">
        <v>1827</v>
      </c>
      <c r="N35" s="6" t="s">
        <v>822</v>
      </c>
      <c r="P35" s="193" t="s">
        <v>209</v>
      </c>
      <c r="Q35" s="187" t="s">
        <v>2175</v>
      </c>
      <c r="R35" s="194" t="s">
        <v>210</v>
      </c>
    </row>
    <row r="36" spans="1:22" ht="12" x14ac:dyDescent="0.35">
      <c r="A36" s="189" t="s">
        <v>2067</v>
      </c>
      <c r="B36" s="187" t="s">
        <v>2068</v>
      </c>
      <c r="C36" s="187" t="s">
        <v>412</v>
      </c>
      <c r="D36" s="122" t="s">
        <v>608</v>
      </c>
      <c r="E36" s="187" t="s">
        <v>1444</v>
      </c>
      <c r="F36" s="187" t="s">
        <v>1445</v>
      </c>
      <c r="H36" s="6" t="s">
        <v>520</v>
      </c>
      <c r="I36" s="6" t="s">
        <v>521</v>
      </c>
      <c r="J36" s="6" t="s">
        <v>522</v>
      </c>
      <c r="K36" s="6" t="s">
        <v>523</v>
      </c>
      <c r="L36" s="6" t="s">
        <v>524</v>
      </c>
      <c r="M36" s="6" t="s">
        <v>1827</v>
      </c>
      <c r="N36" s="6" t="s">
        <v>822</v>
      </c>
      <c r="P36" s="193" t="s">
        <v>2137</v>
      </c>
      <c r="Q36" s="187" t="s">
        <v>2176</v>
      </c>
      <c r="R36" s="194" t="s">
        <v>210</v>
      </c>
    </row>
    <row r="37" spans="1:22" ht="12" x14ac:dyDescent="0.35">
      <c r="A37" s="189" t="s">
        <v>2069</v>
      </c>
      <c r="B37" s="187" t="s">
        <v>2070</v>
      </c>
      <c r="C37" s="187" t="s">
        <v>412</v>
      </c>
      <c r="D37" s="187"/>
      <c r="E37" s="187" t="s">
        <v>344</v>
      </c>
      <c r="F37" s="187" t="s">
        <v>1446</v>
      </c>
      <c r="H37" s="6" t="s">
        <v>510</v>
      </c>
      <c r="I37" s="6" t="s">
        <v>511</v>
      </c>
      <c r="J37" s="6" t="s">
        <v>512</v>
      </c>
      <c r="K37" s="6" t="s">
        <v>513</v>
      </c>
      <c r="L37" s="6" t="s">
        <v>514</v>
      </c>
      <c r="M37" s="6" t="s">
        <v>1827</v>
      </c>
      <c r="N37" s="6" t="s">
        <v>822</v>
      </c>
      <c r="P37" s="193" t="s">
        <v>2138</v>
      </c>
      <c r="Q37" s="187" t="s">
        <v>2177</v>
      </c>
      <c r="R37" s="194" t="s">
        <v>210</v>
      </c>
      <c r="T37" s="281" t="s">
        <v>1678</v>
      </c>
      <c r="U37" s="281"/>
    </row>
    <row r="38" spans="1:22" ht="12" x14ac:dyDescent="0.35">
      <c r="A38" s="189" t="s">
        <v>2071</v>
      </c>
      <c r="B38" s="187" t="s">
        <v>2072</v>
      </c>
      <c r="C38" s="187" t="s">
        <v>412</v>
      </c>
      <c r="D38" s="189"/>
      <c r="E38" s="187" t="s">
        <v>1970</v>
      </c>
      <c r="F38" s="187" t="s">
        <v>1971</v>
      </c>
      <c r="H38" s="6" t="s">
        <v>515</v>
      </c>
      <c r="I38" s="6" t="s">
        <v>516</v>
      </c>
      <c r="J38" s="6" t="s">
        <v>517</v>
      </c>
      <c r="K38" s="6" t="s">
        <v>518</v>
      </c>
      <c r="L38" s="6" t="s">
        <v>519</v>
      </c>
      <c r="M38" s="6" t="s">
        <v>1827</v>
      </c>
      <c r="N38" s="6" t="s">
        <v>822</v>
      </c>
      <c r="P38" s="326" t="s">
        <v>2139</v>
      </c>
      <c r="Q38" s="187" t="s">
        <v>2178</v>
      </c>
      <c r="R38" s="194" t="s">
        <v>210</v>
      </c>
      <c r="T38" s="89" t="s">
        <v>1679</v>
      </c>
      <c r="U38" s="90" t="s">
        <v>1680</v>
      </c>
      <c r="V38" s="34" t="s">
        <v>1983</v>
      </c>
    </row>
    <row r="39" spans="1:22" ht="12" x14ac:dyDescent="0.35">
      <c r="A39" s="189" t="s">
        <v>2073</v>
      </c>
      <c r="B39" s="187" t="s">
        <v>2074</v>
      </c>
      <c r="C39" s="187" t="s">
        <v>412</v>
      </c>
      <c r="D39" s="122"/>
      <c r="E39" s="187" t="s">
        <v>1447</v>
      </c>
      <c r="F39" s="187" t="s">
        <v>1448</v>
      </c>
      <c r="H39" s="6" t="s">
        <v>500</v>
      </c>
      <c r="I39" s="6" t="s">
        <v>501</v>
      </c>
      <c r="J39" s="6" t="s">
        <v>502</v>
      </c>
      <c r="K39" s="6" t="s">
        <v>503</v>
      </c>
      <c r="L39" s="6" t="s">
        <v>504</v>
      </c>
      <c r="M39" s="6" t="s">
        <v>1827</v>
      </c>
      <c r="N39" s="124" t="s">
        <v>823</v>
      </c>
      <c r="P39" s="193" t="s">
        <v>195</v>
      </c>
      <c r="Q39" s="187" t="s">
        <v>421</v>
      </c>
      <c r="R39" s="194" t="s">
        <v>195</v>
      </c>
      <c r="T39" s="91" t="s">
        <v>1850</v>
      </c>
      <c r="U39" s="92" t="s">
        <v>1851</v>
      </c>
      <c r="V39" s="34" t="s">
        <v>1984</v>
      </c>
    </row>
    <row r="40" spans="1:22" ht="12" x14ac:dyDescent="0.35">
      <c r="A40" s="189" t="s">
        <v>2075</v>
      </c>
      <c r="B40" s="187" t="s">
        <v>2076</v>
      </c>
      <c r="C40" s="187" t="s">
        <v>412</v>
      </c>
      <c r="D40" s="122"/>
      <c r="E40" s="187" t="s">
        <v>1449</v>
      </c>
      <c r="F40" s="187" t="s">
        <v>1450</v>
      </c>
      <c r="H40" s="6" t="s">
        <v>116</v>
      </c>
      <c r="I40" s="6" t="s">
        <v>714</v>
      </c>
      <c r="J40" s="6" t="s">
        <v>715</v>
      </c>
      <c r="K40" s="6" t="s">
        <v>716</v>
      </c>
      <c r="L40" s="6" t="s">
        <v>717</v>
      </c>
      <c r="M40" s="6" t="s">
        <v>1827</v>
      </c>
      <c r="N40" s="124" t="s">
        <v>824</v>
      </c>
      <c r="P40" s="193" t="s">
        <v>2140</v>
      </c>
      <c r="Q40" s="187" t="s">
        <v>2179</v>
      </c>
      <c r="R40" s="194" t="s">
        <v>195</v>
      </c>
      <c r="T40" s="91" t="s">
        <v>1852</v>
      </c>
      <c r="U40" s="92" t="s">
        <v>1853</v>
      </c>
      <c r="V40" s="34" t="s">
        <v>1985</v>
      </c>
    </row>
    <row r="41" spans="1:22" ht="12" x14ac:dyDescent="0.35">
      <c r="A41" s="189" t="s">
        <v>282</v>
      </c>
      <c r="B41" s="187" t="s">
        <v>283</v>
      </c>
      <c r="C41" s="187" t="s">
        <v>412</v>
      </c>
      <c r="D41" s="122"/>
      <c r="E41" s="187" t="s">
        <v>283</v>
      </c>
      <c r="F41" s="187" t="s">
        <v>1453</v>
      </c>
      <c r="H41" s="6" t="s">
        <v>118</v>
      </c>
      <c r="I41" s="6" t="s">
        <v>119</v>
      </c>
      <c r="J41" s="6" t="s">
        <v>494</v>
      </c>
      <c r="K41" s="6" t="s">
        <v>120</v>
      </c>
      <c r="L41" s="6" t="s">
        <v>121</v>
      </c>
      <c r="M41" s="123" t="s">
        <v>1827</v>
      </c>
      <c r="N41" s="125" t="s">
        <v>825</v>
      </c>
      <c r="P41" s="193" t="s">
        <v>2141</v>
      </c>
      <c r="Q41" s="187" t="s">
        <v>2180</v>
      </c>
      <c r="R41" s="194" t="s">
        <v>195</v>
      </c>
      <c r="T41" s="91" t="s">
        <v>1681</v>
      </c>
      <c r="U41" s="92" t="s">
        <v>1854</v>
      </c>
      <c r="V41" s="34" t="s">
        <v>1986</v>
      </c>
    </row>
    <row r="42" spans="1:22" ht="12" x14ac:dyDescent="0.35">
      <c r="A42" s="189" t="s">
        <v>395</v>
      </c>
      <c r="B42" s="187" t="s">
        <v>396</v>
      </c>
      <c r="C42" s="187" t="s">
        <v>412</v>
      </c>
      <c r="D42" s="122"/>
      <c r="E42" s="187" t="s">
        <v>396</v>
      </c>
      <c r="F42" s="187" t="s">
        <v>1454</v>
      </c>
      <c r="H42" s="6" t="s">
        <v>303</v>
      </c>
      <c r="I42" s="6" t="s">
        <v>304</v>
      </c>
      <c r="J42" s="6" t="s">
        <v>305</v>
      </c>
      <c r="K42" s="6" t="s">
        <v>306</v>
      </c>
      <c r="L42" s="6" t="s">
        <v>307</v>
      </c>
      <c r="M42" s="6" t="s">
        <v>1828</v>
      </c>
      <c r="N42" s="6" t="s">
        <v>822</v>
      </c>
      <c r="P42" s="193" t="s">
        <v>217</v>
      </c>
      <c r="Q42" s="187" t="s">
        <v>2181</v>
      </c>
      <c r="R42" s="194" t="s">
        <v>217</v>
      </c>
      <c r="T42" s="93" t="s">
        <v>1682</v>
      </c>
      <c r="U42" s="94" t="s">
        <v>1855</v>
      </c>
      <c r="V42" s="34" t="s">
        <v>1987</v>
      </c>
    </row>
    <row r="43" spans="1:22" ht="12" x14ac:dyDescent="0.35">
      <c r="A43" s="189" t="s">
        <v>2077</v>
      </c>
      <c r="B43" s="187" t="s">
        <v>2078</v>
      </c>
      <c r="C43" s="187" t="s">
        <v>412</v>
      </c>
      <c r="D43" s="187"/>
      <c r="E43" s="187" t="s">
        <v>2011</v>
      </c>
      <c r="F43" s="187" t="s">
        <v>1452</v>
      </c>
      <c r="H43" s="6" t="s">
        <v>320</v>
      </c>
      <c r="I43" s="6" t="s">
        <v>321</v>
      </c>
      <c r="J43" s="6" t="s">
        <v>322</v>
      </c>
      <c r="K43" s="6" t="s">
        <v>323</v>
      </c>
      <c r="L43" s="6" t="s">
        <v>324</v>
      </c>
      <c r="M43" s="6" t="s">
        <v>1828</v>
      </c>
      <c r="N43" s="6" t="s">
        <v>822</v>
      </c>
      <c r="P43" s="193" t="s">
        <v>201</v>
      </c>
      <c r="Q43" s="187" t="s">
        <v>2182</v>
      </c>
      <c r="R43" s="194" t="s">
        <v>201</v>
      </c>
    </row>
    <row r="44" spans="1:22" ht="12" x14ac:dyDescent="0.35">
      <c r="A44" s="189" t="s">
        <v>2079</v>
      </c>
      <c r="B44" s="187" t="s">
        <v>2080</v>
      </c>
      <c r="C44" s="187" t="s">
        <v>412</v>
      </c>
      <c r="D44" s="122"/>
      <c r="E44" s="187" t="s">
        <v>1455</v>
      </c>
      <c r="F44" s="187" t="s">
        <v>1456</v>
      </c>
      <c r="H44" s="6" t="s">
        <v>350</v>
      </c>
      <c r="I44" s="6" t="s">
        <v>351</v>
      </c>
      <c r="J44" s="6" t="s">
        <v>352</v>
      </c>
      <c r="K44" s="6" t="s">
        <v>353</v>
      </c>
      <c r="L44" s="6" t="s">
        <v>354</v>
      </c>
      <c r="M44" s="123" t="s">
        <v>1828</v>
      </c>
      <c r="N44" s="123" t="s">
        <v>822</v>
      </c>
      <c r="P44" s="193" t="s">
        <v>252</v>
      </c>
      <c r="Q44" s="187" t="s">
        <v>254</v>
      </c>
      <c r="R44" s="194" t="s">
        <v>253</v>
      </c>
    </row>
    <row r="45" spans="1:22" ht="12" x14ac:dyDescent="0.35">
      <c r="A45" s="189" t="s">
        <v>126</v>
      </c>
      <c r="B45" s="187" t="s">
        <v>127</v>
      </c>
      <c r="C45" s="187" t="s">
        <v>412</v>
      </c>
      <c r="D45" s="122"/>
      <c r="E45" s="187" t="s">
        <v>127</v>
      </c>
      <c r="F45" s="187" t="s">
        <v>1457</v>
      </c>
      <c r="H45" s="6" t="s">
        <v>182</v>
      </c>
      <c r="I45" s="6" t="s">
        <v>183</v>
      </c>
      <c r="J45" s="6" t="s">
        <v>184</v>
      </c>
      <c r="K45" s="6" t="s">
        <v>185</v>
      </c>
      <c r="L45" s="6" t="s">
        <v>186</v>
      </c>
      <c r="M45" s="6" t="s">
        <v>1829</v>
      </c>
      <c r="N45" s="6" t="s">
        <v>822</v>
      </c>
      <c r="P45" s="193" t="s">
        <v>2142</v>
      </c>
      <c r="Q45" s="187" t="s">
        <v>2183</v>
      </c>
      <c r="R45" s="194" t="s">
        <v>253</v>
      </c>
    </row>
    <row r="46" spans="1:22" ht="12" x14ac:dyDescent="0.35">
      <c r="A46" s="189" t="s">
        <v>288</v>
      </c>
      <c r="B46" s="187" t="s">
        <v>289</v>
      </c>
      <c r="C46" s="187" t="s">
        <v>412</v>
      </c>
      <c r="D46" s="122"/>
      <c r="E46" s="187" t="s">
        <v>289</v>
      </c>
      <c r="F46" s="187" t="s">
        <v>1526</v>
      </c>
      <c r="H46" s="6" t="s">
        <v>264</v>
      </c>
      <c r="I46" s="6" t="s">
        <v>265</v>
      </c>
      <c r="J46" s="6" t="s">
        <v>266</v>
      </c>
      <c r="K46" s="6" t="s">
        <v>531</v>
      </c>
      <c r="L46" s="6" t="s">
        <v>267</v>
      </c>
      <c r="M46" s="6" t="s">
        <v>1829</v>
      </c>
      <c r="N46" s="6" t="s">
        <v>822</v>
      </c>
      <c r="P46" s="193" t="s">
        <v>2143</v>
      </c>
      <c r="Q46" s="187" t="s">
        <v>2184</v>
      </c>
      <c r="R46" s="194" t="s">
        <v>2143</v>
      </c>
    </row>
    <row r="47" spans="1:22" ht="12" x14ac:dyDescent="0.35">
      <c r="A47" s="189" t="s">
        <v>133</v>
      </c>
      <c r="B47" s="187" t="s">
        <v>134</v>
      </c>
      <c r="C47" s="187" t="s">
        <v>412</v>
      </c>
      <c r="D47" s="122" t="s">
        <v>473</v>
      </c>
      <c r="E47" s="187" t="s">
        <v>134</v>
      </c>
      <c r="F47" s="187" t="s">
        <v>1458</v>
      </c>
      <c r="H47" s="6" t="s">
        <v>173</v>
      </c>
      <c r="I47" s="6" t="s">
        <v>174</v>
      </c>
      <c r="J47" s="6" t="s">
        <v>175</v>
      </c>
      <c r="K47" s="6" t="s">
        <v>176</v>
      </c>
      <c r="L47" s="6" t="s">
        <v>177</v>
      </c>
      <c r="M47" s="6" t="s">
        <v>1829</v>
      </c>
      <c r="N47" s="6" t="s">
        <v>822</v>
      </c>
      <c r="P47" s="193" t="s">
        <v>204</v>
      </c>
      <c r="Q47" s="187" t="s">
        <v>422</v>
      </c>
      <c r="R47" s="194" t="s">
        <v>205</v>
      </c>
    </row>
    <row r="48" spans="1:22" ht="12" x14ac:dyDescent="0.35">
      <c r="A48" s="189" t="s">
        <v>2081</v>
      </c>
      <c r="B48" s="187" t="s">
        <v>1451</v>
      </c>
      <c r="C48" s="187" t="s">
        <v>412</v>
      </c>
      <c r="D48" s="187"/>
      <c r="E48" s="187" t="s">
        <v>1451</v>
      </c>
      <c r="F48" s="187" t="s">
        <v>1452</v>
      </c>
      <c r="H48" s="6" t="s">
        <v>718</v>
      </c>
      <c r="I48" s="6" t="s">
        <v>719</v>
      </c>
      <c r="J48" s="6" t="s">
        <v>720</v>
      </c>
      <c r="K48" s="6" t="s">
        <v>721</v>
      </c>
      <c r="L48" s="6" t="s">
        <v>722</v>
      </c>
      <c r="M48" s="6" t="s">
        <v>1829</v>
      </c>
      <c r="N48" s="6" t="s">
        <v>822</v>
      </c>
      <c r="P48" s="326" t="s">
        <v>2144</v>
      </c>
      <c r="Q48" s="187" t="s">
        <v>2185</v>
      </c>
      <c r="R48" s="194" t="s">
        <v>2146</v>
      </c>
    </row>
    <row r="49" spans="1:18" ht="12" x14ac:dyDescent="0.35">
      <c r="A49" s="189" t="s">
        <v>293</v>
      </c>
      <c r="B49" s="187" t="s">
        <v>294</v>
      </c>
      <c r="C49" s="187" t="s">
        <v>412</v>
      </c>
      <c r="D49" s="122"/>
      <c r="E49" s="187" t="s">
        <v>294</v>
      </c>
      <c r="F49" s="187" t="s">
        <v>1528</v>
      </c>
      <c r="H49" s="6" t="s">
        <v>723</v>
      </c>
      <c r="I49" s="6" t="s">
        <v>724</v>
      </c>
      <c r="J49" s="6" t="s">
        <v>725</v>
      </c>
      <c r="K49" s="6" t="s">
        <v>726</v>
      </c>
      <c r="L49" s="6" t="s">
        <v>727</v>
      </c>
      <c r="M49" s="6" t="s">
        <v>1829</v>
      </c>
      <c r="N49" s="6" t="s">
        <v>822</v>
      </c>
      <c r="P49" s="193" t="s">
        <v>423</v>
      </c>
      <c r="Q49" s="187" t="s">
        <v>2186</v>
      </c>
      <c r="R49" s="194" t="s">
        <v>14</v>
      </c>
    </row>
    <row r="50" spans="1:18" ht="12" x14ac:dyDescent="0.35">
      <c r="A50" s="189" t="s">
        <v>297</v>
      </c>
      <c r="B50" s="187" t="s">
        <v>298</v>
      </c>
      <c r="C50" s="187" t="s">
        <v>412</v>
      </c>
      <c r="D50" s="122" t="s">
        <v>473</v>
      </c>
      <c r="E50" s="187" t="s">
        <v>298</v>
      </c>
      <c r="F50" s="187" t="s">
        <v>1459</v>
      </c>
      <c r="H50" s="6" t="s">
        <v>728</v>
      </c>
      <c r="I50" s="6" t="s">
        <v>1830</v>
      </c>
      <c r="J50" s="6" t="s">
        <v>729</v>
      </c>
      <c r="K50" s="6" t="s">
        <v>730</v>
      </c>
      <c r="L50" s="6" t="s">
        <v>731</v>
      </c>
      <c r="M50" s="6" t="s">
        <v>1829</v>
      </c>
      <c r="N50" s="6" t="s">
        <v>822</v>
      </c>
      <c r="P50" s="196" t="s">
        <v>96</v>
      </c>
      <c r="Q50" s="197" t="s">
        <v>2187</v>
      </c>
      <c r="R50" s="198"/>
    </row>
    <row r="51" spans="1:18" ht="12" x14ac:dyDescent="0.35">
      <c r="A51" s="189" t="s">
        <v>397</v>
      </c>
      <c r="B51" s="187" t="s">
        <v>287</v>
      </c>
      <c r="C51" s="187" t="s">
        <v>412</v>
      </c>
      <c r="D51" s="122"/>
      <c r="E51" s="187" t="s">
        <v>287</v>
      </c>
      <c r="F51" s="187" t="s">
        <v>1460</v>
      </c>
      <c r="H51" s="6" t="s">
        <v>732</v>
      </c>
      <c r="I51" s="6" t="s">
        <v>1831</v>
      </c>
      <c r="J51" s="6" t="s">
        <v>733</v>
      </c>
      <c r="K51" s="6" t="s">
        <v>734</v>
      </c>
      <c r="L51" s="6" t="s">
        <v>735</v>
      </c>
      <c r="M51" s="6" t="s">
        <v>1829</v>
      </c>
      <c r="N51" s="6" t="s">
        <v>822</v>
      </c>
    </row>
    <row r="52" spans="1:18" ht="12" x14ac:dyDescent="0.35">
      <c r="A52" s="189" t="s">
        <v>124</v>
      </c>
      <c r="B52" s="187" t="s">
        <v>125</v>
      </c>
      <c r="C52" s="187" t="s">
        <v>412</v>
      </c>
      <c r="D52" s="122" t="s">
        <v>479</v>
      </c>
      <c r="E52" s="187" t="s">
        <v>125</v>
      </c>
      <c r="F52" s="187" t="s">
        <v>1461</v>
      </c>
      <c r="H52" s="6" t="s">
        <v>736</v>
      </c>
      <c r="I52" s="6" t="s">
        <v>1832</v>
      </c>
      <c r="J52" s="6" t="s">
        <v>737</v>
      </c>
      <c r="K52" s="6" t="s">
        <v>738</v>
      </c>
      <c r="L52" s="6" t="s">
        <v>739</v>
      </c>
      <c r="M52" s="6" t="s">
        <v>1829</v>
      </c>
      <c r="N52" s="6" t="s">
        <v>822</v>
      </c>
    </row>
    <row r="53" spans="1:18" ht="12" x14ac:dyDescent="0.35">
      <c r="A53" s="189" t="s">
        <v>2082</v>
      </c>
      <c r="B53" s="187" t="s">
        <v>117</v>
      </c>
      <c r="C53" s="187" t="s">
        <v>412</v>
      </c>
      <c r="D53" s="122"/>
      <c r="E53" s="187" t="s">
        <v>117</v>
      </c>
      <c r="F53" s="187" t="s">
        <v>210</v>
      </c>
      <c r="H53" s="6" t="s">
        <v>212</v>
      </c>
      <c r="I53" s="6" t="s">
        <v>213</v>
      </c>
      <c r="J53" s="6" t="s">
        <v>214</v>
      </c>
      <c r="K53" s="6" t="s">
        <v>215</v>
      </c>
      <c r="L53" s="6" t="s">
        <v>216</v>
      </c>
      <c r="M53" s="6" t="s">
        <v>1829</v>
      </c>
      <c r="N53" s="6" t="s">
        <v>822</v>
      </c>
    </row>
    <row r="54" spans="1:18" ht="12" x14ac:dyDescent="0.35">
      <c r="A54" s="189" t="s">
        <v>140</v>
      </c>
      <c r="B54" s="187" t="s">
        <v>141</v>
      </c>
      <c r="C54" s="187" t="s">
        <v>412</v>
      </c>
      <c r="D54" s="122"/>
      <c r="E54" s="187" t="s">
        <v>141</v>
      </c>
      <c r="F54" s="187" t="s">
        <v>1462</v>
      </c>
      <c r="H54" s="6" t="s">
        <v>740</v>
      </c>
      <c r="I54" s="6" t="s">
        <v>1833</v>
      </c>
      <c r="J54" s="6" t="s">
        <v>741</v>
      </c>
      <c r="K54" s="6" t="s">
        <v>1834</v>
      </c>
      <c r="L54" s="6" t="s">
        <v>1835</v>
      </c>
      <c r="M54" s="6" t="s">
        <v>1829</v>
      </c>
      <c r="N54" s="6" t="s">
        <v>822</v>
      </c>
    </row>
    <row r="55" spans="1:18" ht="12" x14ac:dyDescent="0.35">
      <c r="A55" s="189" t="s">
        <v>147</v>
      </c>
      <c r="B55" s="187" t="s">
        <v>148</v>
      </c>
      <c r="C55" s="187" t="s">
        <v>412</v>
      </c>
      <c r="D55" s="122"/>
      <c r="E55" s="187" t="s">
        <v>148</v>
      </c>
      <c r="F55" s="187" t="s">
        <v>1463</v>
      </c>
      <c r="H55" s="6" t="s">
        <v>742</v>
      </c>
      <c r="I55" s="6" t="s">
        <v>743</v>
      </c>
      <c r="J55" s="6" t="s">
        <v>744</v>
      </c>
      <c r="K55" s="6" t="s">
        <v>745</v>
      </c>
      <c r="L55" s="6" t="s">
        <v>746</v>
      </c>
      <c r="M55" s="6" t="s">
        <v>1829</v>
      </c>
      <c r="N55" s="6" t="s">
        <v>822</v>
      </c>
    </row>
    <row r="56" spans="1:18" ht="12" x14ac:dyDescent="0.35">
      <c r="A56" s="189" t="s">
        <v>154</v>
      </c>
      <c r="B56" s="187" t="s">
        <v>155</v>
      </c>
      <c r="C56" s="187" t="s">
        <v>412</v>
      </c>
      <c r="D56" s="122"/>
      <c r="E56" s="187" t="s">
        <v>155</v>
      </c>
      <c r="F56" s="187" t="s">
        <v>1464</v>
      </c>
      <c r="H56" s="6" t="s">
        <v>747</v>
      </c>
      <c r="I56" s="6" t="s">
        <v>1836</v>
      </c>
      <c r="J56" s="6" t="s">
        <v>748</v>
      </c>
      <c r="K56" s="6" t="s">
        <v>749</v>
      </c>
      <c r="L56" s="6" t="s">
        <v>750</v>
      </c>
      <c r="M56" s="6" t="s">
        <v>1829</v>
      </c>
      <c r="N56" s="6" t="s">
        <v>822</v>
      </c>
    </row>
    <row r="57" spans="1:18" ht="12" x14ac:dyDescent="0.35">
      <c r="A57" s="189" t="s">
        <v>2083</v>
      </c>
      <c r="B57" s="187" t="s">
        <v>161</v>
      </c>
      <c r="C57" s="187" t="s">
        <v>412</v>
      </c>
      <c r="D57" s="122"/>
      <c r="E57" s="187" t="s">
        <v>161</v>
      </c>
      <c r="F57" s="187" t="s">
        <v>1465</v>
      </c>
      <c r="H57" s="6" t="s">
        <v>310</v>
      </c>
      <c r="I57" s="6" t="s">
        <v>311</v>
      </c>
      <c r="J57" s="6" t="s">
        <v>312</v>
      </c>
      <c r="K57" s="6" t="s">
        <v>313</v>
      </c>
      <c r="L57" s="6" t="s">
        <v>314</v>
      </c>
      <c r="M57" s="6" t="s">
        <v>1829</v>
      </c>
      <c r="N57" s="6" t="s">
        <v>822</v>
      </c>
    </row>
    <row r="58" spans="1:18" ht="12" x14ac:dyDescent="0.35">
      <c r="A58" s="189" t="s">
        <v>317</v>
      </c>
      <c r="B58" s="187" t="s">
        <v>318</v>
      </c>
      <c r="C58" s="187" t="s">
        <v>412</v>
      </c>
      <c r="D58" s="122"/>
      <c r="E58" s="187" t="s">
        <v>318</v>
      </c>
      <c r="F58" s="187" t="s">
        <v>1466</v>
      </c>
      <c r="H58" s="6" t="s">
        <v>751</v>
      </c>
      <c r="I58" s="6" t="s">
        <v>1837</v>
      </c>
      <c r="J58" s="6" t="s">
        <v>752</v>
      </c>
      <c r="K58" s="6" t="s">
        <v>753</v>
      </c>
      <c r="L58" s="6" t="s">
        <v>754</v>
      </c>
      <c r="M58" s="6" t="s">
        <v>1829</v>
      </c>
      <c r="N58" s="6" t="s">
        <v>822</v>
      </c>
    </row>
    <row r="59" spans="1:18" ht="12" x14ac:dyDescent="0.35">
      <c r="A59" s="189" t="s">
        <v>162</v>
      </c>
      <c r="B59" s="187" t="s">
        <v>163</v>
      </c>
      <c r="C59" s="187" t="s">
        <v>412</v>
      </c>
      <c r="D59" s="122"/>
      <c r="E59" s="187" t="s">
        <v>163</v>
      </c>
      <c r="F59" s="187" t="s">
        <v>1467</v>
      </c>
      <c r="H59" s="6" t="s">
        <v>755</v>
      </c>
      <c r="I59" s="6" t="s">
        <v>756</v>
      </c>
      <c r="J59" s="6" t="s">
        <v>757</v>
      </c>
      <c r="K59" s="6" t="s">
        <v>758</v>
      </c>
      <c r="L59" s="6" t="s">
        <v>759</v>
      </c>
      <c r="M59" s="6" t="s">
        <v>1829</v>
      </c>
      <c r="N59" s="6" t="s">
        <v>822</v>
      </c>
    </row>
    <row r="60" spans="1:18" ht="12" x14ac:dyDescent="0.35">
      <c r="A60" s="189" t="s">
        <v>171</v>
      </c>
      <c r="B60" s="187" t="s">
        <v>172</v>
      </c>
      <c r="C60" s="187" t="s">
        <v>412</v>
      </c>
      <c r="D60" s="122" t="s">
        <v>480</v>
      </c>
      <c r="E60" s="187" t="s">
        <v>172</v>
      </c>
      <c r="F60" s="187" t="s">
        <v>1468</v>
      </c>
      <c r="H60" s="6" t="s">
        <v>224</v>
      </c>
      <c r="I60" s="6" t="s">
        <v>225</v>
      </c>
      <c r="J60" s="6" t="s">
        <v>226</v>
      </c>
      <c r="K60" s="6" t="s">
        <v>227</v>
      </c>
      <c r="L60" s="6" t="s">
        <v>228</v>
      </c>
      <c r="M60" s="6" t="s">
        <v>1829</v>
      </c>
      <c r="N60" s="6" t="s">
        <v>822</v>
      </c>
    </row>
    <row r="61" spans="1:18" ht="12" x14ac:dyDescent="0.35">
      <c r="A61" s="189" t="s">
        <v>326</v>
      </c>
      <c r="B61" s="187" t="s">
        <v>327</v>
      </c>
      <c r="C61" s="187" t="s">
        <v>412</v>
      </c>
      <c r="D61" s="122"/>
      <c r="E61" s="187" t="s">
        <v>327</v>
      </c>
      <c r="F61" s="187" t="s">
        <v>1469</v>
      </c>
      <c r="H61" s="6" t="s">
        <v>539</v>
      </c>
      <c r="I61" s="6" t="s">
        <v>540</v>
      </c>
      <c r="J61" s="6" t="s">
        <v>541</v>
      </c>
      <c r="K61" s="6" t="s">
        <v>542</v>
      </c>
      <c r="L61" s="6" t="s">
        <v>543</v>
      </c>
      <c r="M61" s="6" t="s">
        <v>1829</v>
      </c>
      <c r="N61" s="6" t="s">
        <v>822</v>
      </c>
    </row>
    <row r="62" spans="1:18" ht="12" x14ac:dyDescent="0.35">
      <c r="A62" s="189" t="s">
        <v>180</v>
      </c>
      <c r="B62" s="187" t="s">
        <v>181</v>
      </c>
      <c r="C62" s="187" t="s">
        <v>412</v>
      </c>
      <c r="D62" s="122"/>
      <c r="E62" s="187" t="s">
        <v>181</v>
      </c>
      <c r="F62" s="187" t="s">
        <v>1470</v>
      </c>
      <c r="H62" s="6" t="s">
        <v>534</v>
      </c>
      <c r="I62" s="6" t="s">
        <v>535</v>
      </c>
      <c r="J62" s="6" t="s">
        <v>536</v>
      </c>
      <c r="K62" s="6" t="s">
        <v>537</v>
      </c>
      <c r="L62" s="6" t="s">
        <v>538</v>
      </c>
      <c r="M62" s="6" t="s">
        <v>1829</v>
      </c>
      <c r="N62" s="6" t="s">
        <v>822</v>
      </c>
    </row>
    <row r="63" spans="1:18" ht="12" x14ac:dyDescent="0.35">
      <c r="A63" s="189" t="s">
        <v>187</v>
      </c>
      <c r="B63" s="187" t="s">
        <v>103</v>
      </c>
      <c r="C63" s="187" t="s">
        <v>412</v>
      </c>
      <c r="D63" s="122"/>
      <c r="E63" s="187" t="s">
        <v>103</v>
      </c>
      <c r="F63" s="187" t="s">
        <v>1471</v>
      </c>
      <c r="H63" s="6" t="s">
        <v>760</v>
      </c>
      <c r="I63" s="6" t="s">
        <v>761</v>
      </c>
      <c r="J63" s="6" t="s">
        <v>762</v>
      </c>
      <c r="K63" s="6" t="s">
        <v>763</v>
      </c>
      <c r="L63" s="6" t="s">
        <v>764</v>
      </c>
      <c r="M63" s="6" t="s">
        <v>1829</v>
      </c>
      <c r="N63" s="6" t="s">
        <v>822</v>
      </c>
    </row>
    <row r="64" spans="1:18" ht="12" x14ac:dyDescent="0.35">
      <c r="A64" s="189" t="s">
        <v>389</v>
      </c>
      <c r="B64" s="187" t="s">
        <v>390</v>
      </c>
      <c r="C64" s="187" t="s">
        <v>412</v>
      </c>
      <c r="D64" s="122"/>
      <c r="E64" s="187" t="s">
        <v>390</v>
      </c>
      <c r="F64" s="187" t="s">
        <v>1472</v>
      </c>
      <c r="H64" s="6" t="s">
        <v>765</v>
      </c>
      <c r="I64" s="6" t="s">
        <v>766</v>
      </c>
      <c r="J64" s="6" t="s">
        <v>767</v>
      </c>
      <c r="K64" s="6" t="s">
        <v>768</v>
      </c>
      <c r="L64" s="6" t="s">
        <v>769</v>
      </c>
      <c r="M64" s="6" t="s">
        <v>1829</v>
      </c>
      <c r="N64" s="6" t="s">
        <v>822</v>
      </c>
    </row>
    <row r="65" spans="1:14" ht="12" x14ac:dyDescent="0.35">
      <c r="A65" s="189" t="s">
        <v>338</v>
      </c>
      <c r="B65" s="187" t="s">
        <v>339</v>
      </c>
      <c r="C65" s="187" t="s">
        <v>412</v>
      </c>
      <c r="D65" s="122"/>
      <c r="E65" s="187" t="s">
        <v>339</v>
      </c>
      <c r="F65" s="187" t="s">
        <v>1473</v>
      </c>
      <c r="H65" s="6" t="s">
        <v>770</v>
      </c>
      <c r="I65" s="6" t="s">
        <v>1838</v>
      </c>
      <c r="J65" s="6" t="s">
        <v>1995</v>
      </c>
      <c r="K65" s="6"/>
      <c r="L65" s="6"/>
      <c r="M65" s="6" t="s">
        <v>1829</v>
      </c>
      <c r="N65" s="6" t="s">
        <v>822</v>
      </c>
    </row>
    <row r="66" spans="1:14" ht="12" x14ac:dyDescent="0.35">
      <c r="A66" s="189" t="s">
        <v>2084</v>
      </c>
      <c r="B66" s="187" t="s">
        <v>2085</v>
      </c>
      <c r="C66" s="187" t="s">
        <v>412</v>
      </c>
      <c r="D66" s="187"/>
      <c r="E66" s="187" t="s">
        <v>2086</v>
      </c>
      <c r="F66" s="187" t="s">
        <v>1452</v>
      </c>
      <c r="H66" s="6" t="s">
        <v>544</v>
      </c>
      <c r="I66" s="6" t="s">
        <v>545</v>
      </c>
      <c r="J66" s="6" t="s">
        <v>546</v>
      </c>
      <c r="K66" s="6" t="s">
        <v>547</v>
      </c>
      <c r="L66" s="6" t="s">
        <v>548</v>
      </c>
      <c r="M66" s="6" t="s">
        <v>1829</v>
      </c>
      <c r="N66" s="6" t="s">
        <v>822</v>
      </c>
    </row>
    <row r="67" spans="1:14" ht="12" x14ac:dyDescent="0.35">
      <c r="A67" s="189" t="s">
        <v>340</v>
      </c>
      <c r="B67" s="187" t="s">
        <v>341</v>
      </c>
      <c r="C67" s="187" t="s">
        <v>412</v>
      </c>
      <c r="D67" s="122"/>
      <c r="E67" s="187" t="s">
        <v>341</v>
      </c>
      <c r="F67" s="187" t="s">
        <v>1474</v>
      </c>
      <c r="H67" s="6" t="s">
        <v>771</v>
      </c>
      <c r="I67" s="6" t="s">
        <v>772</v>
      </c>
      <c r="J67" s="6" t="s">
        <v>773</v>
      </c>
      <c r="K67" s="6" t="s">
        <v>774</v>
      </c>
      <c r="L67" s="6" t="s">
        <v>775</v>
      </c>
      <c r="M67" s="6" t="s">
        <v>1829</v>
      </c>
      <c r="N67" s="6" t="s">
        <v>822</v>
      </c>
    </row>
    <row r="68" spans="1:14" ht="12" x14ac:dyDescent="0.35">
      <c r="A68" s="189" t="s">
        <v>188</v>
      </c>
      <c r="B68" s="187" t="s">
        <v>189</v>
      </c>
      <c r="C68" s="187" t="s">
        <v>412</v>
      </c>
      <c r="D68" s="122" t="s">
        <v>473</v>
      </c>
      <c r="E68" s="187" t="s">
        <v>189</v>
      </c>
      <c r="F68" s="187" t="s">
        <v>1475</v>
      </c>
      <c r="H68" s="6" t="s">
        <v>776</v>
      </c>
      <c r="I68" s="6" t="s">
        <v>1996</v>
      </c>
      <c r="J68" s="6" t="s">
        <v>777</v>
      </c>
      <c r="K68" s="6"/>
      <c r="L68" s="6"/>
      <c r="M68" s="6" t="s">
        <v>1829</v>
      </c>
      <c r="N68" s="6" t="s">
        <v>822</v>
      </c>
    </row>
    <row r="69" spans="1:14" ht="12" x14ac:dyDescent="0.35">
      <c r="A69" s="189" t="s">
        <v>196</v>
      </c>
      <c r="B69" s="187" t="s">
        <v>197</v>
      </c>
      <c r="C69" s="187" t="s">
        <v>412</v>
      </c>
      <c r="D69" s="122"/>
      <c r="E69" s="187" t="s">
        <v>197</v>
      </c>
      <c r="F69" s="187" t="s">
        <v>1476</v>
      </c>
      <c r="H69" s="6" t="s">
        <v>778</v>
      </c>
      <c r="I69" s="6" t="s">
        <v>779</v>
      </c>
      <c r="J69" s="6" t="s">
        <v>780</v>
      </c>
      <c r="K69" s="6" t="s">
        <v>781</v>
      </c>
      <c r="L69" s="6" t="s">
        <v>782</v>
      </c>
      <c r="M69" s="6" t="s">
        <v>1829</v>
      </c>
      <c r="N69" s="6" t="s">
        <v>822</v>
      </c>
    </row>
    <row r="70" spans="1:14" ht="12" x14ac:dyDescent="0.35">
      <c r="A70" s="189" t="s">
        <v>198</v>
      </c>
      <c r="B70" s="187" t="s">
        <v>199</v>
      </c>
      <c r="C70" s="187" t="s">
        <v>412</v>
      </c>
      <c r="D70" s="122"/>
      <c r="E70" s="187" t="s">
        <v>199</v>
      </c>
      <c r="F70" s="187" t="s">
        <v>1477</v>
      </c>
      <c r="H70" s="6" t="s">
        <v>783</v>
      </c>
      <c r="I70" s="6" t="s">
        <v>784</v>
      </c>
      <c r="J70" s="6" t="s">
        <v>785</v>
      </c>
      <c r="K70" s="6" t="s">
        <v>786</v>
      </c>
      <c r="L70" s="6" t="s">
        <v>787</v>
      </c>
      <c r="M70" s="6" t="s">
        <v>1829</v>
      </c>
      <c r="N70" s="6" t="s">
        <v>822</v>
      </c>
    </row>
    <row r="71" spans="1:14" ht="12" x14ac:dyDescent="0.35">
      <c r="A71" s="189" t="s">
        <v>2087</v>
      </c>
      <c r="B71" s="187" t="s">
        <v>200</v>
      </c>
      <c r="C71" s="187" t="s">
        <v>412</v>
      </c>
      <c r="D71" s="122" t="s">
        <v>479</v>
      </c>
      <c r="E71" s="187" t="s">
        <v>200</v>
      </c>
      <c r="F71" s="187" t="s">
        <v>1478</v>
      </c>
      <c r="H71" s="6" t="s">
        <v>788</v>
      </c>
      <c r="I71" s="6" t="s">
        <v>789</v>
      </c>
      <c r="J71" s="6" t="s">
        <v>790</v>
      </c>
      <c r="K71" s="6" t="s">
        <v>791</v>
      </c>
      <c r="L71" s="6" t="s">
        <v>792</v>
      </c>
      <c r="M71" s="6" t="s">
        <v>1829</v>
      </c>
      <c r="N71" s="6" t="s">
        <v>822</v>
      </c>
    </row>
    <row r="72" spans="1:14" ht="12" x14ac:dyDescent="0.35">
      <c r="A72" s="189" t="s">
        <v>2088</v>
      </c>
      <c r="B72" s="187" t="s">
        <v>2089</v>
      </c>
      <c r="C72" s="187" t="s">
        <v>412</v>
      </c>
      <c r="D72" s="187"/>
      <c r="E72" s="187" t="s">
        <v>2090</v>
      </c>
      <c r="F72" s="187" t="s">
        <v>1452</v>
      </c>
      <c r="H72" s="6" t="s">
        <v>793</v>
      </c>
      <c r="I72" s="6" t="s">
        <v>794</v>
      </c>
      <c r="J72" s="6" t="s">
        <v>795</v>
      </c>
      <c r="K72" s="6"/>
      <c r="L72" s="6"/>
      <c r="M72" s="6" t="s">
        <v>1829</v>
      </c>
      <c r="N72" s="6" t="s">
        <v>822</v>
      </c>
    </row>
    <row r="73" spans="1:14" ht="12" x14ac:dyDescent="0.35">
      <c r="A73" s="189" t="s">
        <v>345</v>
      </c>
      <c r="B73" s="187" t="s">
        <v>346</v>
      </c>
      <c r="C73" s="187" t="s">
        <v>412</v>
      </c>
      <c r="D73" s="122" t="s">
        <v>609</v>
      </c>
      <c r="E73" s="187" t="s">
        <v>346</v>
      </c>
      <c r="F73" s="187" t="s">
        <v>1479</v>
      </c>
      <c r="H73" s="6" t="s">
        <v>796</v>
      </c>
      <c r="I73" s="6" t="s">
        <v>797</v>
      </c>
      <c r="J73" s="6" t="s">
        <v>798</v>
      </c>
      <c r="K73" s="6" t="s">
        <v>799</v>
      </c>
      <c r="L73" s="6" t="s">
        <v>800</v>
      </c>
      <c r="M73" s="6" t="s">
        <v>1829</v>
      </c>
      <c r="N73" s="6" t="s">
        <v>822</v>
      </c>
    </row>
    <row r="74" spans="1:14" ht="12" x14ac:dyDescent="0.35">
      <c r="A74" s="189" t="s">
        <v>348</v>
      </c>
      <c r="B74" s="187" t="s">
        <v>349</v>
      </c>
      <c r="C74" s="187" t="s">
        <v>412</v>
      </c>
      <c r="D74" s="122"/>
      <c r="E74" s="187" t="s">
        <v>349</v>
      </c>
      <c r="F74" s="187" t="s">
        <v>1480</v>
      </c>
      <c r="H74" s="6" t="s">
        <v>801</v>
      </c>
      <c r="I74" s="6" t="s">
        <v>1839</v>
      </c>
      <c r="J74" s="6" t="s">
        <v>802</v>
      </c>
      <c r="K74" s="6" t="s">
        <v>803</v>
      </c>
      <c r="L74" s="6" t="s">
        <v>804</v>
      </c>
      <c r="M74" s="6" t="s">
        <v>1829</v>
      </c>
      <c r="N74" s="6" t="s">
        <v>822</v>
      </c>
    </row>
    <row r="75" spans="1:14" ht="12" x14ac:dyDescent="0.35">
      <c r="A75" s="189" t="s">
        <v>202</v>
      </c>
      <c r="B75" s="187" t="s">
        <v>203</v>
      </c>
      <c r="C75" s="187" t="s">
        <v>412</v>
      </c>
      <c r="D75" s="6" t="s">
        <v>604</v>
      </c>
      <c r="E75" s="187" t="s">
        <v>203</v>
      </c>
      <c r="F75" s="187" t="s">
        <v>1481</v>
      </c>
      <c r="H75" s="6" t="s">
        <v>366</v>
      </c>
      <c r="I75" s="6" t="s">
        <v>367</v>
      </c>
      <c r="J75" s="6" t="s">
        <v>368</v>
      </c>
      <c r="K75" s="6" t="s">
        <v>369</v>
      </c>
      <c r="L75" s="6" t="s">
        <v>370</v>
      </c>
      <c r="M75" s="6" t="s">
        <v>1829</v>
      </c>
      <c r="N75" s="6" t="s">
        <v>822</v>
      </c>
    </row>
    <row r="76" spans="1:14" ht="12" x14ac:dyDescent="0.35">
      <c r="A76" s="189" t="s">
        <v>2091</v>
      </c>
      <c r="B76" s="187" t="s">
        <v>356</v>
      </c>
      <c r="C76" s="187" t="s">
        <v>412</v>
      </c>
      <c r="D76" s="6"/>
      <c r="E76" s="187" t="s">
        <v>356</v>
      </c>
      <c r="F76" s="187" t="s">
        <v>1482</v>
      </c>
      <c r="H76" s="6" t="s">
        <v>362</v>
      </c>
      <c r="I76" s="6" t="s">
        <v>363</v>
      </c>
      <c r="J76" s="6" t="s">
        <v>364</v>
      </c>
      <c r="K76" s="6" t="s">
        <v>533</v>
      </c>
      <c r="L76" s="6" t="s">
        <v>365</v>
      </c>
      <c r="M76" s="6" t="s">
        <v>1829</v>
      </c>
      <c r="N76" s="6" t="s">
        <v>822</v>
      </c>
    </row>
    <row r="77" spans="1:14" ht="12" x14ac:dyDescent="0.35">
      <c r="A77" s="189" t="s">
        <v>481</v>
      </c>
      <c r="B77" s="187" t="s">
        <v>357</v>
      </c>
      <c r="C77" s="187" t="s">
        <v>412</v>
      </c>
      <c r="D77" s="122"/>
      <c r="E77" s="187" t="s">
        <v>357</v>
      </c>
      <c r="F77" s="187" t="s">
        <v>1483</v>
      </c>
      <c r="H77" s="6" t="s">
        <v>376</v>
      </c>
      <c r="I77" s="6" t="s">
        <v>377</v>
      </c>
      <c r="J77" s="6" t="s">
        <v>378</v>
      </c>
      <c r="K77" s="6" t="s">
        <v>532</v>
      </c>
      <c r="L77" s="6" t="s">
        <v>379</v>
      </c>
      <c r="M77" s="6" t="s">
        <v>1829</v>
      </c>
      <c r="N77" s="6" t="s">
        <v>822</v>
      </c>
    </row>
    <row r="78" spans="1:14" ht="12" x14ac:dyDescent="0.35">
      <c r="A78" s="189" t="s">
        <v>206</v>
      </c>
      <c r="B78" s="187" t="s">
        <v>207</v>
      </c>
      <c r="C78" s="187" t="s">
        <v>412</v>
      </c>
      <c r="D78" s="122" t="s">
        <v>482</v>
      </c>
      <c r="E78" s="187" t="s">
        <v>207</v>
      </c>
      <c r="F78" s="187" t="s">
        <v>1484</v>
      </c>
      <c r="H78" s="6" t="s">
        <v>243</v>
      </c>
      <c r="I78" s="6" t="s">
        <v>244</v>
      </c>
      <c r="J78" s="6" t="s">
        <v>245</v>
      </c>
      <c r="K78" s="6" t="s">
        <v>246</v>
      </c>
      <c r="L78" s="6" t="s">
        <v>247</v>
      </c>
      <c r="M78" s="6" t="s">
        <v>1829</v>
      </c>
      <c r="N78" s="6" t="s">
        <v>822</v>
      </c>
    </row>
    <row r="79" spans="1:14" ht="12" x14ac:dyDescent="0.35">
      <c r="A79" s="189" t="s">
        <v>208</v>
      </c>
      <c r="B79" s="187" t="s">
        <v>116</v>
      </c>
      <c r="C79" s="187" t="s">
        <v>412</v>
      </c>
      <c r="D79" s="122"/>
      <c r="E79" s="187" t="s">
        <v>116</v>
      </c>
      <c r="F79" s="187" t="s">
        <v>217</v>
      </c>
      <c r="H79" s="6" t="s">
        <v>371</v>
      </c>
      <c r="I79" s="6" t="s">
        <v>372</v>
      </c>
      <c r="J79" s="6" t="s">
        <v>373</v>
      </c>
      <c r="K79" s="6" t="s">
        <v>374</v>
      </c>
      <c r="L79" s="6" t="s">
        <v>375</v>
      </c>
      <c r="M79" s="6" t="s">
        <v>1829</v>
      </c>
      <c r="N79" s="124" t="s">
        <v>823</v>
      </c>
    </row>
    <row r="80" spans="1:14" ht="12" x14ac:dyDescent="0.35">
      <c r="A80" s="189" t="s">
        <v>2203</v>
      </c>
      <c r="B80" s="187" t="s">
        <v>211</v>
      </c>
      <c r="C80" s="187" t="s">
        <v>412</v>
      </c>
      <c r="D80" s="122"/>
      <c r="E80" s="187" t="s">
        <v>211</v>
      </c>
      <c r="F80" s="187" t="s">
        <v>170</v>
      </c>
      <c r="H80" s="6" t="s">
        <v>164</v>
      </c>
      <c r="I80" s="6" t="s">
        <v>165</v>
      </c>
      <c r="J80" s="6" t="s">
        <v>166</v>
      </c>
      <c r="K80" s="6" t="s">
        <v>167</v>
      </c>
      <c r="L80" s="6" t="s">
        <v>168</v>
      </c>
      <c r="M80" s="6" t="s">
        <v>1829</v>
      </c>
      <c r="N80" s="124" t="s">
        <v>823</v>
      </c>
    </row>
    <row r="81" spans="1:14" ht="12" x14ac:dyDescent="0.35">
      <c r="A81" s="189" t="s">
        <v>2092</v>
      </c>
      <c r="B81" s="187" t="s">
        <v>2093</v>
      </c>
      <c r="C81" s="187" t="s">
        <v>412</v>
      </c>
      <c r="D81" s="122"/>
      <c r="E81" s="187" t="s">
        <v>1486</v>
      </c>
      <c r="F81" s="187" t="s">
        <v>1487</v>
      </c>
      <c r="H81" s="6" t="s">
        <v>805</v>
      </c>
      <c r="I81" s="6" t="s">
        <v>806</v>
      </c>
      <c r="J81" s="6" t="s">
        <v>807</v>
      </c>
      <c r="K81" s="6" t="s">
        <v>808</v>
      </c>
      <c r="L81" s="6" t="s">
        <v>809</v>
      </c>
      <c r="M81" s="6" t="s">
        <v>1829</v>
      </c>
      <c r="N81" s="124" t="s">
        <v>825</v>
      </c>
    </row>
    <row r="82" spans="1:14" ht="12" x14ac:dyDescent="0.35">
      <c r="A82" s="189" t="s">
        <v>2094</v>
      </c>
      <c r="B82" s="187" t="s">
        <v>2095</v>
      </c>
      <c r="C82" s="187" t="s">
        <v>412</v>
      </c>
      <c r="D82" s="122"/>
      <c r="E82" s="187" t="s">
        <v>1488</v>
      </c>
      <c r="F82" s="187" t="s">
        <v>1489</v>
      </c>
      <c r="H82" s="6" t="s">
        <v>328</v>
      </c>
      <c r="I82" s="6" t="s">
        <v>329</v>
      </c>
      <c r="J82" s="6" t="s">
        <v>330</v>
      </c>
      <c r="K82" s="6" t="s">
        <v>331</v>
      </c>
      <c r="L82" s="6" t="s">
        <v>332</v>
      </c>
      <c r="M82" s="6" t="s">
        <v>1829</v>
      </c>
      <c r="N82" s="124" t="s">
        <v>825</v>
      </c>
    </row>
    <row r="83" spans="1:14" ht="12" x14ac:dyDescent="0.35">
      <c r="A83" s="189" t="s">
        <v>2096</v>
      </c>
      <c r="B83" s="187" t="s">
        <v>2097</v>
      </c>
      <c r="C83" s="187" t="s">
        <v>412</v>
      </c>
      <c r="D83" s="122"/>
      <c r="E83" s="187" t="s">
        <v>1490</v>
      </c>
      <c r="F83" s="187" t="s">
        <v>1491</v>
      </c>
      <c r="H83" s="6" t="s">
        <v>190</v>
      </c>
      <c r="I83" s="6" t="s">
        <v>191</v>
      </c>
      <c r="J83" s="6" t="s">
        <v>192</v>
      </c>
      <c r="K83" s="6" t="s">
        <v>193</v>
      </c>
      <c r="L83" s="6" t="s">
        <v>194</v>
      </c>
      <c r="M83" s="6" t="s">
        <v>1829</v>
      </c>
      <c r="N83" s="124" t="s">
        <v>825</v>
      </c>
    </row>
    <row r="84" spans="1:14" ht="12" x14ac:dyDescent="0.35">
      <c r="A84" s="189" t="s">
        <v>2098</v>
      </c>
      <c r="B84" s="187" t="s">
        <v>2099</v>
      </c>
      <c r="C84" s="187" t="s">
        <v>412</v>
      </c>
      <c r="D84" s="122" t="s">
        <v>606</v>
      </c>
      <c r="E84" s="187" t="s">
        <v>1492</v>
      </c>
      <c r="F84" s="187" t="s">
        <v>1493</v>
      </c>
      <c r="H84" s="6" t="s">
        <v>380</v>
      </c>
      <c r="I84" s="6" t="s">
        <v>381</v>
      </c>
      <c r="J84" s="6" t="s">
        <v>382</v>
      </c>
      <c r="K84" s="6" t="s">
        <v>383</v>
      </c>
      <c r="L84" s="6" t="s">
        <v>384</v>
      </c>
      <c r="M84" s="6" t="s">
        <v>1829</v>
      </c>
      <c r="N84" s="124" t="s">
        <v>825</v>
      </c>
    </row>
    <row r="85" spans="1:14" ht="12" x14ac:dyDescent="0.35">
      <c r="A85" s="189" t="s">
        <v>218</v>
      </c>
      <c r="B85" s="187" t="s">
        <v>218</v>
      </c>
      <c r="C85" s="187" t="s">
        <v>412</v>
      </c>
      <c r="D85" s="122" t="s">
        <v>483</v>
      </c>
      <c r="E85" s="187" t="s">
        <v>218</v>
      </c>
      <c r="F85" s="187" t="s">
        <v>1485</v>
      </c>
      <c r="H85" s="6" t="s">
        <v>810</v>
      </c>
      <c r="I85" s="6" t="s">
        <v>811</v>
      </c>
      <c r="J85" s="6" t="s">
        <v>812</v>
      </c>
      <c r="K85" s="6" t="s">
        <v>813</v>
      </c>
      <c r="L85" s="6" t="s">
        <v>814</v>
      </c>
      <c r="M85" s="6" t="s">
        <v>1829</v>
      </c>
      <c r="N85" s="124" t="s">
        <v>825</v>
      </c>
    </row>
    <row r="86" spans="1:14" ht="12" x14ac:dyDescent="0.35">
      <c r="A86" s="189" t="s">
        <v>221</v>
      </c>
      <c r="B86" s="187" t="s">
        <v>222</v>
      </c>
      <c r="C86" s="187" t="s">
        <v>412</v>
      </c>
      <c r="D86" s="122"/>
      <c r="E86" s="187" t="s">
        <v>222</v>
      </c>
      <c r="F86" s="187" t="s">
        <v>1494</v>
      </c>
      <c r="H86" s="187" t="s">
        <v>1840</v>
      </c>
      <c r="I86" s="187" t="s">
        <v>1841</v>
      </c>
      <c r="J86" s="187" t="s">
        <v>1842</v>
      </c>
      <c r="K86" s="187" t="s">
        <v>1843</v>
      </c>
      <c r="L86" s="187" t="s">
        <v>1844</v>
      </c>
      <c r="M86" s="191" t="s">
        <v>1829</v>
      </c>
      <c r="N86" s="192" t="s">
        <v>1845</v>
      </c>
    </row>
    <row r="87" spans="1:14" ht="12" x14ac:dyDescent="0.35">
      <c r="A87" s="189" t="s">
        <v>233</v>
      </c>
      <c r="B87" s="187" t="s">
        <v>234</v>
      </c>
      <c r="C87" s="187" t="s">
        <v>412</v>
      </c>
      <c r="D87" s="122" t="s">
        <v>479</v>
      </c>
      <c r="E87" s="187" t="s">
        <v>234</v>
      </c>
      <c r="F87" s="187" t="s">
        <v>1496</v>
      </c>
      <c r="H87" s="6" t="s">
        <v>679</v>
      </c>
      <c r="I87" s="6" t="s">
        <v>680</v>
      </c>
      <c r="J87" s="6" t="s">
        <v>681</v>
      </c>
      <c r="K87" s="6" t="s">
        <v>682</v>
      </c>
      <c r="L87" s="6" t="s">
        <v>683</v>
      </c>
      <c r="M87" s="6" t="s">
        <v>1846</v>
      </c>
      <c r="N87" s="6" t="s">
        <v>822</v>
      </c>
    </row>
    <row r="88" spans="1:14" ht="12.45" thickBot="1" x14ac:dyDescent="0.4">
      <c r="A88" s="189" t="s">
        <v>2100</v>
      </c>
      <c r="B88" s="187" t="s">
        <v>2101</v>
      </c>
      <c r="C88" s="190" t="s">
        <v>412</v>
      </c>
      <c r="D88" s="187"/>
      <c r="E88" s="187" t="s">
        <v>2102</v>
      </c>
      <c r="F88" s="187" t="s">
        <v>1452</v>
      </c>
      <c r="H88" s="6" t="s">
        <v>689</v>
      </c>
      <c r="I88" s="6" t="s">
        <v>690</v>
      </c>
      <c r="J88" s="6" t="s">
        <v>691</v>
      </c>
      <c r="K88" s="6" t="s">
        <v>692</v>
      </c>
      <c r="L88" s="6" t="s">
        <v>693</v>
      </c>
      <c r="M88" s="6" t="s">
        <v>1846</v>
      </c>
      <c r="N88" s="6" t="s">
        <v>822</v>
      </c>
    </row>
    <row r="89" spans="1:14" ht="12" x14ac:dyDescent="0.35">
      <c r="A89" s="189" t="s">
        <v>431</v>
      </c>
      <c r="B89" s="187" t="s">
        <v>432</v>
      </c>
      <c r="C89" s="187" t="s">
        <v>419</v>
      </c>
      <c r="D89" s="122"/>
      <c r="E89" s="187" t="s">
        <v>432</v>
      </c>
      <c r="F89" s="187" t="s">
        <v>1497</v>
      </c>
      <c r="H89" s="6" t="s">
        <v>826</v>
      </c>
      <c r="I89" s="6" t="s">
        <v>827</v>
      </c>
      <c r="J89" s="6" t="s">
        <v>828</v>
      </c>
      <c r="K89" s="6" t="s">
        <v>829</v>
      </c>
      <c r="L89" s="6" t="s">
        <v>830</v>
      </c>
      <c r="M89" s="6" t="s">
        <v>1846</v>
      </c>
      <c r="N89" s="6" t="s">
        <v>822</v>
      </c>
    </row>
    <row r="90" spans="1:14" ht="12" x14ac:dyDescent="0.35">
      <c r="A90" s="189" t="s">
        <v>235</v>
      </c>
      <c r="B90" s="187" t="s">
        <v>236</v>
      </c>
      <c r="C90" s="187" t="s">
        <v>419</v>
      </c>
      <c r="D90" s="122"/>
      <c r="E90" s="187" t="s">
        <v>1498</v>
      </c>
      <c r="F90" s="187" t="s">
        <v>240</v>
      </c>
      <c r="H90" s="6" t="s">
        <v>831</v>
      </c>
      <c r="I90" s="6" t="s">
        <v>832</v>
      </c>
      <c r="J90" s="6" t="s">
        <v>833</v>
      </c>
      <c r="K90" s="6" t="s">
        <v>834</v>
      </c>
      <c r="L90" s="6" t="s">
        <v>835</v>
      </c>
      <c r="M90" s="6" t="s">
        <v>1846</v>
      </c>
      <c r="N90" s="6" t="s">
        <v>822</v>
      </c>
    </row>
    <row r="91" spans="1:14" ht="12" x14ac:dyDescent="0.35">
      <c r="A91" s="189" t="s">
        <v>274</v>
      </c>
      <c r="B91" s="187" t="s">
        <v>275</v>
      </c>
      <c r="C91" s="187" t="s">
        <v>419</v>
      </c>
      <c r="D91" s="122"/>
      <c r="E91" s="187" t="s">
        <v>275</v>
      </c>
      <c r="F91" s="187" t="s">
        <v>1499</v>
      </c>
      <c r="H91" s="6" t="s">
        <v>836</v>
      </c>
      <c r="I91" s="6" t="s">
        <v>837</v>
      </c>
      <c r="J91" s="6" t="s">
        <v>838</v>
      </c>
      <c r="K91" s="6" t="s">
        <v>839</v>
      </c>
      <c r="L91" s="6" t="s">
        <v>840</v>
      </c>
      <c r="M91" s="6" t="s">
        <v>1846</v>
      </c>
      <c r="N91" s="6" t="s">
        <v>822</v>
      </c>
    </row>
    <row r="92" spans="1:14" ht="12" x14ac:dyDescent="0.35">
      <c r="A92" s="189" t="s">
        <v>237</v>
      </c>
      <c r="B92" s="187" t="s">
        <v>238</v>
      </c>
      <c r="C92" s="187" t="s">
        <v>419</v>
      </c>
      <c r="D92" s="122"/>
      <c r="E92" s="187" t="s">
        <v>238</v>
      </c>
      <c r="F92" s="187" t="s">
        <v>1500</v>
      </c>
      <c r="H92" s="6" t="s">
        <v>659</v>
      </c>
      <c r="I92" s="6" t="s">
        <v>841</v>
      </c>
      <c r="J92" s="6" t="s">
        <v>842</v>
      </c>
      <c r="K92" s="6" t="s">
        <v>843</v>
      </c>
      <c r="L92" s="6" t="s">
        <v>844</v>
      </c>
      <c r="M92" s="6" t="s">
        <v>1846</v>
      </c>
      <c r="N92" s="6" t="s">
        <v>822</v>
      </c>
    </row>
    <row r="93" spans="1:14" ht="12.45" thickBot="1" x14ac:dyDescent="0.4">
      <c r="A93" s="189" t="s">
        <v>424</v>
      </c>
      <c r="B93" s="187" t="s">
        <v>425</v>
      </c>
      <c r="C93" s="190" t="s">
        <v>419</v>
      </c>
      <c r="D93" s="122"/>
      <c r="E93" s="187" t="s">
        <v>425</v>
      </c>
      <c r="F93" s="187" t="s">
        <v>1501</v>
      </c>
      <c r="H93" s="6" t="s">
        <v>845</v>
      </c>
      <c r="I93" s="6" t="s">
        <v>846</v>
      </c>
      <c r="J93" s="6" t="s">
        <v>847</v>
      </c>
      <c r="K93" s="6" t="s">
        <v>848</v>
      </c>
      <c r="L93" s="6" t="s">
        <v>849</v>
      </c>
      <c r="M93" s="6" t="s">
        <v>1846</v>
      </c>
      <c r="N93" s="6" t="s">
        <v>822</v>
      </c>
    </row>
    <row r="94" spans="1:14" ht="12" x14ac:dyDescent="0.35">
      <c r="A94" s="189" t="s">
        <v>610</v>
      </c>
      <c r="B94" s="187" t="s">
        <v>611</v>
      </c>
      <c r="C94" s="187" t="s">
        <v>420</v>
      </c>
      <c r="D94" s="122"/>
      <c r="E94" s="187" t="s">
        <v>611</v>
      </c>
      <c r="F94" s="187" t="s">
        <v>1502</v>
      </c>
      <c r="H94" s="6" t="s">
        <v>850</v>
      </c>
      <c r="I94" s="6" t="s">
        <v>851</v>
      </c>
      <c r="J94" s="6" t="s">
        <v>852</v>
      </c>
      <c r="K94" s="6" t="s">
        <v>853</v>
      </c>
      <c r="L94" s="6" t="s">
        <v>854</v>
      </c>
      <c r="M94" s="6" t="s">
        <v>1846</v>
      </c>
      <c r="N94" s="6" t="s">
        <v>822</v>
      </c>
    </row>
    <row r="95" spans="1:14" ht="12" x14ac:dyDescent="0.35">
      <c r="A95" s="189" t="s">
        <v>413</v>
      </c>
      <c r="B95" s="187" t="s">
        <v>229</v>
      </c>
      <c r="C95" s="187" t="s">
        <v>420</v>
      </c>
      <c r="D95" s="122"/>
      <c r="E95" s="187" t="s">
        <v>229</v>
      </c>
      <c r="F95" s="187" t="s">
        <v>1503</v>
      </c>
      <c r="H95" s="6" t="s">
        <v>855</v>
      </c>
      <c r="I95" s="6" t="s">
        <v>856</v>
      </c>
      <c r="J95" s="6" t="s">
        <v>857</v>
      </c>
      <c r="K95" s="6" t="s">
        <v>858</v>
      </c>
      <c r="L95" s="6" t="s">
        <v>859</v>
      </c>
      <c r="M95" s="6" t="s">
        <v>1846</v>
      </c>
      <c r="N95" s="6" t="s">
        <v>822</v>
      </c>
    </row>
    <row r="96" spans="1:14" ht="12" x14ac:dyDescent="0.35">
      <c r="A96" s="189" t="s">
        <v>248</v>
      </c>
      <c r="B96" s="187" t="s">
        <v>249</v>
      </c>
      <c r="C96" s="187" t="s">
        <v>420</v>
      </c>
      <c r="D96" s="122"/>
      <c r="E96" s="187" t="s">
        <v>249</v>
      </c>
      <c r="F96" s="187" t="s">
        <v>1504</v>
      </c>
      <c r="H96" s="6" t="s">
        <v>860</v>
      </c>
      <c r="I96" s="6" t="s">
        <v>861</v>
      </c>
      <c r="J96" s="6" t="s">
        <v>862</v>
      </c>
      <c r="K96" s="6" t="s">
        <v>863</v>
      </c>
      <c r="L96" s="6" t="s">
        <v>864</v>
      </c>
      <c r="M96" s="6" t="s">
        <v>1846</v>
      </c>
      <c r="N96" s="6" t="s">
        <v>822</v>
      </c>
    </row>
    <row r="97" spans="1:14" ht="12" x14ac:dyDescent="0.35">
      <c r="A97" s="189" t="s">
        <v>250</v>
      </c>
      <c r="B97" s="187" t="s">
        <v>251</v>
      </c>
      <c r="C97" s="187" t="s">
        <v>420</v>
      </c>
      <c r="D97" s="122"/>
      <c r="E97" s="187" t="s">
        <v>251</v>
      </c>
      <c r="F97" s="187" t="s">
        <v>1505</v>
      </c>
      <c r="H97" s="6" t="s">
        <v>865</v>
      </c>
      <c r="I97" s="6" t="s">
        <v>866</v>
      </c>
      <c r="J97" s="6" t="s">
        <v>867</v>
      </c>
      <c r="K97" s="6" t="s">
        <v>868</v>
      </c>
      <c r="L97" s="6" t="s">
        <v>869</v>
      </c>
      <c r="M97" s="6" t="s">
        <v>1846</v>
      </c>
      <c r="N97" s="6" t="s">
        <v>822</v>
      </c>
    </row>
    <row r="98" spans="1:14" ht="12" x14ac:dyDescent="0.35">
      <c r="A98" s="189" t="s">
        <v>391</v>
      </c>
      <c r="B98" s="187" t="s">
        <v>255</v>
      </c>
      <c r="C98" s="187" t="s">
        <v>420</v>
      </c>
      <c r="D98" s="122"/>
      <c r="E98" s="187" t="s">
        <v>255</v>
      </c>
      <c r="F98" s="187" t="s">
        <v>1506</v>
      </c>
      <c r="H98" s="6" t="s">
        <v>870</v>
      </c>
      <c r="I98" s="6" t="s">
        <v>871</v>
      </c>
      <c r="J98" s="6" t="s">
        <v>872</v>
      </c>
      <c r="K98" s="6" t="s">
        <v>873</v>
      </c>
      <c r="L98" s="6" t="s">
        <v>874</v>
      </c>
      <c r="M98" s="6" t="s">
        <v>1846</v>
      </c>
      <c r="N98" s="6" t="s">
        <v>822</v>
      </c>
    </row>
    <row r="99" spans="1:14" ht="12" x14ac:dyDescent="0.35">
      <c r="A99" s="189" t="s">
        <v>612</v>
      </c>
      <c r="B99" s="187" t="s">
        <v>613</v>
      </c>
      <c r="C99" s="187" t="s">
        <v>420</v>
      </c>
      <c r="D99" s="122"/>
      <c r="E99" s="187" t="s">
        <v>613</v>
      </c>
      <c r="F99" s="187" t="s">
        <v>1507</v>
      </c>
      <c r="H99" s="6" t="s">
        <v>875</v>
      </c>
      <c r="I99" s="6" t="s">
        <v>876</v>
      </c>
      <c r="J99" s="6" t="s">
        <v>877</v>
      </c>
      <c r="K99" s="6" t="s">
        <v>878</v>
      </c>
      <c r="L99" s="6" t="s">
        <v>879</v>
      </c>
      <c r="M99" s="6" t="s">
        <v>1846</v>
      </c>
      <c r="N99" s="6" t="s">
        <v>822</v>
      </c>
    </row>
    <row r="100" spans="1:14" ht="12" x14ac:dyDescent="0.35">
      <c r="A100" s="189" t="s">
        <v>414</v>
      </c>
      <c r="B100" s="187" t="s">
        <v>415</v>
      </c>
      <c r="C100" s="187" t="s">
        <v>420</v>
      </c>
      <c r="D100" s="122"/>
      <c r="E100" s="187" t="s">
        <v>415</v>
      </c>
      <c r="F100" s="187" t="s">
        <v>1508</v>
      </c>
      <c r="H100" s="6" t="s">
        <v>880</v>
      </c>
      <c r="I100" s="6" t="s">
        <v>881</v>
      </c>
      <c r="J100" s="6" t="s">
        <v>882</v>
      </c>
      <c r="K100" s="6" t="s">
        <v>883</v>
      </c>
      <c r="L100" s="6" t="s">
        <v>882</v>
      </c>
      <c r="M100" s="6" t="s">
        <v>1846</v>
      </c>
      <c r="N100" s="6" t="s">
        <v>822</v>
      </c>
    </row>
    <row r="101" spans="1:14" ht="12" x14ac:dyDescent="0.35">
      <c r="A101" s="189" t="s">
        <v>256</v>
      </c>
      <c r="B101" s="187" t="s">
        <v>230</v>
      </c>
      <c r="C101" s="187" t="s">
        <v>420</v>
      </c>
      <c r="D101" s="122"/>
      <c r="E101" s="187" t="s">
        <v>230</v>
      </c>
      <c r="F101" s="187" t="s">
        <v>1509</v>
      </c>
      <c r="H101" s="6" t="s">
        <v>884</v>
      </c>
      <c r="I101" s="6" t="s">
        <v>885</v>
      </c>
      <c r="J101" s="6" t="s">
        <v>886</v>
      </c>
      <c r="K101" s="6" t="s">
        <v>887</v>
      </c>
      <c r="L101" s="6" t="s">
        <v>888</v>
      </c>
      <c r="M101" s="6" t="s">
        <v>1846</v>
      </c>
      <c r="N101" s="6" t="s">
        <v>822</v>
      </c>
    </row>
    <row r="102" spans="1:14" ht="12" x14ac:dyDescent="0.35">
      <c r="A102" s="189" t="s">
        <v>258</v>
      </c>
      <c r="B102" s="187" t="s">
        <v>259</v>
      </c>
      <c r="C102" s="187" t="s">
        <v>420</v>
      </c>
      <c r="D102" s="122"/>
      <c r="E102" s="187" t="s">
        <v>259</v>
      </c>
      <c r="F102" s="187" t="s">
        <v>1510</v>
      </c>
      <c r="H102" s="6" t="s">
        <v>889</v>
      </c>
      <c r="I102" s="6" t="s">
        <v>890</v>
      </c>
      <c r="J102" s="6" t="s">
        <v>891</v>
      </c>
      <c r="K102" s="6" t="s">
        <v>892</v>
      </c>
      <c r="L102" s="6" t="s">
        <v>893</v>
      </c>
      <c r="M102" s="6" t="s">
        <v>1846</v>
      </c>
      <c r="N102" s="6" t="s">
        <v>822</v>
      </c>
    </row>
    <row r="103" spans="1:14" ht="12" x14ac:dyDescent="0.35">
      <c r="A103" s="189" t="s">
        <v>1972</v>
      </c>
      <c r="B103" s="187" t="s">
        <v>1973</v>
      </c>
      <c r="C103" s="187" t="s">
        <v>420</v>
      </c>
      <c r="D103" s="189"/>
      <c r="E103" s="187" t="s">
        <v>1973</v>
      </c>
      <c r="F103" s="187" t="s">
        <v>1974</v>
      </c>
      <c r="H103" s="6" t="s">
        <v>894</v>
      </c>
      <c r="I103" s="6" t="s">
        <v>895</v>
      </c>
      <c r="J103" s="6" t="s">
        <v>896</v>
      </c>
      <c r="K103" s="6" t="s">
        <v>897</v>
      </c>
      <c r="L103" s="6" t="s">
        <v>898</v>
      </c>
      <c r="M103" s="6" t="s">
        <v>1846</v>
      </c>
      <c r="N103" s="6" t="s">
        <v>822</v>
      </c>
    </row>
    <row r="104" spans="1:14" ht="12" x14ac:dyDescent="0.35">
      <c r="A104" s="189" t="s">
        <v>614</v>
      </c>
      <c r="B104" s="187" t="s">
        <v>615</v>
      </c>
      <c r="C104" s="187" t="s">
        <v>420</v>
      </c>
      <c r="D104" s="122"/>
      <c r="E104" s="187" t="s">
        <v>615</v>
      </c>
      <c r="F104" s="187" t="s">
        <v>1511</v>
      </c>
      <c r="H104" s="6" t="s">
        <v>899</v>
      </c>
      <c r="I104" s="6" t="s">
        <v>900</v>
      </c>
      <c r="J104" s="6" t="s">
        <v>901</v>
      </c>
      <c r="K104" s="6" t="s">
        <v>902</v>
      </c>
      <c r="L104" s="6" t="s">
        <v>903</v>
      </c>
      <c r="M104" s="6" t="s">
        <v>1846</v>
      </c>
      <c r="N104" s="6" t="s">
        <v>822</v>
      </c>
    </row>
    <row r="105" spans="1:14" ht="12" x14ac:dyDescent="0.35">
      <c r="A105" s="189" t="s">
        <v>1753</v>
      </c>
      <c r="B105" s="187" t="s">
        <v>1754</v>
      </c>
      <c r="C105" s="187" t="s">
        <v>420</v>
      </c>
      <c r="D105" s="187"/>
      <c r="E105" s="187" t="s">
        <v>1754</v>
      </c>
      <c r="F105" s="187" t="s">
        <v>1755</v>
      </c>
      <c r="H105" s="6" t="s">
        <v>904</v>
      </c>
      <c r="I105" s="6" t="s">
        <v>905</v>
      </c>
      <c r="J105" s="6" t="s">
        <v>906</v>
      </c>
      <c r="K105" s="6" t="s">
        <v>907</v>
      </c>
      <c r="L105" s="6" t="s">
        <v>908</v>
      </c>
      <c r="M105" s="6" t="s">
        <v>1846</v>
      </c>
      <c r="N105" s="6" t="s">
        <v>822</v>
      </c>
    </row>
    <row r="106" spans="1:14" ht="12" x14ac:dyDescent="0.35">
      <c r="A106" s="189" t="s">
        <v>260</v>
      </c>
      <c r="B106" s="187" t="s">
        <v>261</v>
      </c>
      <c r="C106" s="187" t="s">
        <v>420</v>
      </c>
      <c r="D106" s="122"/>
      <c r="E106" s="187" t="s">
        <v>261</v>
      </c>
      <c r="F106" s="187" t="s">
        <v>1512</v>
      </c>
      <c r="H106" s="6" t="s">
        <v>909</v>
      </c>
      <c r="I106" s="6" t="s">
        <v>910</v>
      </c>
      <c r="J106" s="6" t="s">
        <v>911</v>
      </c>
      <c r="K106" s="6" t="s">
        <v>912</v>
      </c>
      <c r="L106" s="6" t="s">
        <v>913</v>
      </c>
      <c r="M106" s="6" t="s">
        <v>1846</v>
      </c>
      <c r="N106" s="6" t="s">
        <v>822</v>
      </c>
    </row>
    <row r="107" spans="1:14" ht="12" x14ac:dyDescent="0.35">
      <c r="A107" s="189" t="s">
        <v>262</v>
      </c>
      <c r="B107" s="187" t="s">
        <v>263</v>
      </c>
      <c r="C107" s="187" t="s">
        <v>420</v>
      </c>
      <c r="D107" s="122"/>
      <c r="E107" s="187" t="s">
        <v>263</v>
      </c>
      <c r="F107" s="187" t="s">
        <v>1513</v>
      </c>
      <c r="H107" s="6" t="s">
        <v>914</v>
      </c>
      <c r="I107" s="6" t="s">
        <v>915</v>
      </c>
      <c r="J107" s="6" t="s">
        <v>916</v>
      </c>
      <c r="K107" s="6" t="s">
        <v>917</v>
      </c>
      <c r="L107" s="6" t="s">
        <v>918</v>
      </c>
      <c r="M107" s="6" t="s">
        <v>1846</v>
      </c>
      <c r="N107" s="6" t="s">
        <v>822</v>
      </c>
    </row>
    <row r="108" spans="1:14" ht="12" x14ac:dyDescent="0.35">
      <c r="A108" s="189" t="s">
        <v>268</v>
      </c>
      <c r="B108" s="187" t="s">
        <v>269</v>
      </c>
      <c r="C108" s="187" t="s">
        <v>420</v>
      </c>
      <c r="D108" s="122"/>
      <c r="E108" s="187" t="s">
        <v>269</v>
      </c>
      <c r="F108" s="187" t="s">
        <v>1514</v>
      </c>
      <c r="H108" s="6" t="s">
        <v>919</v>
      </c>
      <c r="I108" s="6" t="s">
        <v>920</v>
      </c>
      <c r="J108" s="6" t="s">
        <v>921</v>
      </c>
      <c r="K108" s="6" t="s">
        <v>922</v>
      </c>
      <c r="L108" s="6" t="s">
        <v>920</v>
      </c>
      <c r="M108" s="6" t="s">
        <v>1846</v>
      </c>
      <c r="N108" s="6" t="s">
        <v>822</v>
      </c>
    </row>
    <row r="109" spans="1:14" ht="12" x14ac:dyDescent="0.35">
      <c r="A109" s="189" t="s">
        <v>393</v>
      </c>
      <c r="B109" s="187" t="s">
        <v>394</v>
      </c>
      <c r="C109" s="187" t="s">
        <v>420</v>
      </c>
      <c r="D109" s="122"/>
      <c r="E109" s="187" t="s">
        <v>394</v>
      </c>
      <c r="F109" s="187" t="s">
        <v>1515</v>
      </c>
      <c r="H109" s="6" t="s">
        <v>923</v>
      </c>
      <c r="I109" s="6" t="s">
        <v>924</v>
      </c>
      <c r="J109" s="6" t="s">
        <v>925</v>
      </c>
      <c r="K109" s="6" t="s">
        <v>926</v>
      </c>
      <c r="L109" s="6" t="s">
        <v>927</v>
      </c>
      <c r="M109" s="6" t="s">
        <v>1846</v>
      </c>
      <c r="N109" s="6" t="s">
        <v>822</v>
      </c>
    </row>
    <row r="110" spans="1:14" ht="12" x14ac:dyDescent="0.35">
      <c r="A110" s="189" t="s">
        <v>270</v>
      </c>
      <c r="B110" s="187" t="s">
        <v>271</v>
      </c>
      <c r="C110" s="187" t="s">
        <v>419</v>
      </c>
      <c r="D110" s="122"/>
      <c r="E110" s="187" t="s">
        <v>271</v>
      </c>
      <c r="F110" s="187" t="s">
        <v>1516</v>
      </c>
      <c r="H110" s="6" t="s">
        <v>928</v>
      </c>
      <c r="I110" s="6" t="s">
        <v>929</v>
      </c>
      <c r="J110" s="6" t="s">
        <v>930</v>
      </c>
      <c r="K110" s="6" t="s">
        <v>931</v>
      </c>
      <c r="L110" s="6" t="s">
        <v>932</v>
      </c>
      <c r="M110" s="6" t="s">
        <v>1846</v>
      </c>
      <c r="N110" s="6" t="s">
        <v>822</v>
      </c>
    </row>
    <row r="111" spans="1:14" ht="12" x14ac:dyDescent="0.35">
      <c r="A111" s="189" t="s">
        <v>272</v>
      </c>
      <c r="B111" s="187" t="s">
        <v>273</v>
      </c>
      <c r="C111" s="187" t="s">
        <v>420</v>
      </c>
      <c r="D111" s="122"/>
      <c r="E111" s="187" t="s">
        <v>273</v>
      </c>
      <c r="F111" s="187" t="s">
        <v>1517</v>
      </c>
      <c r="H111" s="6" t="s">
        <v>933</v>
      </c>
      <c r="I111" s="6" t="s">
        <v>934</v>
      </c>
      <c r="J111" s="6" t="s">
        <v>935</v>
      </c>
      <c r="K111" s="6" t="s">
        <v>936</v>
      </c>
      <c r="L111" s="6" t="s">
        <v>937</v>
      </c>
      <c r="M111" s="6" t="s">
        <v>1846</v>
      </c>
      <c r="N111" s="6" t="s">
        <v>822</v>
      </c>
    </row>
    <row r="112" spans="1:14" ht="12" x14ac:dyDescent="0.35">
      <c r="A112" s="189" t="s">
        <v>616</v>
      </c>
      <c r="B112" s="187" t="s">
        <v>617</v>
      </c>
      <c r="C112" s="187" t="s">
        <v>420</v>
      </c>
      <c r="D112" s="122"/>
      <c r="E112" s="187" t="s">
        <v>617</v>
      </c>
      <c r="F112" s="187" t="s">
        <v>1518</v>
      </c>
      <c r="H112" s="6" t="s">
        <v>938</v>
      </c>
      <c r="I112" s="6" t="s">
        <v>939</v>
      </c>
      <c r="J112" s="6" t="s">
        <v>940</v>
      </c>
      <c r="K112" s="6" t="s">
        <v>941</v>
      </c>
      <c r="L112" s="6" t="s">
        <v>941</v>
      </c>
      <c r="M112" s="6" t="s">
        <v>1846</v>
      </c>
      <c r="N112" s="6" t="s">
        <v>822</v>
      </c>
    </row>
    <row r="113" spans="1:14" ht="12" x14ac:dyDescent="0.35">
      <c r="A113" s="189" t="s">
        <v>276</v>
      </c>
      <c r="B113" s="187" t="s">
        <v>277</v>
      </c>
      <c r="C113" s="187" t="s">
        <v>420</v>
      </c>
      <c r="D113" s="122"/>
      <c r="E113" s="187" t="s">
        <v>277</v>
      </c>
      <c r="F113" s="187" t="s">
        <v>1519</v>
      </c>
      <c r="H113" s="6" t="s">
        <v>942</v>
      </c>
      <c r="I113" s="6" t="s">
        <v>943</v>
      </c>
      <c r="J113" s="6" t="s">
        <v>944</v>
      </c>
      <c r="K113" s="6" t="s">
        <v>945</v>
      </c>
      <c r="L113" s="6" t="s">
        <v>946</v>
      </c>
      <c r="M113" s="6" t="s">
        <v>1846</v>
      </c>
      <c r="N113" s="6" t="s">
        <v>822</v>
      </c>
    </row>
    <row r="114" spans="1:14" ht="12" x14ac:dyDescent="0.35">
      <c r="A114" s="189" t="s">
        <v>1823</v>
      </c>
      <c r="B114" s="187" t="s">
        <v>1824</v>
      </c>
      <c r="C114" s="187" t="s">
        <v>420</v>
      </c>
      <c r="D114" s="122"/>
      <c r="E114" s="187" t="s">
        <v>1824</v>
      </c>
      <c r="F114" s="187" t="s">
        <v>1825</v>
      </c>
      <c r="H114" s="6" t="s">
        <v>947</v>
      </c>
      <c r="I114" s="6" t="s">
        <v>948</v>
      </c>
      <c r="J114" s="6" t="s">
        <v>949</v>
      </c>
      <c r="K114" s="6" t="s">
        <v>948</v>
      </c>
      <c r="L114" s="6" t="s">
        <v>948</v>
      </c>
      <c r="M114" s="6" t="s">
        <v>1846</v>
      </c>
      <c r="N114" s="6" t="s">
        <v>822</v>
      </c>
    </row>
    <row r="115" spans="1:14" ht="12" x14ac:dyDescent="0.35">
      <c r="A115" s="189" t="s">
        <v>278</v>
      </c>
      <c r="B115" s="187" t="s">
        <v>279</v>
      </c>
      <c r="C115" s="187" t="s">
        <v>420</v>
      </c>
      <c r="D115" s="122"/>
      <c r="E115" s="187" t="s">
        <v>279</v>
      </c>
      <c r="F115" s="187" t="s">
        <v>1520</v>
      </c>
      <c r="H115" s="6" t="s">
        <v>950</v>
      </c>
      <c r="I115" s="6" t="s">
        <v>951</v>
      </c>
      <c r="J115" s="6" t="s">
        <v>952</v>
      </c>
      <c r="K115" s="6"/>
      <c r="L115" s="6"/>
      <c r="M115" s="6" t="s">
        <v>1846</v>
      </c>
      <c r="N115" s="6" t="s">
        <v>822</v>
      </c>
    </row>
    <row r="116" spans="1:14" ht="12" x14ac:dyDescent="0.35">
      <c r="A116" s="189" t="s">
        <v>280</v>
      </c>
      <c r="B116" s="187" t="s">
        <v>281</v>
      </c>
      <c r="C116" s="187" t="s">
        <v>420</v>
      </c>
      <c r="D116" s="122"/>
      <c r="E116" s="187" t="s">
        <v>281</v>
      </c>
      <c r="F116" s="187" t="s">
        <v>1521</v>
      </c>
      <c r="H116" s="6" t="s">
        <v>953</v>
      </c>
      <c r="I116" s="6" t="s">
        <v>954</v>
      </c>
      <c r="J116" s="6" t="s">
        <v>955</v>
      </c>
      <c r="K116" s="6" t="s">
        <v>956</v>
      </c>
      <c r="L116" s="6" t="s">
        <v>957</v>
      </c>
      <c r="M116" s="6" t="s">
        <v>1846</v>
      </c>
      <c r="N116" s="6" t="s">
        <v>822</v>
      </c>
    </row>
    <row r="117" spans="1:14" ht="12" x14ac:dyDescent="0.35">
      <c r="A117" s="189" t="s">
        <v>416</v>
      </c>
      <c r="B117" s="187" t="s">
        <v>417</v>
      </c>
      <c r="C117" s="187" t="s">
        <v>420</v>
      </c>
      <c r="D117" s="122"/>
      <c r="E117" s="187" t="s">
        <v>417</v>
      </c>
      <c r="F117" s="187" t="s">
        <v>1522</v>
      </c>
      <c r="H117" s="6" t="s">
        <v>958</v>
      </c>
      <c r="I117" s="6" t="s">
        <v>959</v>
      </c>
      <c r="J117" s="6" t="s">
        <v>960</v>
      </c>
      <c r="K117" s="6"/>
      <c r="L117" s="6" t="s">
        <v>961</v>
      </c>
      <c r="M117" s="6" t="s">
        <v>1846</v>
      </c>
      <c r="N117" s="6" t="s">
        <v>822</v>
      </c>
    </row>
    <row r="118" spans="1:14" ht="12" x14ac:dyDescent="0.35">
      <c r="A118" s="189" t="s">
        <v>418</v>
      </c>
      <c r="B118" s="187" t="s">
        <v>223</v>
      </c>
      <c r="C118" s="187" t="s">
        <v>420</v>
      </c>
      <c r="D118" s="122"/>
      <c r="E118" s="187" t="s">
        <v>223</v>
      </c>
      <c r="F118" s="187" t="s">
        <v>1523</v>
      </c>
      <c r="H118" s="6" t="s">
        <v>962</v>
      </c>
      <c r="I118" s="6" t="s">
        <v>963</v>
      </c>
      <c r="J118" s="6" t="s">
        <v>964</v>
      </c>
      <c r="K118" s="6" t="s">
        <v>965</v>
      </c>
      <c r="L118" s="6" t="s">
        <v>966</v>
      </c>
      <c r="M118" s="6" t="s">
        <v>1846</v>
      </c>
      <c r="N118" s="6" t="s">
        <v>822</v>
      </c>
    </row>
    <row r="119" spans="1:14" ht="12" x14ac:dyDescent="0.35">
      <c r="A119" s="189" t="s">
        <v>284</v>
      </c>
      <c r="B119" s="187" t="s">
        <v>285</v>
      </c>
      <c r="C119" s="187" t="s">
        <v>420</v>
      </c>
      <c r="D119" s="122"/>
      <c r="E119" s="187" t="s">
        <v>285</v>
      </c>
      <c r="F119" s="187" t="s">
        <v>1524</v>
      </c>
      <c r="H119" s="6" t="s">
        <v>967</v>
      </c>
      <c r="I119" s="6" t="s">
        <v>968</v>
      </c>
      <c r="J119" s="6" t="s">
        <v>969</v>
      </c>
      <c r="K119" s="6" t="s">
        <v>970</v>
      </c>
      <c r="L119" s="6" t="s">
        <v>971</v>
      </c>
      <c r="M119" s="6" t="s">
        <v>1846</v>
      </c>
      <c r="N119" s="6" t="s">
        <v>822</v>
      </c>
    </row>
    <row r="120" spans="1:14" ht="12" x14ac:dyDescent="0.35">
      <c r="A120" s="189" t="s">
        <v>618</v>
      </c>
      <c r="B120" s="187" t="s">
        <v>619</v>
      </c>
      <c r="C120" s="187" t="s">
        <v>420</v>
      </c>
      <c r="D120" s="122"/>
      <c r="E120" s="187" t="s">
        <v>619</v>
      </c>
      <c r="F120" s="187" t="s">
        <v>1525</v>
      </c>
      <c r="H120" s="6" t="s">
        <v>972</v>
      </c>
      <c r="I120" s="6" t="s">
        <v>973</v>
      </c>
      <c r="J120" s="6" t="s">
        <v>974</v>
      </c>
      <c r="K120" s="6" t="s">
        <v>975</v>
      </c>
      <c r="L120" s="6" t="s">
        <v>976</v>
      </c>
      <c r="M120" s="6" t="s">
        <v>1846</v>
      </c>
      <c r="N120" s="6" t="s">
        <v>822</v>
      </c>
    </row>
    <row r="121" spans="1:14" ht="12" x14ac:dyDescent="0.35">
      <c r="A121" s="189" t="s">
        <v>290</v>
      </c>
      <c r="B121" s="187" t="s">
        <v>291</v>
      </c>
      <c r="C121" s="187" t="s">
        <v>420</v>
      </c>
      <c r="D121" s="122"/>
      <c r="E121" s="187" t="s">
        <v>291</v>
      </c>
      <c r="F121" s="187" t="s">
        <v>1527</v>
      </c>
      <c r="H121" s="6" t="s">
        <v>977</v>
      </c>
      <c r="I121" s="6" t="s">
        <v>978</v>
      </c>
      <c r="J121" s="6" t="s">
        <v>979</v>
      </c>
      <c r="K121" s="6" t="s">
        <v>980</v>
      </c>
      <c r="L121" s="6" t="s">
        <v>981</v>
      </c>
      <c r="M121" s="6" t="s">
        <v>1846</v>
      </c>
      <c r="N121" s="124" t="s">
        <v>825</v>
      </c>
    </row>
    <row r="122" spans="1:14" ht="12" x14ac:dyDescent="0.35">
      <c r="A122" s="189" t="s">
        <v>2103</v>
      </c>
      <c r="B122" s="187" t="s">
        <v>2104</v>
      </c>
      <c r="C122" s="187" t="s">
        <v>420</v>
      </c>
      <c r="D122" s="187"/>
      <c r="E122" s="187" t="s">
        <v>2104</v>
      </c>
      <c r="F122" s="187" t="s">
        <v>2105</v>
      </c>
      <c r="H122" s="6" t="s">
        <v>982</v>
      </c>
      <c r="I122" s="6" t="s">
        <v>983</v>
      </c>
      <c r="J122" s="6" t="s">
        <v>984</v>
      </c>
      <c r="K122" s="6" t="s">
        <v>985</v>
      </c>
      <c r="L122" s="6" t="s">
        <v>986</v>
      </c>
      <c r="M122" s="6" t="s">
        <v>1846</v>
      </c>
      <c r="N122" s="124" t="s">
        <v>825</v>
      </c>
    </row>
    <row r="123" spans="1:14" ht="12" x14ac:dyDescent="0.35">
      <c r="A123" s="189" t="s">
        <v>620</v>
      </c>
      <c r="B123" s="187" t="s">
        <v>621</v>
      </c>
      <c r="C123" s="187" t="s">
        <v>420</v>
      </c>
      <c r="D123" s="122"/>
      <c r="E123" s="187" t="s">
        <v>621</v>
      </c>
      <c r="F123" s="187" t="s">
        <v>1529</v>
      </c>
      <c r="H123" s="6" t="s">
        <v>987</v>
      </c>
      <c r="I123" s="6" t="s">
        <v>988</v>
      </c>
      <c r="J123" s="6" t="s">
        <v>989</v>
      </c>
      <c r="K123" s="6" t="s">
        <v>990</v>
      </c>
      <c r="L123" s="6" t="s">
        <v>991</v>
      </c>
      <c r="M123" s="123" t="s">
        <v>1846</v>
      </c>
      <c r="N123" s="125" t="s">
        <v>825</v>
      </c>
    </row>
    <row r="124" spans="1:14" ht="12" x14ac:dyDescent="0.35">
      <c r="A124" s="189" t="s">
        <v>622</v>
      </c>
      <c r="B124" s="187" t="s">
        <v>623</v>
      </c>
      <c r="C124" s="187" t="s">
        <v>420</v>
      </c>
      <c r="D124" s="122"/>
      <c r="E124" s="187" t="s">
        <v>623</v>
      </c>
      <c r="F124" s="187" t="s">
        <v>1530</v>
      </c>
      <c r="H124" s="6" t="s">
        <v>1360</v>
      </c>
      <c r="I124" s="6" t="s">
        <v>1361</v>
      </c>
      <c r="J124" s="6" t="s">
        <v>1362</v>
      </c>
      <c r="K124" s="6" t="s">
        <v>1363</v>
      </c>
      <c r="L124" s="6" t="s">
        <v>1364</v>
      </c>
      <c r="M124" s="6" t="s">
        <v>1847</v>
      </c>
      <c r="N124" s="6" t="s">
        <v>822</v>
      </c>
    </row>
    <row r="125" spans="1:14" ht="12" x14ac:dyDescent="0.35">
      <c r="A125" s="189" t="s">
        <v>398</v>
      </c>
      <c r="B125" s="187" t="s">
        <v>399</v>
      </c>
      <c r="C125" s="187" t="s">
        <v>420</v>
      </c>
      <c r="D125" s="122"/>
      <c r="E125" s="187" t="s">
        <v>399</v>
      </c>
      <c r="F125" s="187" t="s">
        <v>1531</v>
      </c>
      <c r="H125" s="6" t="s">
        <v>1365</v>
      </c>
      <c r="I125" s="6" t="s">
        <v>1366</v>
      </c>
      <c r="J125" s="6" t="s">
        <v>1367</v>
      </c>
      <c r="K125" s="6" t="s">
        <v>1368</v>
      </c>
      <c r="L125" s="6" t="s">
        <v>1369</v>
      </c>
      <c r="M125" s="6" t="s">
        <v>1847</v>
      </c>
      <c r="N125" s="6" t="s">
        <v>822</v>
      </c>
    </row>
    <row r="126" spans="1:14" ht="12" x14ac:dyDescent="0.35">
      <c r="A126" s="189" t="s">
        <v>624</v>
      </c>
      <c r="B126" s="187" t="s">
        <v>625</v>
      </c>
      <c r="C126" s="187" t="s">
        <v>420</v>
      </c>
      <c r="D126" s="122"/>
      <c r="E126" s="187" t="s">
        <v>625</v>
      </c>
      <c r="F126" s="187" t="s">
        <v>1532</v>
      </c>
      <c r="H126" s="6" t="s">
        <v>1370</v>
      </c>
      <c r="I126" s="6" t="s">
        <v>1371</v>
      </c>
      <c r="J126" s="6" t="s">
        <v>1372</v>
      </c>
      <c r="K126" s="6" t="s">
        <v>1373</v>
      </c>
      <c r="L126" s="6" t="s">
        <v>1374</v>
      </c>
      <c r="M126" s="6" t="s">
        <v>1847</v>
      </c>
      <c r="N126" s="6" t="s">
        <v>822</v>
      </c>
    </row>
    <row r="127" spans="1:14" ht="12" x14ac:dyDescent="0.35">
      <c r="A127" s="189" t="s">
        <v>485</v>
      </c>
      <c r="B127" s="187" t="s">
        <v>400</v>
      </c>
      <c r="C127" s="187" t="s">
        <v>420</v>
      </c>
      <c r="D127" s="122"/>
      <c r="E127" s="187" t="s">
        <v>400</v>
      </c>
      <c r="F127" s="187" t="s">
        <v>1533</v>
      </c>
      <c r="H127" s="6" t="s">
        <v>1375</v>
      </c>
      <c r="I127" s="6" t="s">
        <v>1376</v>
      </c>
      <c r="J127" s="6" t="s">
        <v>1377</v>
      </c>
      <c r="K127" s="6" t="s">
        <v>1378</v>
      </c>
      <c r="L127" s="6" t="s">
        <v>1379</v>
      </c>
      <c r="M127" s="6" t="s">
        <v>1847</v>
      </c>
      <c r="N127" s="6" t="s">
        <v>822</v>
      </c>
    </row>
    <row r="128" spans="1:14" ht="12" x14ac:dyDescent="0.35">
      <c r="A128" s="189" t="s">
        <v>1975</v>
      </c>
      <c r="B128" s="187" t="s">
        <v>1976</v>
      </c>
      <c r="C128" s="187" t="s">
        <v>420</v>
      </c>
      <c r="D128" s="189"/>
      <c r="E128" s="187" t="s">
        <v>1976</v>
      </c>
      <c r="F128" s="187" t="s">
        <v>1977</v>
      </c>
      <c r="H128" s="6" t="s">
        <v>1380</v>
      </c>
      <c r="I128" s="6" t="s">
        <v>1381</v>
      </c>
      <c r="J128" s="6" t="s">
        <v>1382</v>
      </c>
      <c r="K128" s="6" t="s">
        <v>1383</v>
      </c>
      <c r="L128" s="6" t="s">
        <v>1384</v>
      </c>
      <c r="M128" s="6" t="s">
        <v>1847</v>
      </c>
      <c r="N128" s="6" t="s">
        <v>822</v>
      </c>
    </row>
    <row r="129" spans="1:14" ht="12" x14ac:dyDescent="0.35">
      <c r="A129" s="189" t="s">
        <v>301</v>
      </c>
      <c r="B129" s="187" t="s">
        <v>302</v>
      </c>
      <c r="C129" s="187" t="s">
        <v>420</v>
      </c>
      <c r="D129" s="122"/>
      <c r="E129" s="187" t="s">
        <v>302</v>
      </c>
      <c r="F129" s="187" t="s">
        <v>1534</v>
      </c>
      <c r="H129" s="6" t="s">
        <v>1385</v>
      </c>
      <c r="I129" s="6" t="s">
        <v>1386</v>
      </c>
      <c r="J129" s="6" t="s">
        <v>1387</v>
      </c>
      <c r="K129" s="6" t="s">
        <v>1388</v>
      </c>
      <c r="L129" s="6" t="s">
        <v>1389</v>
      </c>
      <c r="M129" s="6" t="s">
        <v>1847</v>
      </c>
      <c r="N129" s="6" t="s">
        <v>822</v>
      </c>
    </row>
    <row r="130" spans="1:14" ht="12" x14ac:dyDescent="0.35">
      <c r="A130" s="189" t="s">
        <v>308</v>
      </c>
      <c r="B130" s="187" t="s">
        <v>309</v>
      </c>
      <c r="C130" s="187" t="s">
        <v>420</v>
      </c>
      <c r="D130" s="122"/>
      <c r="E130" s="187" t="s">
        <v>309</v>
      </c>
      <c r="F130" s="187" t="s">
        <v>1535</v>
      </c>
      <c r="H130" s="6" t="s">
        <v>1390</v>
      </c>
      <c r="I130" s="6" t="s">
        <v>1391</v>
      </c>
      <c r="J130" s="6" t="s">
        <v>1392</v>
      </c>
      <c r="K130" s="6" t="s">
        <v>1393</v>
      </c>
      <c r="L130" s="6" t="s">
        <v>1394</v>
      </c>
      <c r="M130" s="123" t="s">
        <v>1847</v>
      </c>
      <c r="N130" s="125" t="s">
        <v>825</v>
      </c>
    </row>
    <row r="131" spans="1:14" ht="12" x14ac:dyDescent="0.35">
      <c r="A131" s="189" t="s">
        <v>626</v>
      </c>
      <c r="B131" s="187" t="s">
        <v>627</v>
      </c>
      <c r="C131" s="187" t="s">
        <v>420</v>
      </c>
      <c r="D131" s="122"/>
      <c r="E131" s="187" t="s">
        <v>627</v>
      </c>
      <c r="F131" s="187" t="s">
        <v>1536</v>
      </c>
      <c r="H131" s="6" t="s">
        <v>1225</v>
      </c>
      <c r="I131" s="6" t="s">
        <v>1226</v>
      </c>
      <c r="J131" s="6" t="s">
        <v>1227</v>
      </c>
      <c r="K131" s="6" t="s">
        <v>1228</v>
      </c>
      <c r="L131" s="6" t="s">
        <v>1229</v>
      </c>
      <c r="M131" s="6" t="s">
        <v>1848</v>
      </c>
      <c r="N131" s="6" t="s">
        <v>822</v>
      </c>
    </row>
    <row r="132" spans="1:14" ht="12" x14ac:dyDescent="0.35">
      <c r="A132" s="189" t="s">
        <v>628</v>
      </c>
      <c r="B132" s="187" t="s">
        <v>629</v>
      </c>
      <c r="C132" s="187" t="s">
        <v>420</v>
      </c>
      <c r="D132" s="122"/>
      <c r="E132" s="187" t="s">
        <v>629</v>
      </c>
      <c r="F132" s="187" t="s">
        <v>1537</v>
      </c>
      <c r="H132" s="6" t="s">
        <v>1135</v>
      </c>
      <c r="I132" s="6" t="s">
        <v>1136</v>
      </c>
      <c r="J132" s="6" t="s">
        <v>1137</v>
      </c>
      <c r="K132" s="6" t="s">
        <v>1138</v>
      </c>
      <c r="L132" s="6" t="s">
        <v>1139</v>
      </c>
      <c r="M132" s="6" t="s">
        <v>1848</v>
      </c>
      <c r="N132" s="6" t="s">
        <v>822</v>
      </c>
    </row>
    <row r="133" spans="1:14" ht="12" x14ac:dyDescent="0.35">
      <c r="A133" s="189" t="s">
        <v>630</v>
      </c>
      <c r="B133" s="187" t="s">
        <v>631</v>
      </c>
      <c r="C133" s="187" t="s">
        <v>420</v>
      </c>
      <c r="D133" s="122"/>
      <c r="E133" s="187" t="s">
        <v>631</v>
      </c>
      <c r="F133" s="187" t="s">
        <v>1538</v>
      </c>
      <c r="H133" s="6" t="s">
        <v>1235</v>
      </c>
      <c r="I133" s="6" t="s">
        <v>1236</v>
      </c>
      <c r="J133" s="6" t="s">
        <v>1237</v>
      </c>
      <c r="K133" s="6" t="s">
        <v>1238</v>
      </c>
      <c r="L133" s="6" t="s">
        <v>1239</v>
      </c>
      <c r="M133" s="6" t="s">
        <v>1848</v>
      </c>
      <c r="N133" s="6" t="s">
        <v>822</v>
      </c>
    </row>
    <row r="134" spans="1:14" ht="12" x14ac:dyDescent="0.35">
      <c r="A134" s="189" t="s">
        <v>315</v>
      </c>
      <c r="B134" s="187" t="s">
        <v>316</v>
      </c>
      <c r="C134" s="187" t="s">
        <v>420</v>
      </c>
      <c r="D134" s="122"/>
      <c r="E134" s="187" t="s">
        <v>316</v>
      </c>
      <c r="F134" s="187" t="s">
        <v>1539</v>
      </c>
      <c r="H134" s="6" t="s">
        <v>1240</v>
      </c>
      <c r="I134" s="6" t="s">
        <v>1241</v>
      </c>
      <c r="J134" s="6" t="s">
        <v>1242</v>
      </c>
      <c r="K134" s="6" t="s">
        <v>1243</v>
      </c>
      <c r="L134" s="6" t="s">
        <v>1244</v>
      </c>
      <c r="M134" s="6" t="s">
        <v>1848</v>
      </c>
      <c r="N134" s="6" t="s">
        <v>822</v>
      </c>
    </row>
    <row r="135" spans="1:14" ht="12" x14ac:dyDescent="0.35">
      <c r="A135" s="189" t="s">
        <v>632</v>
      </c>
      <c r="B135" s="187" t="s">
        <v>633</v>
      </c>
      <c r="C135" s="187" t="s">
        <v>420</v>
      </c>
      <c r="D135" s="122"/>
      <c r="E135" s="187" t="s">
        <v>633</v>
      </c>
      <c r="F135" s="187" t="s">
        <v>1540</v>
      </c>
      <c r="H135" s="6" t="s">
        <v>1265</v>
      </c>
      <c r="I135" s="6" t="s">
        <v>1266</v>
      </c>
      <c r="J135" s="6" t="s">
        <v>1267</v>
      </c>
      <c r="K135" s="6" t="s">
        <v>1268</v>
      </c>
      <c r="L135" s="6" t="s">
        <v>1269</v>
      </c>
      <c r="M135" s="6" t="s">
        <v>1848</v>
      </c>
      <c r="N135" s="6" t="s">
        <v>822</v>
      </c>
    </row>
    <row r="136" spans="1:14" ht="12" x14ac:dyDescent="0.35">
      <c r="A136" s="189" t="s">
        <v>401</v>
      </c>
      <c r="B136" s="187" t="s">
        <v>402</v>
      </c>
      <c r="C136" s="187" t="s">
        <v>420</v>
      </c>
      <c r="D136" s="122"/>
      <c r="E136" s="187" t="s">
        <v>402</v>
      </c>
      <c r="F136" s="187" t="s">
        <v>1541</v>
      </c>
      <c r="H136" s="6" t="s">
        <v>1275</v>
      </c>
      <c r="I136" s="6" t="s">
        <v>1276</v>
      </c>
      <c r="J136" s="6" t="s">
        <v>1277</v>
      </c>
      <c r="K136" s="6" t="s">
        <v>1278</v>
      </c>
      <c r="L136" s="6" t="s">
        <v>1279</v>
      </c>
      <c r="M136" s="6" t="s">
        <v>1848</v>
      </c>
      <c r="N136" s="6" t="s">
        <v>822</v>
      </c>
    </row>
    <row r="137" spans="1:14" ht="12" x14ac:dyDescent="0.35">
      <c r="A137" s="189" t="s">
        <v>634</v>
      </c>
      <c r="B137" s="187" t="s">
        <v>635</v>
      </c>
      <c r="C137" s="187" t="s">
        <v>420</v>
      </c>
      <c r="D137" s="122"/>
      <c r="E137" s="187" t="s">
        <v>635</v>
      </c>
      <c r="F137" s="187" t="s">
        <v>1542</v>
      </c>
      <c r="H137" s="6" t="s">
        <v>1270</v>
      </c>
      <c r="I137" s="6" t="s">
        <v>1271</v>
      </c>
      <c r="J137" s="6" t="s">
        <v>1272</v>
      </c>
      <c r="K137" s="6" t="s">
        <v>1273</v>
      </c>
      <c r="L137" s="6" t="s">
        <v>1274</v>
      </c>
      <c r="M137" s="6" t="s">
        <v>1848</v>
      </c>
      <c r="N137" s="6" t="s">
        <v>822</v>
      </c>
    </row>
    <row r="138" spans="1:14" ht="12" x14ac:dyDescent="0.35">
      <c r="A138" s="189" t="s">
        <v>636</v>
      </c>
      <c r="B138" s="187" t="s">
        <v>637</v>
      </c>
      <c r="C138" s="187" t="s">
        <v>420</v>
      </c>
      <c r="D138" s="122"/>
      <c r="E138" s="187" t="s">
        <v>637</v>
      </c>
      <c r="F138" s="187" t="s">
        <v>1543</v>
      </c>
      <c r="H138" s="6" t="s">
        <v>1140</v>
      </c>
      <c r="I138" s="6" t="s">
        <v>1141</v>
      </c>
      <c r="J138" s="6" t="s">
        <v>1142</v>
      </c>
      <c r="K138" s="6" t="s">
        <v>1143</v>
      </c>
      <c r="L138" s="6" t="s">
        <v>1144</v>
      </c>
      <c r="M138" s="6" t="s">
        <v>1848</v>
      </c>
      <c r="N138" s="6" t="s">
        <v>822</v>
      </c>
    </row>
    <row r="139" spans="1:14" ht="12" x14ac:dyDescent="0.35">
      <c r="A139" s="189" t="s">
        <v>403</v>
      </c>
      <c r="B139" s="187" t="s">
        <v>404</v>
      </c>
      <c r="C139" s="187" t="s">
        <v>420</v>
      </c>
      <c r="D139" s="122"/>
      <c r="E139" s="187" t="s">
        <v>404</v>
      </c>
      <c r="F139" s="187" t="s">
        <v>1544</v>
      </c>
      <c r="H139" s="6" t="s">
        <v>1145</v>
      </c>
      <c r="I139" s="6" t="s">
        <v>1146</v>
      </c>
      <c r="J139" s="6" t="s">
        <v>1147</v>
      </c>
      <c r="K139" s="6" t="s">
        <v>1148</v>
      </c>
      <c r="L139" s="6" t="s">
        <v>1149</v>
      </c>
      <c r="M139" s="6" t="s">
        <v>1848</v>
      </c>
      <c r="N139" s="6" t="s">
        <v>822</v>
      </c>
    </row>
    <row r="140" spans="1:14" ht="12" x14ac:dyDescent="0.35">
      <c r="A140" s="189" t="s">
        <v>638</v>
      </c>
      <c r="B140" s="187" t="s">
        <v>639</v>
      </c>
      <c r="C140" s="187" t="s">
        <v>420</v>
      </c>
      <c r="D140" s="187"/>
      <c r="E140" s="187" t="s">
        <v>639</v>
      </c>
      <c r="F140" s="187" t="s">
        <v>1545</v>
      </c>
      <c r="H140" s="6" t="s">
        <v>1285</v>
      </c>
      <c r="I140" s="6" t="s">
        <v>1286</v>
      </c>
      <c r="J140" s="6" t="s">
        <v>1287</v>
      </c>
      <c r="K140" s="6" t="s">
        <v>1288</v>
      </c>
      <c r="L140" s="6" t="s">
        <v>1289</v>
      </c>
      <c r="M140" s="6" t="s">
        <v>1848</v>
      </c>
      <c r="N140" s="6" t="s">
        <v>822</v>
      </c>
    </row>
    <row r="141" spans="1:14" ht="12" x14ac:dyDescent="0.35">
      <c r="A141" s="189" t="s">
        <v>1978</v>
      </c>
      <c r="B141" s="187" t="s">
        <v>1979</v>
      </c>
      <c r="C141" s="187" t="s">
        <v>420</v>
      </c>
      <c r="D141" s="189"/>
      <c r="E141" s="187" t="s">
        <v>1979</v>
      </c>
      <c r="F141" s="187" t="s">
        <v>1980</v>
      </c>
      <c r="H141" s="6" t="s">
        <v>1150</v>
      </c>
      <c r="I141" s="6" t="s">
        <v>1151</v>
      </c>
      <c r="J141" s="6" t="s">
        <v>1152</v>
      </c>
      <c r="K141" s="6" t="s">
        <v>1153</v>
      </c>
      <c r="L141" s="6" t="s">
        <v>1154</v>
      </c>
      <c r="M141" s="6" t="s">
        <v>1848</v>
      </c>
      <c r="N141" s="6" t="s">
        <v>822</v>
      </c>
    </row>
    <row r="142" spans="1:14" ht="12" x14ac:dyDescent="0.35">
      <c r="A142" s="189" t="s">
        <v>433</v>
      </c>
      <c r="B142" s="187" t="s">
        <v>434</v>
      </c>
      <c r="C142" s="187" t="s">
        <v>420</v>
      </c>
      <c r="D142" s="187"/>
      <c r="E142" s="187" t="s">
        <v>434</v>
      </c>
      <c r="F142" s="187" t="s">
        <v>1546</v>
      </c>
      <c r="H142" s="6" t="s">
        <v>1155</v>
      </c>
      <c r="I142" s="6" t="s">
        <v>1156</v>
      </c>
      <c r="J142" s="6" t="s">
        <v>1157</v>
      </c>
      <c r="K142" s="6" t="s">
        <v>1158</v>
      </c>
      <c r="L142" s="6" t="s">
        <v>1159</v>
      </c>
      <c r="M142" s="6" t="s">
        <v>1848</v>
      </c>
      <c r="N142" s="6" t="s">
        <v>822</v>
      </c>
    </row>
    <row r="143" spans="1:14" ht="12" x14ac:dyDescent="0.35">
      <c r="A143" s="189" t="s">
        <v>640</v>
      </c>
      <c r="B143" s="187" t="s">
        <v>641</v>
      </c>
      <c r="C143" s="187" t="s">
        <v>420</v>
      </c>
      <c r="D143" s="187"/>
      <c r="E143" s="187" t="s">
        <v>641</v>
      </c>
      <c r="F143" s="187" t="s">
        <v>1547</v>
      </c>
      <c r="H143" s="6" t="s">
        <v>1160</v>
      </c>
      <c r="I143" s="6" t="s">
        <v>1161</v>
      </c>
      <c r="J143" s="6" t="s">
        <v>1162</v>
      </c>
      <c r="K143" s="6" t="s">
        <v>1163</v>
      </c>
      <c r="L143" s="6" t="s">
        <v>1164</v>
      </c>
      <c r="M143" s="6" t="s">
        <v>1848</v>
      </c>
      <c r="N143" s="6" t="s">
        <v>822</v>
      </c>
    </row>
    <row r="144" spans="1:14" ht="12" x14ac:dyDescent="0.35">
      <c r="A144" s="189" t="s">
        <v>642</v>
      </c>
      <c r="B144" s="187" t="s">
        <v>643</v>
      </c>
      <c r="C144" s="187" t="s">
        <v>420</v>
      </c>
      <c r="D144" s="187"/>
      <c r="E144" s="187" t="s">
        <v>643</v>
      </c>
      <c r="F144" s="187" t="s">
        <v>1548</v>
      </c>
      <c r="H144" s="6" t="s">
        <v>1165</v>
      </c>
      <c r="I144" s="6" t="s">
        <v>1166</v>
      </c>
      <c r="J144" s="6" t="s">
        <v>1167</v>
      </c>
      <c r="K144" s="6" t="s">
        <v>1168</v>
      </c>
      <c r="L144" s="6" t="s">
        <v>1169</v>
      </c>
      <c r="M144" s="6" t="s">
        <v>1848</v>
      </c>
      <c r="N144" s="6" t="s">
        <v>822</v>
      </c>
    </row>
    <row r="145" spans="1:14" ht="12" x14ac:dyDescent="0.35">
      <c r="A145" s="189" t="s">
        <v>644</v>
      </c>
      <c r="B145" s="187" t="s">
        <v>645</v>
      </c>
      <c r="C145" s="187" t="s">
        <v>420</v>
      </c>
      <c r="D145" s="187"/>
      <c r="E145" s="187" t="s">
        <v>645</v>
      </c>
      <c r="F145" s="187" t="s">
        <v>1549</v>
      </c>
      <c r="H145" s="6" t="s">
        <v>1170</v>
      </c>
      <c r="I145" s="6" t="s">
        <v>1171</v>
      </c>
      <c r="J145" s="6" t="s">
        <v>1172</v>
      </c>
      <c r="K145" s="6" t="s">
        <v>1173</v>
      </c>
      <c r="L145" s="6" t="s">
        <v>1174</v>
      </c>
      <c r="M145" s="6" t="s">
        <v>1848</v>
      </c>
      <c r="N145" s="6" t="s">
        <v>822</v>
      </c>
    </row>
    <row r="146" spans="1:14" ht="12" x14ac:dyDescent="0.35">
      <c r="A146" s="189" t="s">
        <v>2106</v>
      </c>
      <c r="B146" s="187" t="s">
        <v>1981</v>
      </c>
      <c r="C146" s="187" t="s">
        <v>420</v>
      </c>
      <c r="D146" s="189"/>
      <c r="E146" s="187" t="s">
        <v>1981</v>
      </c>
      <c r="F146" s="187" t="s">
        <v>1982</v>
      </c>
      <c r="H146" s="6" t="s">
        <v>1295</v>
      </c>
      <c r="I146" s="6" t="s">
        <v>1296</v>
      </c>
      <c r="J146" s="6" t="s">
        <v>1297</v>
      </c>
      <c r="K146" s="6" t="s">
        <v>1298</v>
      </c>
      <c r="L146" s="6" t="s">
        <v>1299</v>
      </c>
      <c r="M146" s="6" t="s">
        <v>1848</v>
      </c>
      <c r="N146" s="6" t="s">
        <v>822</v>
      </c>
    </row>
    <row r="147" spans="1:14" ht="12" x14ac:dyDescent="0.35">
      <c r="A147" s="189" t="s">
        <v>646</v>
      </c>
      <c r="B147" s="187" t="s">
        <v>647</v>
      </c>
      <c r="C147" s="187" t="s">
        <v>420</v>
      </c>
      <c r="D147" s="187"/>
      <c r="E147" s="187" t="s">
        <v>647</v>
      </c>
      <c r="F147" s="187" t="s">
        <v>1550</v>
      </c>
      <c r="H147" s="6" t="s">
        <v>1290</v>
      </c>
      <c r="I147" s="6" t="s">
        <v>1291</v>
      </c>
      <c r="J147" s="6" t="s">
        <v>1292</v>
      </c>
      <c r="K147" s="6" t="s">
        <v>1293</v>
      </c>
      <c r="L147" s="6" t="s">
        <v>1294</v>
      </c>
      <c r="M147" s="6" t="s">
        <v>1848</v>
      </c>
      <c r="N147" s="6" t="s">
        <v>822</v>
      </c>
    </row>
    <row r="148" spans="1:14" ht="12" x14ac:dyDescent="0.35">
      <c r="A148" s="189" t="s">
        <v>648</v>
      </c>
      <c r="B148" s="187" t="s">
        <v>649</v>
      </c>
      <c r="C148" s="187" t="s">
        <v>420</v>
      </c>
      <c r="D148" s="187"/>
      <c r="E148" s="187" t="s">
        <v>649</v>
      </c>
      <c r="F148" s="187" t="s">
        <v>1551</v>
      </c>
      <c r="H148" s="6" t="s">
        <v>1175</v>
      </c>
      <c r="I148" s="6" t="s">
        <v>1176</v>
      </c>
      <c r="J148" s="6" t="s">
        <v>1177</v>
      </c>
      <c r="K148" s="6" t="s">
        <v>1178</v>
      </c>
      <c r="L148" s="6" t="s">
        <v>1179</v>
      </c>
      <c r="M148" s="6" t="s">
        <v>1848</v>
      </c>
      <c r="N148" s="6" t="s">
        <v>822</v>
      </c>
    </row>
    <row r="149" spans="1:14" ht="12" x14ac:dyDescent="0.35">
      <c r="A149" s="189" t="s">
        <v>486</v>
      </c>
      <c r="B149" s="187" t="s">
        <v>406</v>
      </c>
      <c r="C149" s="187" t="s">
        <v>420</v>
      </c>
      <c r="D149" s="187"/>
      <c r="E149" s="187" t="s">
        <v>406</v>
      </c>
      <c r="F149" s="187" t="s">
        <v>219</v>
      </c>
      <c r="H149" s="6" t="s">
        <v>1180</v>
      </c>
      <c r="I149" s="6" t="s">
        <v>1181</v>
      </c>
      <c r="J149" s="6" t="s">
        <v>1182</v>
      </c>
      <c r="K149" s="6" t="s">
        <v>1183</v>
      </c>
      <c r="L149" s="6" t="s">
        <v>1184</v>
      </c>
      <c r="M149" s="6" t="s">
        <v>1848</v>
      </c>
      <c r="N149" s="6" t="s">
        <v>822</v>
      </c>
    </row>
    <row r="150" spans="1:14" ht="12" x14ac:dyDescent="0.35">
      <c r="A150" s="189" t="s">
        <v>650</v>
      </c>
      <c r="B150" s="187" t="s">
        <v>651</v>
      </c>
      <c r="C150" s="187" t="s">
        <v>420</v>
      </c>
      <c r="D150" s="187"/>
      <c r="E150" s="187" t="s">
        <v>651</v>
      </c>
      <c r="F150" s="187" t="s">
        <v>1552</v>
      </c>
      <c r="H150" s="6" t="s">
        <v>1185</v>
      </c>
      <c r="I150" s="6" t="s">
        <v>1186</v>
      </c>
      <c r="J150" s="6" t="s">
        <v>1187</v>
      </c>
      <c r="K150" s="6" t="s">
        <v>1188</v>
      </c>
      <c r="L150" s="6" t="s">
        <v>1189</v>
      </c>
      <c r="M150" s="6" t="s">
        <v>1848</v>
      </c>
      <c r="N150" s="6" t="s">
        <v>822</v>
      </c>
    </row>
    <row r="151" spans="1:14" ht="12" x14ac:dyDescent="0.35">
      <c r="A151" s="189" t="s">
        <v>652</v>
      </c>
      <c r="B151" s="187" t="s">
        <v>653</v>
      </c>
      <c r="C151" s="187" t="s">
        <v>420</v>
      </c>
      <c r="D151" s="187"/>
      <c r="E151" s="187" t="s">
        <v>653</v>
      </c>
      <c r="F151" s="187" t="s">
        <v>1553</v>
      </c>
      <c r="H151" s="6" t="s">
        <v>1280</v>
      </c>
      <c r="I151" s="6" t="s">
        <v>1281</v>
      </c>
      <c r="J151" s="6" t="s">
        <v>1282</v>
      </c>
      <c r="K151" s="6" t="s">
        <v>1283</v>
      </c>
      <c r="L151" s="6" t="s">
        <v>1284</v>
      </c>
      <c r="M151" s="6" t="s">
        <v>1848</v>
      </c>
      <c r="N151" s="6" t="s">
        <v>822</v>
      </c>
    </row>
    <row r="152" spans="1:14" ht="12" x14ac:dyDescent="0.35">
      <c r="A152" s="189" t="s">
        <v>654</v>
      </c>
      <c r="B152" s="187" t="s">
        <v>655</v>
      </c>
      <c r="C152" s="187" t="s">
        <v>420</v>
      </c>
      <c r="D152" s="187"/>
      <c r="E152" s="187" t="s">
        <v>655</v>
      </c>
      <c r="F152" s="187" t="s">
        <v>1554</v>
      </c>
      <c r="H152" s="6" t="s">
        <v>1330</v>
      </c>
      <c r="I152" s="6" t="s">
        <v>1331</v>
      </c>
      <c r="J152" s="6" t="s">
        <v>1332</v>
      </c>
      <c r="K152" s="6" t="s">
        <v>1333</v>
      </c>
      <c r="L152" s="6" t="s">
        <v>1334</v>
      </c>
      <c r="M152" s="6" t="s">
        <v>1848</v>
      </c>
      <c r="N152" s="6" t="s">
        <v>822</v>
      </c>
    </row>
    <row r="153" spans="1:14" ht="12" x14ac:dyDescent="0.35">
      <c r="A153" s="189" t="s">
        <v>342</v>
      </c>
      <c r="B153" s="187" t="s">
        <v>343</v>
      </c>
      <c r="C153" s="187" t="s">
        <v>420</v>
      </c>
      <c r="D153" s="187"/>
      <c r="E153" s="187" t="s">
        <v>343</v>
      </c>
      <c r="F153" s="187" t="s">
        <v>1555</v>
      </c>
      <c r="H153" s="6" t="s">
        <v>1325</v>
      </c>
      <c r="I153" s="6" t="s">
        <v>1326</v>
      </c>
      <c r="J153" s="6" t="s">
        <v>1327</v>
      </c>
      <c r="K153" s="6" t="s">
        <v>1328</v>
      </c>
      <c r="L153" s="6" t="s">
        <v>1329</v>
      </c>
      <c r="M153" s="6" t="s">
        <v>1848</v>
      </c>
      <c r="N153" s="6" t="s">
        <v>822</v>
      </c>
    </row>
    <row r="154" spans="1:14" ht="12" x14ac:dyDescent="0.35">
      <c r="A154" s="189" t="s">
        <v>2012</v>
      </c>
      <c r="B154" s="187" t="s">
        <v>2013</v>
      </c>
      <c r="C154" s="187" t="s">
        <v>420</v>
      </c>
      <c r="D154" s="187"/>
      <c r="E154" s="187" t="s">
        <v>2013</v>
      </c>
      <c r="F154" s="187" t="s">
        <v>2014</v>
      </c>
      <c r="H154" s="6" t="s">
        <v>1335</v>
      </c>
      <c r="I154" s="6" t="s">
        <v>1336</v>
      </c>
      <c r="J154" s="6" t="s">
        <v>1337</v>
      </c>
      <c r="K154" s="6" t="s">
        <v>1338</v>
      </c>
      <c r="L154" s="6" t="s">
        <v>1339</v>
      </c>
      <c r="M154" s="6" t="s">
        <v>1848</v>
      </c>
      <c r="N154" s="6" t="s">
        <v>822</v>
      </c>
    </row>
    <row r="155" spans="1:14" ht="12" x14ac:dyDescent="0.35">
      <c r="A155" s="189" t="s">
        <v>405</v>
      </c>
      <c r="B155" s="187" t="s">
        <v>335</v>
      </c>
      <c r="C155" s="187" t="s">
        <v>420</v>
      </c>
      <c r="D155" s="187" t="s">
        <v>388</v>
      </c>
      <c r="E155" s="187" t="s">
        <v>335</v>
      </c>
      <c r="F155" s="187" t="s">
        <v>1556</v>
      </c>
      <c r="H155" s="6" t="s">
        <v>1300</v>
      </c>
      <c r="I155" s="6" t="s">
        <v>1301</v>
      </c>
      <c r="J155" s="6" t="s">
        <v>1302</v>
      </c>
      <c r="K155" s="6" t="s">
        <v>1303</v>
      </c>
      <c r="L155" s="6" t="s">
        <v>1304</v>
      </c>
      <c r="M155" s="6" t="s">
        <v>1848</v>
      </c>
      <c r="N155" s="6" t="s">
        <v>822</v>
      </c>
    </row>
    <row r="156" spans="1:14" ht="12" x14ac:dyDescent="0.35">
      <c r="A156" s="189" t="s">
        <v>656</v>
      </c>
      <c r="B156" s="187" t="s">
        <v>657</v>
      </c>
      <c r="C156" s="187" t="s">
        <v>420</v>
      </c>
      <c r="D156" s="187"/>
      <c r="E156" s="187" t="s">
        <v>657</v>
      </c>
      <c r="F156" s="187" t="s">
        <v>1557</v>
      </c>
      <c r="H156" s="6" t="s">
        <v>1305</v>
      </c>
      <c r="I156" s="6" t="s">
        <v>1306</v>
      </c>
      <c r="J156" s="6" t="s">
        <v>1307</v>
      </c>
      <c r="K156" s="6" t="s">
        <v>1308</v>
      </c>
      <c r="L156" s="6" t="s">
        <v>1309</v>
      </c>
      <c r="M156" s="6" t="s">
        <v>1848</v>
      </c>
      <c r="N156" s="6" t="s">
        <v>822</v>
      </c>
    </row>
    <row r="157" spans="1:14" ht="12" x14ac:dyDescent="0.35">
      <c r="A157" s="189" t="s">
        <v>2107</v>
      </c>
      <c r="B157" s="187" t="s">
        <v>2108</v>
      </c>
      <c r="C157" s="187" t="s">
        <v>420</v>
      </c>
      <c r="D157" s="187"/>
      <c r="E157" s="187" t="s">
        <v>2108</v>
      </c>
      <c r="F157" s="187" t="s">
        <v>2109</v>
      </c>
      <c r="H157" s="6" t="s">
        <v>1190</v>
      </c>
      <c r="I157" s="6" t="s">
        <v>1191</v>
      </c>
      <c r="J157" s="6" t="s">
        <v>1192</v>
      </c>
      <c r="K157" s="6" t="s">
        <v>1193</v>
      </c>
      <c r="L157" s="6" t="s">
        <v>1194</v>
      </c>
      <c r="M157" s="6" t="s">
        <v>1848</v>
      </c>
      <c r="N157" s="6" t="s">
        <v>822</v>
      </c>
    </row>
    <row r="158" spans="1:14" ht="12" x14ac:dyDescent="0.35">
      <c r="A158" s="189" t="s">
        <v>658</v>
      </c>
      <c r="B158" s="187" t="s">
        <v>659</v>
      </c>
      <c r="C158" s="187" t="s">
        <v>420</v>
      </c>
      <c r="D158" s="187"/>
      <c r="E158" s="187" t="s">
        <v>659</v>
      </c>
      <c r="F158" s="187" t="s">
        <v>1558</v>
      </c>
      <c r="H158" s="6" t="s">
        <v>1195</v>
      </c>
      <c r="I158" s="6" t="s">
        <v>1196</v>
      </c>
      <c r="J158" s="6" t="s">
        <v>1197</v>
      </c>
      <c r="K158" s="6" t="s">
        <v>1198</v>
      </c>
      <c r="L158" s="6" t="s">
        <v>1199</v>
      </c>
      <c r="M158" s="6" t="s">
        <v>1848</v>
      </c>
      <c r="N158" s="6" t="s">
        <v>822</v>
      </c>
    </row>
    <row r="159" spans="1:14" ht="12" x14ac:dyDescent="0.35">
      <c r="A159" s="189" t="s">
        <v>435</v>
      </c>
      <c r="B159" s="187" t="s">
        <v>436</v>
      </c>
      <c r="C159" s="187" t="s">
        <v>420</v>
      </c>
      <c r="D159" s="187"/>
      <c r="E159" s="187" t="s">
        <v>436</v>
      </c>
      <c r="F159" s="187" t="s">
        <v>1559</v>
      </c>
      <c r="H159" s="6" t="s">
        <v>1200</v>
      </c>
      <c r="I159" s="6" t="s">
        <v>1201</v>
      </c>
      <c r="J159" s="6" t="s">
        <v>1202</v>
      </c>
      <c r="K159" s="6" t="s">
        <v>1203</v>
      </c>
      <c r="L159" s="6" t="s">
        <v>1204</v>
      </c>
      <c r="M159" s="6" t="s">
        <v>1848</v>
      </c>
      <c r="N159" s="6" t="s">
        <v>822</v>
      </c>
    </row>
    <row r="160" spans="1:14" ht="12" x14ac:dyDescent="0.35">
      <c r="A160" s="189" t="s">
        <v>407</v>
      </c>
      <c r="B160" s="187" t="s">
        <v>347</v>
      </c>
      <c r="C160" s="187" t="s">
        <v>420</v>
      </c>
      <c r="D160" s="187"/>
      <c r="E160" s="187" t="s">
        <v>347</v>
      </c>
      <c r="F160" s="187" t="s">
        <v>1560</v>
      </c>
      <c r="H160" s="6" t="s">
        <v>1310</v>
      </c>
      <c r="I160" s="6" t="s">
        <v>1311</v>
      </c>
      <c r="J160" s="6" t="s">
        <v>1312</v>
      </c>
      <c r="K160" s="6" t="s">
        <v>1313</v>
      </c>
      <c r="L160" s="6" t="s">
        <v>1314</v>
      </c>
      <c r="M160" s="6" t="s">
        <v>1848</v>
      </c>
      <c r="N160" s="6" t="s">
        <v>822</v>
      </c>
    </row>
    <row r="161" spans="1:14" ht="12" x14ac:dyDescent="0.35">
      <c r="A161" s="189" t="s">
        <v>437</v>
      </c>
      <c r="B161" s="187" t="s">
        <v>438</v>
      </c>
      <c r="C161" s="187" t="s">
        <v>420</v>
      </c>
      <c r="D161" s="187"/>
      <c r="E161" s="187" t="s">
        <v>438</v>
      </c>
      <c r="F161" s="187" t="s">
        <v>1561</v>
      </c>
      <c r="H161" s="6" t="s">
        <v>1315</v>
      </c>
      <c r="I161" s="6" t="s">
        <v>1316</v>
      </c>
      <c r="J161" s="6" t="s">
        <v>1317</v>
      </c>
      <c r="K161" s="6" t="s">
        <v>1318</v>
      </c>
      <c r="L161" s="6" t="s">
        <v>1319</v>
      </c>
      <c r="M161" s="6" t="s">
        <v>1848</v>
      </c>
      <c r="N161" s="6" t="s">
        <v>822</v>
      </c>
    </row>
    <row r="162" spans="1:14" ht="12" x14ac:dyDescent="0.35">
      <c r="A162" s="189" t="s">
        <v>660</v>
      </c>
      <c r="B162" s="187" t="s">
        <v>661</v>
      </c>
      <c r="C162" s="187" t="s">
        <v>420</v>
      </c>
      <c r="D162" s="187"/>
      <c r="E162" s="187" t="s">
        <v>661</v>
      </c>
      <c r="F162" s="187" t="s">
        <v>1562</v>
      </c>
      <c r="H162" s="6" t="s">
        <v>1340</v>
      </c>
      <c r="I162" s="6" t="s">
        <v>1341</v>
      </c>
      <c r="J162" s="6" t="s">
        <v>1342</v>
      </c>
      <c r="K162" s="6" t="s">
        <v>1343</v>
      </c>
      <c r="L162" s="6" t="s">
        <v>1344</v>
      </c>
      <c r="M162" s="6" t="s">
        <v>1848</v>
      </c>
      <c r="N162" s="6" t="s">
        <v>822</v>
      </c>
    </row>
    <row r="163" spans="1:14" ht="12" x14ac:dyDescent="0.35">
      <c r="A163" s="189" t="s">
        <v>662</v>
      </c>
      <c r="B163" s="187" t="s">
        <v>663</v>
      </c>
      <c r="C163" s="187" t="s">
        <v>420</v>
      </c>
      <c r="D163" s="187"/>
      <c r="E163" s="187" t="s">
        <v>663</v>
      </c>
      <c r="F163" s="187" t="s">
        <v>1563</v>
      </c>
      <c r="H163" s="6" t="s">
        <v>1320</v>
      </c>
      <c r="I163" s="6" t="s">
        <v>1321</v>
      </c>
      <c r="J163" s="6" t="s">
        <v>1322</v>
      </c>
      <c r="K163" s="6" t="s">
        <v>1323</v>
      </c>
      <c r="L163" s="6" t="s">
        <v>1324</v>
      </c>
      <c r="M163" s="6" t="s">
        <v>1848</v>
      </c>
      <c r="N163" s="6" t="s">
        <v>822</v>
      </c>
    </row>
    <row r="164" spans="1:14" ht="12" x14ac:dyDescent="0.35">
      <c r="A164" s="189" t="s">
        <v>2110</v>
      </c>
      <c r="B164" s="187" t="s">
        <v>355</v>
      </c>
      <c r="C164" s="187" t="s">
        <v>420</v>
      </c>
      <c r="D164" s="187"/>
      <c r="E164" s="187" t="s">
        <v>355</v>
      </c>
      <c r="F164" s="187" t="s">
        <v>1564</v>
      </c>
      <c r="H164" s="6" t="s">
        <v>1205</v>
      </c>
      <c r="I164" s="6" t="s">
        <v>1206</v>
      </c>
      <c r="J164" s="6" t="s">
        <v>1207</v>
      </c>
      <c r="K164" s="6" t="s">
        <v>1208</v>
      </c>
      <c r="L164" s="6" t="s">
        <v>1209</v>
      </c>
      <c r="M164" s="6" t="s">
        <v>1848</v>
      </c>
      <c r="N164" s="6" t="s">
        <v>822</v>
      </c>
    </row>
    <row r="165" spans="1:14" ht="12" x14ac:dyDescent="0.35">
      <c r="A165" s="189" t="s">
        <v>439</v>
      </c>
      <c r="B165" s="187" t="s">
        <v>440</v>
      </c>
      <c r="C165" s="187" t="s">
        <v>420</v>
      </c>
      <c r="D165" s="187"/>
      <c r="E165" s="187" t="s">
        <v>440</v>
      </c>
      <c r="F165" s="187" t="s">
        <v>1565</v>
      </c>
      <c r="H165" s="6" t="s">
        <v>1210</v>
      </c>
      <c r="I165" s="6" t="s">
        <v>1211</v>
      </c>
      <c r="J165" s="6" t="s">
        <v>1212</v>
      </c>
      <c r="K165" s="6" t="s">
        <v>1213</v>
      </c>
      <c r="L165" s="6" t="s">
        <v>1214</v>
      </c>
      <c r="M165" s="6" t="s">
        <v>1848</v>
      </c>
      <c r="N165" s="6" t="s">
        <v>822</v>
      </c>
    </row>
    <row r="166" spans="1:14" ht="12" x14ac:dyDescent="0.35">
      <c r="A166" s="189" t="s">
        <v>664</v>
      </c>
      <c r="B166" s="187" t="s">
        <v>665</v>
      </c>
      <c r="C166" s="187" t="s">
        <v>420</v>
      </c>
      <c r="D166" s="187"/>
      <c r="E166" s="187" t="s">
        <v>665</v>
      </c>
      <c r="F166" s="187" t="s">
        <v>1566</v>
      </c>
      <c r="H166" s="6" t="s">
        <v>1215</v>
      </c>
      <c r="I166" s="6" t="s">
        <v>1216</v>
      </c>
      <c r="J166" s="6" t="s">
        <v>1217</v>
      </c>
      <c r="K166" s="6" t="s">
        <v>1218</v>
      </c>
      <c r="L166" s="6" t="s">
        <v>1219</v>
      </c>
      <c r="M166" s="6" t="s">
        <v>1848</v>
      </c>
      <c r="N166" s="6" t="s">
        <v>822</v>
      </c>
    </row>
    <row r="167" spans="1:14" ht="12" x14ac:dyDescent="0.35">
      <c r="A167" s="189" t="s">
        <v>408</v>
      </c>
      <c r="B167" s="187" t="s">
        <v>409</v>
      </c>
      <c r="C167" s="187" t="s">
        <v>420</v>
      </c>
      <c r="D167" s="187"/>
      <c r="E167" s="187" t="s">
        <v>409</v>
      </c>
      <c r="F167" s="187" t="s">
        <v>1567</v>
      </c>
      <c r="H167" s="6" t="s">
        <v>1220</v>
      </c>
      <c r="I167" s="6" t="s">
        <v>1221</v>
      </c>
      <c r="J167" s="6" t="s">
        <v>1222</v>
      </c>
      <c r="K167" s="6" t="s">
        <v>1223</v>
      </c>
      <c r="L167" s="6" t="s">
        <v>1224</v>
      </c>
      <c r="M167" s="6" t="s">
        <v>1848</v>
      </c>
      <c r="N167" s="6" t="s">
        <v>822</v>
      </c>
    </row>
    <row r="168" spans="1:14" ht="12" x14ac:dyDescent="0.35">
      <c r="A168" s="189" t="s">
        <v>358</v>
      </c>
      <c r="B168" s="187" t="s">
        <v>359</v>
      </c>
      <c r="C168" s="187" t="s">
        <v>420</v>
      </c>
      <c r="D168" s="187"/>
      <c r="E168" s="187" t="s">
        <v>359</v>
      </c>
      <c r="F168" s="187" t="s">
        <v>1568</v>
      </c>
      <c r="H168" s="6" t="s">
        <v>1230</v>
      </c>
      <c r="I168" s="6" t="s">
        <v>1231</v>
      </c>
      <c r="J168" s="6" t="s">
        <v>1232</v>
      </c>
      <c r="K168" s="6" t="s">
        <v>1233</v>
      </c>
      <c r="L168" s="6" t="s">
        <v>1234</v>
      </c>
      <c r="M168" s="6" t="s">
        <v>1848</v>
      </c>
      <c r="N168" s="6" t="s">
        <v>822</v>
      </c>
    </row>
    <row r="169" spans="1:14" ht="12" x14ac:dyDescent="0.35">
      <c r="A169" s="189" t="s">
        <v>666</v>
      </c>
      <c r="B169" s="187" t="s">
        <v>667</v>
      </c>
      <c r="C169" s="187" t="s">
        <v>420</v>
      </c>
      <c r="D169" s="187"/>
      <c r="E169" s="187" t="s">
        <v>667</v>
      </c>
      <c r="F169" s="187" t="s">
        <v>1569</v>
      </c>
      <c r="H169" s="6" t="s">
        <v>1345</v>
      </c>
      <c r="I169" s="6" t="s">
        <v>1346</v>
      </c>
      <c r="J169" s="6" t="s">
        <v>1347</v>
      </c>
      <c r="K169" s="6" t="s">
        <v>1348</v>
      </c>
      <c r="L169" s="6" t="s">
        <v>1349</v>
      </c>
      <c r="M169" s="6" t="s">
        <v>1848</v>
      </c>
      <c r="N169" s="6" t="s">
        <v>822</v>
      </c>
    </row>
    <row r="170" spans="1:14" ht="12" x14ac:dyDescent="0.35">
      <c r="A170" s="189" t="s">
        <v>668</v>
      </c>
      <c r="B170" s="187" t="s">
        <v>669</v>
      </c>
      <c r="C170" s="187" t="s">
        <v>420</v>
      </c>
      <c r="D170" s="187"/>
      <c r="E170" s="187" t="s">
        <v>669</v>
      </c>
      <c r="F170" s="187" t="s">
        <v>1570</v>
      </c>
      <c r="H170" s="6" t="s">
        <v>1250</v>
      </c>
      <c r="I170" s="6" t="s">
        <v>1251</v>
      </c>
      <c r="J170" s="6" t="s">
        <v>1252</v>
      </c>
      <c r="K170" s="6" t="s">
        <v>1253</v>
      </c>
      <c r="L170" s="6" t="s">
        <v>1254</v>
      </c>
      <c r="M170" s="6" t="s">
        <v>1848</v>
      </c>
      <c r="N170" s="6" t="s">
        <v>822</v>
      </c>
    </row>
    <row r="171" spans="1:14" ht="12" x14ac:dyDescent="0.35">
      <c r="A171" s="189" t="s">
        <v>410</v>
      </c>
      <c r="B171" s="187" t="s">
        <v>411</v>
      </c>
      <c r="C171" s="187" t="s">
        <v>420</v>
      </c>
      <c r="D171" s="187"/>
      <c r="E171" s="187" t="s">
        <v>411</v>
      </c>
      <c r="F171" s="187" t="s">
        <v>1571</v>
      </c>
      <c r="H171" s="6" t="s">
        <v>1245</v>
      </c>
      <c r="I171" s="6" t="s">
        <v>1246</v>
      </c>
      <c r="J171" s="6" t="s">
        <v>1247</v>
      </c>
      <c r="K171" s="6" t="s">
        <v>1248</v>
      </c>
      <c r="L171" s="6" t="s">
        <v>1249</v>
      </c>
      <c r="M171" s="6" t="s">
        <v>1848</v>
      </c>
      <c r="N171" s="6" t="s">
        <v>822</v>
      </c>
    </row>
    <row r="172" spans="1:14" ht="12" x14ac:dyDescent="0.35">
      <c r="A172" s="189" t="s">
        <v>360</v>
      </c>
      <c r="B172" s="187" t="s">
        <v>361</v>
      </c>
      <c r="C172" s="187" t="s">
        <v>420</v>
      </c>
      <c r="D172" s="187"/>
      <c r="E172" s="187" t="s">
        <v>361</v>
      </c>
      <c r="F172" s="187" t="s">
        <v>1572</v>
      </c>
      <c r="H172" s="6" t="s">
        <v>1255</v>
      </c>
      <c r="I172" s="6" t="s">
        <v>1256</v>
      </c>
      <c r="J172" s="6" t="s">
        <v>1257</v>
      </c>
      <c r="K172" s="6" t="s">
        <v>1258</v>
      </c>
      <c r="L172" s="6" t="s">
        <v>1259</v>
      </c>
      <c r="M172" s="6" t="s">
        <v>1848</v>
      </c>
      <c r="N172" s="6" t="s">
        <v>822</v>
      </c>
    </row>
    <row r="173" spans="1:14" ht="12" x14ac:dyDescent="0.35">
      <c r="A173" s="189" t="s">
        <v>670</v>
      </c>
      <c r="B173" s="187" t="s">
        <v>671</v>
      </c>
      <c r="C173" s="187" t="s">
        <v>420</v>
      </c>
      <c r="D173" s="187"/>
      <c r="E173" s="187" t="s">
        <v>671</v>
      </c>
      <c r="F173" s="187" t="s">
        <v>1573</v>
      </c>
      <c r="H173" s="6" t="s">
        <v>1260</v>
      </c>
      <c r="I173" s="6" t="s">
        <v>1261</v>
      </c>
      <c r="J173" s="6" t="s">
        <v>1262</v>
      </c>
      <c r="K173" s="6" t="s">
        <v>1263</v>
      </c>
      <c r="L173" s="6" t="s">
        <v>1264</v>
      </c>
      <c r="M173" s="6" t="s">
        <v>1848</v>
      </c>
      <c r="N173" s="6" t="s">
        <v>822</v>
      </c>
    </row>
    <row r="174" spans="1:14" ht="12" x14ac:dyDescent="0.35">
      <c r="A174" s="189" t="s">
        <v>231</v>
      </c>
      <c r="B174" s="187" t="s">
        <v>232</v>
      </c>
      <c r="C174" s="187" t="s">
        <v>420</v>
      </c>
      <c r="D174" s="122"/>
      <c r="E174" s="187" t="s">
        <v>232</v>
      </c>
      <c r="F174" s="187" t="s">
        <v>1495</v>
      </c>
      <c r="H174" s="6" t="s">
        <v>1350</v>
      </c>
      <c r="I174" s="6" t="s">
        <v>1351</v>
      </c>
      <c r="J174" s="6" t="s">
        <v>1352</v>
      </c>
      <c r="K174" s="6" t="s">
        <v>1353</v>
      </c>
      <c r="L174" s="6" t="s">
        <v>1354</v>
      </c>
      <c r="M174" s="6" t="s">
        <v>1848</v>
      </c>
      <c r="N174" s="6" t="s">
        <v>822</v>
      </c>
    </row>
    <row r="175" spans="1:14" ht="12" x14ac:dyDescent="0.35">
      <c r="A175" s="189" t="s">
        <v>672</v>
      </c>
      <c r="B175" s="187" t="s">
        <v>673</v>
      </c>
      <c r="C175" s="187" t="s">
        <v>420</v>
      </c>
      <c r="D175" s="187"/>
      <c r="E175" s="187" t="s">
        <v>673</v>
      </c>
      <c r="F175" s="187" t="s">
        <v>1574</v>
      </c>
      <c r="H175" s="6" t="s">
        <v>1355</v>
      </c>
      <c r="I175" s="6" t="s">
        <v>1356</v>
      </c>
      <c r="J175" s="6" t="s">
        <v>1357</v>
      </c>
      <c r="K175" s="6" t="s">
        <v>1358</v>
      </c>
      <c r="L175" s="6" t="s">
        <v>1359</v>
      </c>
      <c r="M175" s="123" t="s">
        <v>1848</v>
      </c>
      <c r="N175" s="125" t="s">
        <v>825</v>
      </c>
    </row>
    <row r="176" spans="1:14" ht="12" x14ac:dyDescent="0.35">
      <c r="H176" s="6" t="s">
        <v>992</v>
      </c>
      <c r="I176" s="6" t="s">
        <v>993</v>
      </c>
      <c r="J176" s="6" t="s">
        <v>994</v>
      </c>
      <c r="K176" s="6" t="s">
        <v>995</v>
      </c>
      <c r="L176" s="6" t="s">
        <v>996</v>
      </c>
      <c r="M176" s="6" t="s">
        <v>1849</v>
      </c>
      <c r="N176" s="6" t="s">
        <v>822</v>
      </c>
    </row>
    <row r="177" spans="8:14" ht="12" x14ac:dyDescent="0.35">
      <c r="H177" s="6" t="s">
        <v>997</v>
      </c>
      <c r="I177" s="6" t="s">
        <v>998</v>
      </c>
      <c r="J177" s="6" t="s">
        <v>999</v>
      </c>
      <c r="K177" s="6" t="s">
        <v>1000</v>
      </c>
      <c r="L177" s="6" t="s">
        <v>1001</v>
      </c>
      <c r="M177" s="6" t="s">
        <v>1849</v>
      </c>
      <c r="N177" s="6" t="s">
        <v>822</v>
      </c>
    </row>
    <row r="178" spans="8:14" ht="12" x14ac:dyDescent="0.35">
      <c r="H178" s="6" t="s">
        <v>1002</v>
      </c>
      <c r="I178" s="6" t="s">
        <v>1003</v>
      </c>
      <c r="J178" s="6" t="s">
        <v>1004</v>
      </c>
      <c r="K178" s="6" t="s">
        <v>1005</v>
      </c>
      <c r="L178" s="6" t="s">
        <v>1006</v>
      </c>
      <c r="M178" s="6" t="s">
        <v>1849</v>
      </c>
      <c r="N178" s="6" t="s">
        <v>822</v>
      </c>
    </row>
    <row r="179" spans="8:14" ht="12" x14ac:dyDescent="0.35">
      <c r="H179" s="6" t="s">
        <v>1007</v>
      </c>
      <c r="I179" s="6" t="s">
        <v>1008</v>
      </c>
      <c r="J179" s="6" t="s">
        <v>1009</v>
      </c>
      <c r="K179" s="6" t="s">
        <v>1010</v>
      </c>
      <c r="L179" s="6" t="s">
        <v>1011</v>
      </c>
      <c r="M179" s="6" t="s">
        <v>1849</v>
      </c>
      <c r="N179" s="6" t="s">
        <v>822</v>
      </c>
    </row>
    <row r="180" spans="8:14" ht="12" x14ac:dyDescent="0.35">
      <c r="H180" s="6" t="s">
        <v>1012</v>
      </c>
      <c r="I180" s="6" t="s">
        <v>1013</v>
      </c>
      <c r="J180" s="6" t="s">
        <v>1014</v>
      </c>
      <c r="K180" s="6" t="s">
        <v>1015</v>
      </c>
      <c r="L180" s="6" t="s">
        <v>1016</v>
      </c>
      <c r="M180" s="6" t="s">
        <v>1849</v>
      </c>
      <c r="N180" s="6" t="s">
        <v>822</v>
      </c>
    </row>
    <row r="181" spans="8:14" ht="12" x14ac:dyDescent="0.35">
      <c r="H181" s="6" t="s">
        <v>1017</v>
      </c>
      <c r="I181" s="6" t="s">
        <v>1018</v>
      </c>
      <c r="J181" s="6" t="s">
        <v>1019</v>
      </c>
      <c r="K181" s="6" t="s">
        <v>1020</v>
      </c>
      <c r="L181" s="6" t="s">
        <v>1021</v>
      </c>
      <c r="M181" s="6" t="s">
        <v>1849</v>
      </c>
      <c r="N181" s="6" t="s">
        <v>822</v>
      </c>
    </row>
    <row r="182" spans="8:14" ht="12" x14ac:dyDescent="0.35">
      <c r="H182" s="6" t="s">
        <v>1022</v>
      </c>
      <c r="I182" s="6" t="s">
        <v>1023</v>
      </c>
      <c r="J182" s="6" t="s">
        <v>1024</v>
      </c>
      <c r="K182" s="6" t="s">
        <v>1025</v>
      </c>
      <c r="L182" s="6" t="s">
        <v>1026</v>
      </c>
      <c r="M182" s="6" t="s">
        <v>1849</v>
      </c>
      <c r="N182" s="6" t="s">
        <v>822</v>
      </c>
    </row>
    <row r="183" spans="8:14" ht="12" x14ac:dyDescent="0.35">
      <c r="H183" s="6" t="s">
        <v>1027</v>
      </c>
      <c r="I183" s="6" t="s">
        <v>1028</v>
      </c>
      <c r="J183" s="6" t="s">
        <v>1029</v>
      </c>
      <c r="K183" s="6" t="s">
        <v>1030</v>
      </c>
      <c r="L183" s="6" t="s">
        <v>1031</v>
      </c>
      <c r="M183" s="6" t="s">
        <v>1849</v>
      </c>
      <c r="N183" s="6" t="s">
        <v>822</v>
      </c>
    </row>
    <row r="184" spans="8:14" ht="12" x14ac:dyDescent="0.35">
      <c r="H184" s="6" t="s">
        <v>1032</v>
      </c>
      <c r="I184" s="6" t="s">
        <v>1033</v>
      </c>
      <c r="J184" s="6" t="s">
        <v>1034</v>
      </c>
      <c r="K184" s="6" t="s">
        <v>1035</v>
      </c>
      <c r="L184" s="6" t="s">
        <v>1036</v>
      </c>
      <c r="M184" s="6" t="s">
        <v>1849</v>
      </c>
      <c r="N184" s="6" t="s">
        <v>822</v>
      </c>
    </row>
    <row r="185" spans="8:14" ht="12" x14ac:dyDescent="0.35">
      <c r="H185" s="6" t="s">
        <v>1037</v>
      </c>
      <c r="I185" s="6" t="s">
        <v>1038</v>
      </c>
      <c r="J185" s="6" t="s">
        <v>1039</v>
      </c>
      <c r="K185" s="6" t="s">
        <v>1040</v>
      </c>
      <c r="L185" s="6" t="s">
        <v>1041</v>
      </c>
      <c r="M185" s="6" t="s">
        <v>1849</v>
      </c>
      <c r="N185" s="6" t="s">
        <v>822</v>
      </c>
    </row>
    <row r="186" spans="8:14" ht="12" x14ac:dyDescent="0.35">
      <c r="H186" s="6" t="s">
        <v>1042</v>
      </c>
      <c r="I186" s="6" t="s">
        <v>1043</v>
      </c>
      <c r="J186" s="6" t="s">
        <v>1044</v>
      </c>
      <c r="K186" s="6" t="s">
        <v>1045</v>
      </c>
      <c r="L186" s="6" t="s">
        <v>1046</v>
      </c>
      <c r="M186" s="6" t="s">
        <v>1849</v>
      </c>
      <c r="N186" s="6" t="s">
        <v>822</v>
      </c>
    </row>
    <row r="187" spans="8:14" ht="12" x14ac:dyDescent="0.35">
      <c r="H187" s="6" t="s">
        <v>1047</v>
      </c>
      <c r="I187" s="6" t="s">
        <v>1048</v>
      </c>
      <c r="J187" s="6" t="s">
        <v>1049</v>
      </c>
      <c r="K187" s="6" t="s">
        <v>1050</v>
      </c>
      <c r="L187" s="6" t="s">
        <v>1051</v>
      </c>
      <c r="M187" s="6" t="s">
        <v>1849</v>
      </c>
      <c r="N187" s="6" t="s">
        <v>822</v>
      </c>
    </row>
    <row r="188" spans="8:14" ht="12" x14ac:dyDescent="0.35">
      <c r="H188" s="6" t="s">
        <v>1052</v>
      </c>
      <c r="I188" s="6" t="s">
        <v>1053</v>
      </c>
      <c r="J188" s="6" t="s">
        <v>1054</v>
      </c>
      <c r="K188" s="6" t="s">
        <v>1055</v>
      </c>
      <c r="L188" s="6" t="s">
        <v>1056</v>
      </c>
      <c r="M188" s="6" t="s">
        <v>1849</v>
      </c>
      <c r="N188" s="6" t="s">
        <v>822</v>
      </c>
    </row>
    <row r="189" spans="8:14" ht="12" x14ac:dyDescent="0.35">
      <c r="H189" s="6" t="s">
        <v>1057</v>
      </c>
      <c r="I189" s="6" t="s">
        <v>1058</v>
      </c>
      <c r="J189" s="6" t="s">
        <v>1059</v>
      </c>
      <c r="K189" s="6" t="s">
        <v>1060</v>
      </c>
      <c r="L189" s="6" t="s">
        <v>1061</v>
      </c>
      <c r="M189" s="6" t="s">
        <v>1849</v>
      </c>
      <c r="N189" s="6" t="s">
        <v>822</v>
      </c>
    </row>
    <row r="190" spans="8:14" ht="12" x14ac:dyDescent="0.35">
      <c r="H190" s="6" t="s">
        <v>1062</v>
      </c>
      <c r="I190" s="6" t="s">
        <v>1063</v>
      </c>
      <c r="J190" s="6" t="s">
        <v>1064</v>
      </c>
      <c r="K190" s="6" t="s">
        <v>1065</v>
      </c>
      <c r="L190" s="6" t="s">
        <v>1066</v>
      </c>
      <c r="M190" s="6" t="s">
        <v>1849</v>
      </c>
      <c r="N190" s="6" t="s">
        <v>822</v>
      </c>
    </row>
    <row r="191" spans="8:14" ht="12" x14ac:dyDescent="0.35">
      <c r="H191" s="6" t="s">
        <v>1067</v>
      </c>
      <c r="I191" s="6" t="s">
        <v>1068</v>
      </c>
      <c r="J191" s="6" t="s">
        <v>1069</v>
      </c>
      <c r="K191" s="6" t="s">
        <v>1070</v>
      </c>
      <c r="L191" s="6" t="s">
        <v>1071</v>
      </c>
      <c r="M191" s="6" t="s">
        <v>1849</v>
      </c>
      <c r="N191" s="6" t="s">
        <v>822</v>
      </c>
    </row>
    <row r="192" spans="8:14" ht="12" x14ac:dyDescent="0.35">
      <c r="H192" s="6" t="s">
        <v>1072</v>
      </c>
      <c r="I192" s="6" t="s">
        <v>1073</v>
      </c>
      <c r="J192" s="6" t="s">
        <v>1074</v>
      </c>
      <c r="K192" s="6" t="s">
        <v>1075</v>
      </c>
      <c r="L192" s="6" t="s">
        <v>1076</v>
      </c>
      <c r="M192" s="6" t="s">
        <v>1849</v>
      </c>
      <c r="N192" s="6" t="s">
        <v>822</v>
      </c>
    </row>
    <row r="193" spans="8:14" ht="12" x14ac:dyDescent="0.35">
      <c r="H193" s="6" t="s">
        <v>1077</v>
      </c>
      <c r="I193" s="6" t="s">
        <v>1078</v>
      </c>
      <c r="J193" s="6" t="s">
        <v>1079</v>
      </c>
      <c r="K193" s="6" t="s">
        <v>1080</v>
      </c>
      <c r="L193" s="6" t="s">
        <v>1081</v>
      </c>
      <c r="M193" s="6" t="s">
        <v>1849</v>
      </c>
      <c r="N193" s="6" t="s">
        <v>822</v>
      </c>
    </row>
    <row r="194" spans="8:14" ht="12" x14ac:dyDescent="0.35">
      <c r="H194" s="6" t="s">
        <v>1082</v>
      </c>
      <c r="I194" s="6" t="s">
        <v>1083</v>
      </c>
      <c r="J194" s="6" t="s">
        <v>1084</v>
      </c>
      <c r="K194" s="6" t="s">
        <v>1085</v>
      </c>
      <c r="L194" s="6" t="s">
        <v>1086</v>
      </c>
      <c r="M194" s="6" t="s">
        <v>1849</v>
      </c>
      <c r="N194" s="6" t="s">
        <v>822</v>
      </c>
    </row>
    <row r="195" spans="8:14" ht="12" x14ac:dyDescent="0.35">
      <c r="H195" s="6" t="s">
        <v>1087</v>
      </c>
      <c r="I195" s="6" t="s">
        <v>1088</v>
      </c>
      <c r="J195" s="6" t="s">
        <v>1089</v>
      </c>
      <c r="K195" s="6" t="s">
        <v>1090</v>
      </c>
      <c r="L195" s="6" t="s">
        <v>1091</v>
      </c>
      <c r="M195" s="6" t="s">
        <v>1849</v>
      </c>
      <c r="N195" s="6" t="s">
        <v>822</v>
      </c>
    </row>
    <row r="196" spans="8:14" ht="12" x14ac:dyDescent="0.35">
      <c r="H196" s="6" t="s">
        <v>1092</v>
      </c>
      <c r="I196" s="6" t="s">
        <v>1093</v>
      </c>
      <c r="J196" s="6" t="s">
        <v>1094</v>
      </c>
      <c r="K196" s="6" t="s">
        <v>1095</v>
      </c>
      <c r="L196" s="6" t="s">
        <v>1096</v>
      </c>
      <c r="M196" s="6" t="s">
        <v>1849</v>
      </c>
      <c r="N196" s="6" t="s">
        <v>822</v>
      </c>
    </row>
    <row r="197" spans="8:14" ht="12" x14ac:dyDescent="0.35">
      <c r="H197" s="6" t="s">
        <v>1097</v>
      </c>
      <c r="I197" s="6" t="s">
        <v>1098</v>
      </c>
      <c r="J197" s="6" t="s">
        <v>1099</v>
      </c>
      <c r="K197" s="6" t="s">
        <v>1100</v>
      </c>
      <c r="L197" s="6" t="s">
        <v>1101</v>
      </c>
      <c r="M197" s="6" t="s">
        <v>1849</v>
      </c>
      <c r="N197" s="6" t="s">
        <v>822</v>
      </c>
    </row>
    <row r="198" spans="8:14" ht="12" x14ac:dyDescent="0.35">
      <c r="H198" s="6" t="s">
        <v>1102</v>
      </c>
      <c r="I198" s="6" t="s">
        <v>1103</v>
      </c>
      <c r="J198" s="6" t="s">
        <v>1104</v>
      </c>
      <c r="K198" s="6" t="s">
        <v>1105</v>
      </c>
      <c r="L198" s="6" t="s">
        <v>1106</v>
      </c>
      <c r="M198" s="6" t="s">
        <v>1849</v>
      </c>
      <c r="N198" s="6" t="s">
        <v>822</v>
      </c>
    </row>
    <row r="199" spans="8:14" ht="12" x14ac:dyDescent="0.35">
      <c r="H199" s="6" t="s">
        <v>1107</v>
      </c>
      <c r="I199" s="6" t="s">
        <v>1108</v>
      </c>
      <c r="J199" s="6" t="s">
        <v>1109</v>
      </c>
      <c r="K199" s="6" t="s">
        <v>1110</v>
      </c>
      <c r="L199" s="6" t="s">
        <v>1111</v>
      </c>
      <c r="M199" s="6" t="s">
        <v>1849</v>
      </c>
      <c r="N199" s="6" t="s">
        <v>822</v>
      </c>
    </row>
    <row r="200" spans="8:14" ht="12" x14ac:dyDescent="0.35">
      <c r="H200" s="6" t="s">
        <v>1112</v>
      </c>
      <c r="I200" s="6" t="s">
        <v>1113</v>
      </c>
      <c r="J200" s="6" t="s">
        <v>1114</v>
      </c>
      <c r="K200" s="6" t="s">
        <v>1115</v>
      </c>
      <c r="L200" s="6" t="s">
        <v>1116</v>
      </c>
      <c r="M200" s="6" t="s">
        <v>1849</v>
      </c>
      <c r="N200" s="6" t="s">
        <v>822</v>
      </c>
    </row>
    <row r="201" spans="8:14" ht="12" x14ac:dyDescent="0.35">
      <c r="H201" s="6" t="s">
        <v>1117</v>
      </c>
      <c r="I201" s="6" t="s">
        <v>1118</v>
      </c>
      <c r="J201" s="6" t="s">
        <v>1119</v>
      </c>
      <c r="K201" s="6" t="s">
        <v>1120</v>
      </c>
      <c r="L201" s="6" t="s">
        <v>1121</v>
      </c>
      <c r="M201" s="6" t="s">
        <v>1849</v>
      </c>
      <c r="N201" s="6" t="s">
        <v>822</v>
      </c>
    </row>
    <row r="202" spans="8:14" ht="12" x14ac:dyDescent="0.35">
      <c r="H202" s="6" t="s">
        <v>1122</v>
      </c>
      <c r="I202" s="6" t="s">
        <v>1123</v>
      </c>
      <c r="J202" s="6" t="s">
        <v>1124</v>
      </c>
      <c r="K202" s="6" t="s">
        <v>1125</v>
      </c>
      <c r="L202" s="6" t="s">
        <v>1126</v>
      </c>
      <c r="M202" s="6" t="s">
        <v>1849</v>
      </c>
      <c r="N202" s="124" t="s">
        <v>823</v>
      </c>
    </row>
    <row r="203" spans="8:14" ht="12" x14ac:dyDescent="0.35">
      <c r="H203" s="6" t="s">
        <v>1127</v>
      </c>
      <c r="I203" s="6" t="s">
        <v>1128</v>
      </c>
      <c r="J203" s="6" t="s">
        <v>1129</v>
      </c>
      <c r="K203" s="6"/>
      <c r="L203" s="6"/>
      <c r="M203" s="6" t="s">
        <v>1849</v>
      </c>
      <c r="N203" s="124" t="s">
        <v>823</v>
      </c>
    </row>
    <row r="204" spans="8:14" ht="12" x14ac:dyDescent="0.35">
      <c r="H204" s="6" t="s">
        <v>1130</v>
      </c>
      <c r="I204" s="6" t="s">
        <v>1131</v>
      </c>
      <c r="J204" s="6" t="s">
        <v>1132</v>
      </c>
      <c r="K204" s="6" t="s">
        <v>1133</v>
      </c>
      <c r="L204" s="6" t="s">
        <v>1134</v>
      </c>
      <c r="M204" s="123" t="s">
        <v>1849</v>
      </c>
      <c r="N204" s="125" t="s">
        <v>825</v>
      </c>
    </row>
  </sheetData>
  <sheetProtection algorithmName="SHA-512" hashValue="T99W7lrb/+V1T3QZY0ZMjoCqk99RSv3GzCRhTB8xmTKpLVd6hC1m2VZ6JWZCNwEr+RIcq9SyMhCDsecgU0Snmg==" saltValue="pL4W2XL24/X4b1jCXMyhGg==" spinCount="100000" sheet="1" objects="1" scenarios="1" formatCells="0" autoFilter="0"/>
  <sortState xmlns:xlrd2="http://schemas.microsoft.com/office/spreadsheetml/2017/richdata2" ref="A3:F160">
    <sortCondition ref="C3:C160"/>
    <sortCondition ref="A3:A160"/>
  </sortState>
  <mergeCells count="8">
    <mergeCell ref="T15:U15"/>
    <mergeCell ref="T23:U23"/>
    <mergeCell ref="T31:U31"/>
    <mergeCell ref="T37:U37"/>
    <mergeCell ref="A1:F1"/>
    <mergeCell ref="H1:N1"/>
    <mergeCell ref="P1:R1"/>
    <mergeCell ref="T1:U1"/>
  </mergeCells>
  <phoneticPr fontId="0" type="noConversion"/>
  <pageMargins left="0.45" right="0.44" top="0.36" bottom="0.4" header="0.23" footer="0.32"/>
  <pageSetup paperSize="9" scale="54" fitToWidth="3" orientation="portrait" r:id="rId1"/>
  <headerFooter alignWithMargins="0"/>
  <colBreaks count="1" manualBreakCount="1">
    <brk id="1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H52"/>
  <sheetViews>
    <sheetView showGridLines="0" zoomScale="85" zoomScaleNormal="85" workbookViewId="0">
      <selection sqref="A1:H1"/>
    </sheetView>
  </sheetViews>
  <sheetFormatPr defaultColWidth="8" defaultRowHeight="12" x14ac:dyDescent="0.35"/>
  <cols>
    <col min="1" max="1" width="6" style="161" bestFit="1" customWidth="1"/>
    <col min="2" max="2" width="10.3046875" style="161" bestFit="1" customWidth="1"/>
    <col min="3" max="3" width="5.3046875" style="161" bestFit="1" customWidth="1"/>
    <col min="4" max="4" width="19.3046875" style="161" customWidth="1"/>
    <col min="5" max="5" width="14.3046875" style="161" customWidth="1"/>
    <col min="6" max="6" width="27.4609375" style="161" bestFit="1" customWidth="1"/>
    <col min="7" max="7" width="13.84375" style="161" bestFit="1" customWidth="1"/>
    <col min="8" max="8" width="86.4609375" style="161" customWidth="1"/>
    <col min="9" max="16384" width="8" style="161"/>
  </cols>
  <sheetData>
    <row r="1" spans="1:8" x14ac:dyDescent="0.35">
      <c r="A1" s="301" t="str">
        <f>VLOOKUP("G00",tblTrans3Langs[],LangNameID,FALSE) &amp;" ( "&amp;Idiom&amp;" )"</f>
        <v>Instructions to complete the form ( ENG )</v>
      </c>
      <c r="B1" s="301"/>
      <c r="C1" s="301"/>
      <c r="D1" s="301"/>
      <c r="E1" s="301"/>
      <c r="F1" s="301"/>
      <c r="G1" s="301"/>
      <c r="H1" s="301"/>
    </row>
    <row r="2" spans="1:8" x14ac:dyDescent="0.35">
      <c r="A2" s="302" t="str">
        <f>VLOOKUP("G01",tblTrans3Langs[],LangFieldID,FALSE)</f>
        <v>General</v>
      </c>
      <c r="B2" s="302"/>
      <c r="C2" s="302"/>
      <c r="D2" s="302"/>
      <c r="E2" s="302"/>
      <c r="F2" s="302"/>
      <c r="G2" s="162"/>
      <c r="H2" s="163"/>
    </row>
    <row r="3" spans="1:8" x14ac:dyDescent="0.35">
      <c r="A3" s="164" t="s">
        <v>1663</v>
      </c>
      <c r="B3" s="285" t="str">
        <f>VLOOKUP("G01a",tblTrans3Langs[],LangNameID,FALSE)</f>
        <v>Complete as far as possible the Header and Detail sections (don't leave fields empty when information is known)</v>
      </c>
      <c r="C3" s="285"/>
      <c r="D3" s="285"/>
      <c r="E3" s="285"/>
      <c r="F3" s="285"/>
      <c r="G3" s="285"/>
      <c r="H3" s="285"/>
    </row>
    <row r="4" spans="1:8" x14ac:dyDescent="0.35">
      <c r="A4" s="164" t="s">
        <v>1664</v>
      </c>
      <c r="B4" s="285" t="str">
        <f>VLOOKUP("G01b",tblTrans3Langs[],LangNameID,FALSE)</f>
        <v>In Header section, only white cells can be filled (manually or by selecting from the Combo Box the corresponding code)</v>
      </c>
      <c r="C4" s="285"/>
      <c r="D4" s="285"/>
      <c r="E4" s="285"/>
      <c r="F4" s="285"/>
      <c r="G4" s="285"/>
      <c r="H4" s="285"/>
    </row>
    <row r="5" spans="1:8" x14ac:dyDescent="0.35">
      <c r="A5" s="164" t="s">
        <v>1665</v>
      </c>
      <c r="B5" s="285" t="str">
        <f>VLOOKUP("G01c",tblTrans3Langs[],LangNameID,FALSE)</f>
        <v>Always use ICCAT standard codes (when element "OTHERS" of various fields is required it must be explicitly described in "Notes")</v>
      </c>
      <c r="C5" s="285"/>
      <c r="D5" s="285"/>
      <c r="E5" s="285"/>
      <c r="F5" s="285"/>
      <c r="G5" s="285"/>
      <c r="H5" s="285"/>
    </row>
    <row r="6" spans="1:8" x14ac:dyDescent="0.35">
      <c r="A6" s="164" t="s">
        <v>1666</v>
      </c>
      <c r="B6" s="285" t="str">
        <f>VLOOKUP("G01d",tblTrans3Langs[],LangNameID,FALSE)</f>
        <v>Recommendation for users with databases: To paste an entire dataset into the Detail section (must have the same structure and format) use "Paste special (values)"</v>
      </c>
      <c r="C6" s="285"/>
      <c r="D6" s="285"/>
      <c r="E6" s="285"/>
      <c r="F6" s="285"/>
      <c r="G6" s="285"/>
      <c r="H6" s="285"/>
    </row>
    <row r="7" spans="1:8" x14ac:dyDescent="0.35">
      <c r="A7" s="164" t="s">
        <v>1685</v>
      </c>
      <c r="B7" s="285" t="str">
        <f>VLOOKUP("G01e",tblTrans3Langs[],LangNameID,FALSE)</f>
        <v>Leave "blank" the fields for which you don't collect information</v>
      </c>
      <c r="C7" s="285"/>
      <c r="D7" s="285"/>
      <c r="E7" s="285"/>
      <c r="F7" s="285"/>
      <c r="G7" s="285"/>
      <c r="H7" s="285"/>
    </row>
    <row r="8" spans="1:8" x14ac:dyDescent="0.35">
      <c r="A8" s="163"/>
      <c r="B8" s="163"/>
      <c r="C8" s="163"/>
      <c r="D8" s="163"/>
      <c r="E8" s="163"/>
      <c r="F8" s="163"/>
      <c r="G8" s="165"/>
      <c r="H8" s="163"/>
    </row>
    <row r="9" spans="1:8" x14ac:dyDescent="0.35">
      <c r="A9" s="286" t="str">
        <f>VLOOKUP("S00",tblTrans3Langs[],LangFieldID,FALSE)</f>
        <v>Specific (by field)</v>
      </c>
      <c r="B9" s="286"/>
      <c r="C9" s="286"/>
      <c r="D9" s="286"/>
      <c r="E9" s="286"/>
      <c r="F9" s="286"/>
      <c r="G9" s="166"/>
      <c r="H9" s="167"/>
    </row>
    <row r="10" spans="1:8" x14ac:dyDescent="0.35">
      <c r="A10" s="168" t="str">
        <f>VLOOKUP("SC01",tblTrans3Langs[],LangFieldID,FALSE)</f>
        <v>Form</v>
      </c>
      <c r="B10" s="168" t="str">
        <f>VLOOKUP("SC02",tblTrans3Langs[],LangFieldID,FALSE)</f>
        <v>Sub-form</v>
      </c>
      <c r="C10" s="168" t="str">
        <f>VLOOKUP("SC03",tblTrans3Langs[],LangFieldID,FALSE)</f>
        <v>Part</v>
      </c>
      <c r="D10" s="168" t="str">
        <f>VLOOKUP("SC04",tblTrans3Langs[],LangFieldID,FALSE)</f>
        <v>Section</v>
      </c>
      <c r="E10" s="168" t="str">
        <f>VLOOKUP("SC05",tblTrans3Langs[],LangFieldID,FALSE)</f>
        <v>Sub-section</v>
      </c>
      <c r="F10" s="168" t="str">
        <f>VLOOKUP("SC06",tblTrans3Langs[],LangFieldID,FALSE)</f>
        <v>Field (name)</v>
      </c>
      <c r="G10" s="169" t="str">
        <f>VLOOKUP("SC07",tblTrans3Langs[],LangFieldID,FALSE)</f>
        <v>Field (format)</v>
      </c>
      <c r="H10" s="168" t="str">
        <f>VLOOKUP("SC08",tblTrans3Langs[],LangFieldID,FALSE)</f>
        <v>Description</v>
      </c>
    </row>
    <row r="11" spans="1:8" x14ac:dyDescent="0.35">
      <c r="A11" s="294" t="str">
        <f>VLOOKUP("T00",tblTrans3Langs[],LangFieldID,FALSE)</f>
        <v>ST10-PrtSmp</v>
      </c>
      <c r="B11" s="294" t="str">
        <f>VLOOKUP("T03",tblTrans3Langs[],LangFieldID,FALSE)</f>
        <v>ST10A</v>
      </c>
      <c r="C11" s="304" t="str">
        <f>VLOOKUP("T02",tblTrans3Langs[],LangFieldID,FALSE)</f>
        <v>Title</v>
      </c>
      <c r="D11" s="304"/>
      <c r="E11" s="304"/>
      <c r="F11" s="170" t="str">
        <f>VLOOKUP("TvERSION",tblTrans3Langs[],LangFieldID,FALSE)</f>
        <v>Version</v>
      </c>
      <c r="G11" s="171" t="str">
        <f>VLOOKUP("TvERSION",tblTrans3Langs[],7,FALSE)</f>
        <v>(fixed)</v>
      </c>
      <c r="H11" s="172" t="str">
        <f>VLOOKUP("TvERSION",tblTrans3Langs[],LangNameID,FALSE)</f>
        <v>Always use the lastest version of this form</v>
      </c>
    </row>
    <row r="12" spans="1:8" x14ac:dyDescent="0.35">
      <c r="A12" s="294"/>
      <c r="B12" s="294"/>
      <c r="C12" s="304"/>
      <c r="D12" s="305"/>
      <c r="E12" s="305"/>
      <c r="F12" s="170" t="str">
        <f>VLOOKUP("tLAng",tblTrans3Langs[],LangFieldID,FALSE)</f>
        <v>Language</v>
      </c>
      <c r="G12" s="171" t="str">
        <f>VLOOKUP("tLang",tblTrans3Langs[],7,FALSE)</f>
        <v>ICCAT code</v>
      </c>
      <c r="H12" s="173" t="str">
        <f>VLOOKUP("tLang",tblTrans3Langs[],LangNameID,FALSE)</f>
        <v>Choose the language (ENG, FRA, ESP) for form translation</v>
      </c>
    </row>
    <row r="13" spans="1:8" x14ac:dyDescent="0.35">
      <c r="A13" s="294"/>
      <c r="B13" s="294"/>
      <c r="C13" s="288" t="str">
        <f>VLOOKUP("H00",tblTrans3Langs[],LangFieldID,FALSE)</f>
        <v>Header</v>
      </c>
      <c r="D13" s="292" t="str">
        <f>VLOOKUP("H10",tblTrans3Langs[],LangFieldID,FALSE)</f>
        <v>Statistical correspondent</v>
      </c>
      <c r="E13" s="299" t="str">
        <f>VLOOKUP("H11",tblTrans3Langs[],LangFieldID,FALSE)</f>
        <v>Identification</v>
      </c>
      <c r="F13" s="174" t="str">
        <f>VLOOKUP("hName",tblTrans3Langs[],LangFieldID,FALSE)</f>
        <v>Name</v>
      </c>
      <c r="G13" s="171" t="str">
        <f>VLOOKUP("hName",tblTrans3Langs[],7,FALSE)</f>
        <v>string</v>
      </c>
      <c r="H13" s="173" t="str">
        <f>VLOOKUP("hName",tblTrans3Langs[],LangNameID,FALSE)</f>
        <v>Name (full OR Name &amp; Surname) of the Statistical Correspondent (officially nominated by the CPC)</v>
      </c>
    </row>
    <row r="14" spans="1:8" x14ac:dyDescent="0.35">
      <c r="A14" s="294"/>
      <c r="B14" s="294"/>
      <c r="C14" s="288"/>
      <c r="D14" s="293"/>
      <c r="E14" s="300"/>
      <c r="F14" s="174" t="str">
        <f>VLOOKUP("hEmail",tblTrans3Langs[],LangFieldID,FALSE)</f>
        <v>E-mail</v>
      </c>
      <c r="G14" s="171" t="str">
        <f>VLOOKUP("hEmail",tblTrans3Langs[],7,FALSE)</f>
        <v>string</v>
      </c>
      <c r="H14" s="173" t="str">
        <f>VLOOKUP("hEmail",tblTrans3Langs[],LangNameID,FALSE)</f>
        <v>Email address of the Statistical Correspondent</v>
      </c>
    </row>
    <row r="15" spans="1:8" x14ac:dyDescent="0.35">
      <c r="A15" s="294"/>
      <c r="B15" s="294"/>
      <c r="C15" s="288"/>
      <c r="D15" s="293"/>
      <c r="E15" s="300"/>
      <c r="F15" s="174" t="str">
        <f>VLOOKUP("hPhone",tblTrans3Langs[],LangFieldID,FALSE)</f>
        <v>Phone</v>
      </c>
      <c r="G15" s="171" t="str">
        <f>VLOOKUP("hPhone",tblTrans3Langs[],7,FALSE)</f>
        <v>string</v>
      </c>
      <c r="H15" s="173" t="str">
        <f>VLOOKUP("hPhone",tblTrans3Langs[],LangNameID,FALSE)</f>
        <v>Telephone number of the Statistical Correspondent</v>
      </c>
    </row>
    <row r="16" spans="1:8" x14ac:dyDescent="0.35">
      <c r="A16" s="294"/>
      <c r="B16" s="294"/>
      <c r="C16" s="288"/>
      <c r="D16" s="293"/>
      <c r="E16" s="300" t="str">
        <f>VLOOKUP("H12",tblTrans3Langs[],LangFieldID,FALSE)</f>
        <v>Affiliation</v>
      </c>
      <c r="F16" s="174" t="str">
        <f>VLOOKUP("hInstit",tblTrans3Langs[],LangFieldID,FALSE)</f>
        <v>Institution</v>
      </c>
      <c r="G16" s="171" t="str">
        <f>VLOOKUP("hInstit",tblTrans3Langs[],7,FALSE)</f>
        <v>string</v>
      </c>
      <c r="H16" s="173" t="str">
        <f>VLOOKUP("hInstit",tblTrans3Langs[],LangNameID,FALSE)</f>
        <v>Institute (ministry, agency, research Institute, etc.) to which the Statistical Correspondent is affiliated</v>
      </c>
    </row>
    <row r="17" spans="1:8" x14ac:dyDescent="0.35">
      <c r="A17" s="294"/>
      <c r="B17" s="294"/>
      <c r="C17" s="288"/>
      <c r="D17" s="293"/>
      <c r="E17" s="300"/>
      <c r="F17" s="174" t="str">
        <f>VLOOKUP("hDepart",tblTrans3Langs[],LangFieldID,FALSE)</f>
        <v>Department</v>
      </c>
      <c r="G17" s="171" t="str">
        <f>VLOOKUP("hDepart",tblTrans3Langs[],7,FALSE)</f>
        <v>string</v>
      </c>
      <c r="H17" s="173" t="str">
        <f>VLOOKUP("hDepart",tblTrans3Langs[],LangNameID,FALSE)</f>
        <v>Department within the Institution, where applicable</v>
      </c>
    </row>
    <row r="18" spans="1:8" x14ac:dyDescent="0.35">
      <c r="A18" s="294"/>
      <c r="B18" s="294"/>
      <c r="C18" s="288"/>
      <c r="D18" s="293"/>
      <c r="E18" s="300"/>
      <c r="F18" s="174" t="str">
        <f>VLOOKUP("hAddress",tblTrans3Langs[],LangFieldID,FALSE)</f>
        <v>Address</v>
      </c>
      <c r="G18" s="171" t="str">
        <f>VLOOKUP("hAddress",tblTrans3Langs[],7,FALSE)</f>
        <v>string</v>
      </c>
      <c r="H18" s="173" t="str">
        <f>VLOOKUP("hAddress",tblTrans3Langs[],LangNameID,FALSE)</f>
        <v>Postal address of the institution (street, number, city, state)</v>
      </c>
    </row>
    <row r="19" spans="1:8" x14ac:dyDescent="0.35">
      <c r="A19" s="294"/>
      <c r="B19" s="294"/>
      <c r="C19" s="288"/>
      <c r="D19" s="293"/>
      <c r="E19" s="300"/>
      <c r="F19" s="174" t="str">
        <f>VLOOKUP("hCountry",tblTrans3Langs[],LangFieldID,FALSE)</f>
        <v>Country</v>
      </c>
      <c r="G19" s="171" t="str">
        <f>VLOOKUP("hCountry",tblTrans3Langs[],7,FALSE)</f>
        <v>ICCAT code</v>
      </c>
      <c r="H19" s="173" t="str">
        <f>VLOOKUP("hCountry",tblTrans3Langs[],LangNameID,FALSE)</f>
        <v>Country in which the Institution is based</v>
      </c>
    </row>
    <row r="20" spans="1:8" x14ac:dyDescent="0.35">
      <c r="A20" s="294"/>
      <c r="B20" s="294"/>
      <c r="C20" s="288"/>
      <c r="D20" s="314" t="str">
        <f>VLOOKUP("H20",tblTrans3Langs[],LangFieldID,FALSE)</f>
        <v>Secretariat use only</v>
      </c>
      <c r="E20" s="175"/>
      <c r="F20" s="99" t="str">
        <f>VLOOKUP("hDaterep",tblTrans3Langs[],LangFieldID,FALSE)</f>
        <v>Date reported</v>
      </c>
      <c r="G20" s="47" t="str">
        <f>VLOOKUP("hDaterep",tblTrans3Langs[],7,FALSE)</f>
        <v>date</v>
      </c>
      <c r="H20" s="61" t="str">
        <f>VLOOKUP("hDaterep",tblTrans3Langs[],LangNameID,FALSE)</f>
        <v>Secretariat use only</v>
      </c>
    </row>
    <row r="21" spans="1:8" x14ac:dyDescent="0.35">
      <c r="A21" s="294"/>
      <c r="B21" s="294"/>
      <c r="C21" s="288"/>
      <c r="D21" s="315"/>
      <c r="E21" s="176"/>
      <c r="F21" s="99" t="str">
        <f>VLOOKUP("hRef",tblTrans3Langs[],LangFieldID,FALSE)</f>
        <v>Reference Nº</v>
      </c>
      <c r="G21" s="47" t="str">
        <f>VLOOKUP("hRef",tblTrans3Langs[],7,FALSE)</f>
        <v>ICCAT code</v>
      </c>
      <c r="H21" s="61" t="str">
        <f>VLOOKUP("hRef",tblTrans3Langs[],LangNameID,FALSE)</f>
        <v>Secretariat use only</v>
      </c>
    </row>
    <row r="22" spans="1:8" x14ac:dyDescent="0.35">
      <c r="A22" s="294"/>
      <c r="B22" s="294"/>
      <c r="C22" s="288"/>
      <c r="D22" s="315"/>
      <c r="E22" s="176"/>
      <c r="F22" s="99" t="str">
        <f>VLOOKUP("hFname",tblTrans3Langs[],LangFieldID,FALSE)</f>
        <v>File name (proposed)</v>
      </c>
      <c r="G22" s="47" t="str">
        <f>VLOOKUP("hFname",tblTrans3Langs[],7,FALSE)</f>
        <v>string</v>
      </c>
      <c r="H22" s="61" t="str">
        <f>VLOOKUP("hFname",tblTrans3Langs[],LangNameID,FALSE)</f>
        <v>Send the form to ICCAT with the proposed file name (if required, suffix it with an ID at the end)</v>
      </c>
    </row>
    <row r="23" spans="1:8" x14ac:dyDescent="0.35">
      <c r="A23" s="294"/>
      <c r="B23" s="294"/>
      <c r="C23" s="288"/>
      <c r="D23" s="315"/>
      <c r="E23" s="177" t="str">
        <f>VLOOKUP("H21",tblTrans3Langs[],LangFieldID,FALSE)</f>
        <v>Filtering criteria</v>
      </c>
      <c r="F23" s="99" t="str">
        <f>VLOOKUP("hFilter1",tblTrans3Langs[],LangFieldID,FALSE)</f>
        <v>Filter 1</v>
      </c>
      <c r="G23" s="47" t="str">
        <f>VLOOKUP("hFilter1",tblTrans3Langs[],7,FALSE)</f>
        <v>boolean</v>
      </c>
      <c r="H23" s="61" t="str">
        <f>VLOOKUP("hFilter1",tblTrans3Langs[],LangNameID,FALSE)</f>
        <v>Secretariat use only</v>
      </c>
    </row>
    <row r="24" spans="1:8" x14ac:dyDescent="0.35">
      <c r="A24" s="294"/>
      <c r="B24" s="294"/>
      <c r="C24" s="288"/>
      <c r="D24" s="316"/>
      <c r="E24" s="178"/>
      <c r="F24" s="99" t="str">
        <f>VLOOKUP("hFilter2",tblTrans3Langs[],LangFieldID,FALSE)</f>
        <v>Filter 2</v>
      </c>
      <c r="G24" s="47" t="str">
        <f>VLOOKUP("hFilter2",tblTrans3Langs[],7,FALSE)</f>
        <v>boolean</v>
      </c>
      <c r="H24" s="61" t="str">
        <f>VLOOKUP("hFilter2",tblTrans3Langs[],LangNameID,FALSE)</f>
        <v>Secretariat use only</v>
      </c>
    </row>
    <row r="25" spans="1:8" x14ac:dyDescent="0.35">
      <c r="A25" s="294"/>
      <c r="B25" s="294"/>
      <c r="C25" s="289"/>
      <c r="D25" s="306" t="str">
        <f>VLOOKUP("H30",tblTrans3Langs[],LangFieldID,FALSE)</f>
        <v>Data set characteristics</v>
      </c>
      <c r="E25" s="307"/>
      <c r="F25" s="179" t="str">
        <f>VLOOKUP("hFlagrep",tblTrans3Langs[],LangFieldID,FALSE)</f>
        <v>Reporting Flag</v>
      </c>
      <c r="G25" s="171" t="str">
        <f>VLOOKUP("hFlagrep",tblTrans3Langs[],7,FALSE)</f>
        <v>ICCAT code</v>
      </c>
      <c r="H25" s="173" t="str">
        <f>VLOOKUP("hFlagrep",tblTrans3Langs[],LangNameID,FALSE)</f>
        <v>Choose the Flag CPC reporting the data (ICCAT codes)</v>
      </c>
    </row>
    <row r="26" spans="1:8" x14ac:dyDescent="0.35">
      <c r="A26" s="294"/>
      <c r="B26" s="294"/>
      <c r="C26" s="289"/>
      <c r="D26" s="308"/>
      <c r="E26" s="309"/>
      <c r="F26" s="179" t="str">
        <f>VLOOKUP("hYearC",tblTrans3Langs[],LangFieldID,FALSE)</f>
        <v>Year (calendar)</v>
      </c>
      <c r="G26" s="171" t="str">
        <f>VLOOKUP("hYearC",tblTrans3Langs[],7,FALSE)</f>
        <v>integer</v>
      </c>
      <c r="H26" s="173" t="str">
        <f>VLOOKUP("hYearC",tblTrans3Langs[],LangNameID,FALSE)</f>
        <v>Calendar year (4 digits) to which the data relate</v>
      </c>
    </row>
    <row r="27" spans="1:8" x14ac:dyDescent="0.35">
      <c r="A27" s="294"/>
      <c r="B27" s="294"/>
      <c r="C27" s="289"/>
      <c r="D27" s="308"/>
      <c r="E27" s="309"/>
      <c r="F27" s="179" t="str">
        <f>VLOOKUP("hLandingPort",tblTrans3Langs[],LangFieldID,FALSE)</f>
        <v>Landing/sampling Port (name)</v>
      </c>
      <c r="G27" s="171" t="str">
        <f>VLOOKUP("hLandingPort",tblTrans3Langs[],7,FALSE)</f>
        <v>string</v>
      </c>
      <c r="H27" s="173" t="str">
        <f>VLOOKUP("hLandingPort",tblTrans3Langs[],LangNameID,FALSE)</f>
        <v>Indicate the port of landing and sampling</v>
      </c>
    </row>
    <row r="28" spans="1:8" x14ac:dyDescent="0.35">
      <c r="A28" s="294"/>
      <c r="B28" s="294"/>
      <c r="C28" s="289"/>
      <c r="D28" s="308"/>
      <c r="E28" s="309"/>
      <c r="F28" s="179" t="str">
        <f>VLOOKUP("hVersion",tblTrans3Langs[],LangFieldID,FALSE)</f>
        <v>Version reported</v>
      </c>
      <c r="G28" s="171" t="str">
        <f>VLOOKUP("hVersion",tblTrans3Langs[],7,FALSE)</f>
        <v>ICCAT code</v>
      </c>
      <c r="H28" s="173" t="str">
        <f>VLOOKUP("hVersion",tblTrans3Langs[],LangNameID,FALSE)</f>
        <v>Specify if this submission is Preliminary (subject to revision) or Final (already validated)</v>
      </c>
    </row>
    <row r="29" spans="1:8" x14ac:dyDescent="0.35">
      <c r="A29" s="294"/>
      <c r="B29" s="294"/>
      <c r="C29" s="289"/>
      <c r="D29" s="310"/>
      <c r="E29" s="311"/>
      <c r="F29" s="179" t="str">
        <f>VLOOKUP("hContent",tblTrans3Langs[],LangFieldID,FALSE)</f>
        <v>Content (data)</v>
      </c>
      <c r="G29" s="171" t="str">
        <f>VLOOKUP("hContent",tblTrans3Langs[],7,FALSE)</f>
        <v>ICCAT code</v>
      </c>
      <c r="H29" s="173" t="str">
        <f>VLOOKUP("hContent",tblTrans3Langs[],LangNameID,FALSE)</f>
        <v>Specify if the overall data content is NEW (full set OR partial set) OR a REVISION (full set OR partial set)</v>
      </c>
    </row>
    <row r="30" spans="1:8" x14ac:dyDescent="0.35">
      <c r="A30" s="294"/>
      <c r="B30" s="294"/>
      <c r="C30" s="290"/>
      <c r="D30" s="312" t="str">
        <f>VLOOKUP("H40",tblTrans3Langs[],LangFieldID,FALSE)</f>
        <v>Other attributes</v>
      </c>
      <c r="E30" s="313"/>
      <c r="F30" s="180" t="str">
        <f>VLOOKUP("hNotes",tblTrans3Langs[],LangFieldID,FALSE)</f>
        <v>Notes</v>
      </c>
      <c r="G30" s="181" t="str">
        <f>VLOOKUP("hNotes",tblTrans3Langs[],7,FALSE)</f>
        <v>string</v>
      </c>
      <c r="H30" s="173" t="str">
        <f>VLOOKUP("hNotes",tblTrans3Langs[],LangNameID,FALSE)</f>
        <v>Add additional (complementary) notes in respect to the overall dataset (if needed)</v>
      </c>
    </row>
    <row r="31" spans="1:8" x14ac:dyDescent="0.35">
      <c r="A31" s="294"/>
      <c r="B31" s="294"/>
      <c r="C31" s="295" t="str">
        <f>VLOOKUP("D00",tblTrans3Langs[],LangFieldID,FALSE)</f>
        <v>Detail</v>
      </c>
      <c r="D31" s="291" t="str">
        <f>VLOOKUP("D10",tblTrans3Langs[],LangFieldID,FALSE)</f>
        <v>Landing operation details</v>
      </c>
      <c r="E31" s="291"/>
      <c r="F31" s="182" t="str">
        <f>VLOOKUP("LandingID",tblTrans3Langs[],LangFieldID,FALSE)</f>
        <v>Landing ID (secuencial number)</v>
      </c>
      <c r="G31" s="171" t="str">
        <f>VLOOKUP("LandingID",tblTrans3Langs[],7,FALSE)</f>
        <v>integer</v>
      </c>
      <c r="H31" s="172" t="str">
        <f>VLOOKUP("LandingID",tblTrans3Langs[],LangNameID,FALSE)</f>
        <v xml:space="preserve">Corresponding "Landing ID" number for this size sample </v>
      </c>
    </row>
    <row r="32" spans="1:8" x14ac:dyDescent="0.35">
      <c r="A32" s="294"/>
      <c r="B32" s="294"/>
      <c r="C32" s="295"/>
      <c r="D32" s="291"/>
      <c r="E32" s="291"/>
      <c r="F32" s="179" t="str">
        <f>VLOOKUP("DtLanding",tblTrans3Langs[],LangFieldID,FALSE)</f>
        <v>Landing date (yyyy/mm/dd)</v>
      </c>
      <c r="G32" s="171" t="str">
        <f>VLOOKUP("DtLanding",tblTrans3Langs[],7,FALSE)</f>
        <v>date</v>
      </c>
      <c r="H32" s="173" t="str">
        <f>VLOOKUP("DtLanding",tblTrans3Langs[],LangNameID,FALSE)</f>
        <v>Specify the date of the landing operation (e.g. 2014/03/25 format)</v>
      </c>
    </row>
    <row r="33" spans="1:8" x14ac:dyDescent="0.35">
      <c r="A33" s="294"/>
      <c r="B33" s="294"/>
      <c r="C33" s="295"/>
      <c r="D33" s="291"/>
      <c r="E33" s="291"/>
      <c r="F33" s="182" t="str">
        <f>VLOOKUP("ICCATSerialNo",tblTrans3Langs[],LangFieldID,FALSE)</f>
        <v>Vessel ICCAT Serial number</v>
      </c>
      <c r="G33" s="171" t="str">
        <f>VLOOKUP("ICCATSerialNo",tblTrans3Langs[],7,FALSE)</f>
        <v>ICCAT code</v>
      </c>
      <c r="H33" s="173" t="str">
        <f>VLOOKUP("ICCATSerialNo",tblTrans3Langs[],LangNameID,FALSE)</f>
        <v>Enter the ICCAT Vessel Serial Number if applicable</v>
      </c>
    </row>
    <row r="34" spans="1:8" x14ac:dyDescent="0.35">
      <c r="A34" s="294"/>
      <c r="B34" s="294"/>
      <c r="C34" s="295"/>
      <c r="D34" s="291"/>
      <c r="E34" s="291"/>
      <c r="F34" s="179" t="str">
        <f>VLOOKUP("VesselName",tblTrans3Langs[],LangFieldID,FALSE)</f>
        <v>Vessel name (latin)</v>
      </c>
      <c r="G34" s="171" t="str">
        <f>VLOOKUP("VesselName",tblTrans3Langs[],7,FALSE)</f>
        <v>string</v>
      </c>
      <c r="H34" s="173" t="str">
        <f>VLOOKUP("VesselName",tblTrans3Langs[],LangNameID,FALSE)</f>
        <v>Vessel name in latin script</v>
      </c>
    </row>
    <row r="35" spans="1:8" x14ac:dyDescent="0.35">
      <c r="A35" s="294"/>
      <c r="B35" s="294"/>
      <c r="C35" s="295"/>
      <c r="D35" s="291"/>
      <c r="E35" s="291"/>
      <c r="F35" s="179" t="str">
        <f>VLOOKUP('ST10A-PrtSmp'!$E$26,tblTrans3Langs[],LangFieldID,FALSE)</f>
        <v>Vessel National Register number</v>
      </c>
      <c r="G35" s="171" t="str">
        <f>VLOOKUP('ST10A-PrtSmp'!$E$26,tblTrans3Langs[],7,FALSE)</f>
        <v>string</v>
      </c>
      <c r="H35" s="173" t="str">
        <f>VLOOKUP('ST10A-PrtSmp'!$E$26,tblTrans3Langs[],LangNameID,FALSE)</f>
        <v>If the vessel does not have an ICCAT Serial Number, please enter National Register Number</v>
      </c>
    </row>
    <row r="36" spans="1:8" x14ac:dyDescent="0.35">
      <c r="A36" s="294"/>
      <c r="B36" s="294"/>
      <c r="C36" s="295"/>
      <c r="D36" s="291"/>
      <c r="E36" s="291"/>
      <c r="F36" s="179" t="str">
        <f>VLOOKUP("FlagVesCd",tblTrans3Langs[],LangFieldID,FALSE)</f>
        <v>Flag of Vessel (cod)</v>
      </c>
      <c r="G36" s="171" t="str">
        <f>VLOOKUP("FlagVesCd",tblTrans3Langs[],7,FALSE)</f>
        <v>ICCAT code</v>
      </c>
      <c r="H36" s="173" t="str">
        <f>VLOOKUP("FlagVesCd",tblTrans3Langs[],LangNameID,FALSE)</f>
        <v>Choose the flag of the vessel for which the data apply (whether national or foreign flagged vessel)</v>
      </c>
    </row>
    <row r="37" spans="1:8" x14ac:dyDescent="0.35">
      <c r="A37" s="294"/>
      <c r="B37" s="294"/>
      <c r="C37" s="295"/>
      <c r="D37" s="291"/>
      <c r="E37" s="291"/>
      <c r="F37" s="179" t="str">
        <f>VLOOKUP("GearCd",tblTrans3Langs[],LangFieldID,FALSE)</f>
        <v>Gear (cod)</v>
      </c>
      <c r="G37" s="171" t="str">
        <f>VLOOKUP("GearCd",tblTrans3Langs[],7,FALSE)</f>
        <v>ICCAT code</v>
      </c>
      <c r="H37" s="173" t="str">
        <f>VLOOKUP("GearCd",tblTrans3Langs[],LangNameID,FALSE)</f>
        <v>Choose the Gear code (ICCAT codes)</v>
      </c>
    </row>
    <row r="38" spans="1:8" x14ac:dyDescent="0.35">
      <c r="A38" s="294"/>
      <c r="B38" s="294"/>
      <c r="C38" s="295"/>
      <c r="D38" s="291" t="str">
        <f>VLOOKUP("D20",tblTrans3Langs[],LangFieldID,FALSE)</f>
        <v>Landings (YFT, BET, SKJ)</v>
      </c>
      <c r="E38" s="303" t="s">
        <v>27</v>
      </c>
      <c r="F38" s="57" t="str">
        <f>VLOOKUP("YFTw",tblTrans3Langs[],LangFieldID,FALSE)</f>
        <v>Weight (kg)</v>
      </c>
      <c r="G38" s="47" t="str">
        <f>VLOOKUP("YFTw",tblTrans3Langs[],7,FALSE)</f>
        <v>float</v>
      </c>
      <c r="H38" s="61" t="str">
        <f>VLOOKUP("YFTw",tblTrans3Langs[],LangNameID,FALSE)</f>
        <v>Indicate the landed catch (kg) for each of the tuna species</v>
      </c>
    </row>
    <row r="39" spans="1:8" x14ac:dyDescent="0.35">
      <c r="A39" s="294"/>
      <c r="B39" s="294"/>
      <c r="C39" s="295"/>
      <c r="D39" s="291"/>
      <c r="E39" s="303"/>
      <c r="F39" s="57" t="str">
        <f>VLOOKUP("YFTpt",tblTrans3Langs[],LangFieldID,FALSE)</f>
        <v>Product type</v>
      </c>
      <c r="G39" s="47" t="str">
        <f>VLOOKUP("YFTpt",tblTrans3Langs[],7,FALSE)</f>
        <v>ICCAT code</v>
      </c>
      <c r="H39" s="61" t="str">
        <f>VLOOKUP("YFTpt",tblTrans3Langs[],LangNameID,FALSE)</f>
        <v>Choose the type of product landed (ICCAT Codes)</v>
      </c>
    </row>
    <row r="40" spans="1:8" x14ac:dyDescent="0.35">
      <c r="A40" s="294"/>
      <c r="B40" s="294"/>
      <c r="C40" s="295"/>
      <c r="D40" s="291"/>
      <c r="E40" s="303" t="s">
        <v>40</v>
      </c>
      <c r="F40" s="57" t="str">
        <f>VLOOKUP("BETw",tblTrans3Langs[],LangFieldID,FALSE)</f>
        <v>Weight (kg)</v>
      </c>
      <c r="G40" s="47" t="str">
        <f>VLOOKUP("BETw",tblTrans3Langs[],7,FALSE)</f>
        <v>float</v>
      </c>
      <c r="H40" s="61" t="str">
        <f>VLOOKUP("BETw",tblTrans3Langs[],LangNameID,FALSE)</f>
        <v>Indicate the landed catch (kg) for each of the tuna species</v>
      </c>
    </row>
    <row r="41" spans="1:8" x14ac:dyDescent="0.35">
      <c r="A41" s="294"/>
      <c r="B41" s="294"/>
      <c r="C41" s="295"/>
      <c r="D41" s="291"/>
      <c r="E41" s="303"/>
      <c r="F41" s="57" t="str">
        <f>VLOOKUP("BETpt",tblTrans3Langs[],LangFieldID,FALSE)</f>
        <v>Product type</v>
      </c>
      <c r="G41" s="47" t="str">
        <f>VLOOKUP("BETpt",tblTrans3Langs[],7,FALSE)</f>
        <v>ICCAT code</v>
      </c>
      <c r="H41" s="61" t="str">
        <f>VLOOKUP("BETpt",tblTrans3Langs[],LangNameID,FALSE)</f>
        <v>Choose the type of product landed (ICCAT Codes)</v>
      </c>
    </row>
    <row r="42" spans="1:8" x14ac:dyDescent="0.35">
      <c r="A42" s="294"/>
      <c r="B42" s="294"/>
      <c r="C42" s="295"/>
      <c r="D42" s="291"/>
      <c r="E42" s="303" t="s">
        <v>56</v>
      </c>
      <c r="F42" s="57" t="str">
        <f>VLOOKUP("SKJw",tblTrans3Langs[],LangFieldID,FALSE)</f>
        <v>Weight (kg)</v>
      </c>
      <c r="G42" s="47" t="str">
        <f>VLOOKUP("SKJw",tblTrans3Langs[],7,FALSE)</f>
        <v>float</v>
      </c>
      <c r="H42" s="61" t="str">
        <f>VLOOKUP("SKJw",tblTrans3Langs[],LangNameID,FALSE)</f>
        <v>Indicate the landed catch (kg) for each of the tuna species</v>
      </c>
    </row>
    <row r="43" spans="1:8" x14ac:dyDescent="0.35">
      <c r="A43" s="294"/>
      <c r="B43" s="294"/>
      <c r="C43" s="295"/>
      <c r="D43" s="291"/>
      <c r="E43" s="303"/>
      <c r="F43" s="57" t="str">
        <f>VLOOKUP("SKJpt",tblTrans3Langs[],LangFieldID,FALSE)</f>
        <v>Product type</v>
      </c>
      <c r="G43" s="47" t="str">
        <f>VLOOKUP("SKJpt",tblTrans3Langs[],7,FALSE)</f>
        <v>ICCAT code</v>
      </c>
      <c r="H43" s="61" t="str">
        <f>VLOOKUP("SKJpt",tblTrans3Langs[],LangNameID,FALSE)</f>
        <v>Choose the type of product landed (ICCAT Codes)</v>
      </c>
    </row>
    <row r="44" spans="1:8" x14ac:dyDescent="0.35">
      <c r="A44" s="294"/>
      <c r="B44" s="294"/>
      <c r="C44" s="295"/>
      <c r="D44" s="303" t="str">
        <f>VLOOKUP("D30",tblTrans3Langs[],LangFieldID,FALSE)</f>
        <v>Sampling (size availability)</v>
      </c>
      <c r="E44" s="303"/>
      <c r="F44" s="97" t="str">
        <f>VLOOKUP("SzDataYN",tblTrans3Langs[],LangFieldID,FALSE)</f>
        <v>Landings with samples (Y/N ?</v>
      </c>
      <c r="G44" s="47" t="str">
        <f>VLOOKUP("SzDataYN",tblTrans3Langs[],7,FALSE)</f>
        <v>boolean</v>
      </c>
      <c r="H44" s="98" t="str">
        <f>VLOOKUP("SzDataYN",tblTrans3Langs[],LangNameID,FALSE)</f>
        <v>Indicate if Size Samples were collected from the corresponding Landing Operation and provide Size data in PRTSMP-SZ page</v>
      </c>
    </row>
    <row r="45" spans="1:8" x14ac:dyDescent="0.35">
      <c r="A45" s="294"/>
      <c r="B45" s="298" t="str">
        <f>VLOOKUP("T04",tblTrans3Langs[],LangFieldID,FALSE)</f>
        <v>ST10B</v>
      </c>
      <c r="C45" s="287" t="str">
        <f>VLOOKUP("H00b",tblTrans3Langs[],LangFieldID,FALSE)</f>
        <v>Header</v>
      </c>
      <c r="D45" s="287"/>
      <c r="E45" s="287"/>
      <c r="F45" s="95" t="str">
        <f>VLOOKUP("H00b",tblTrans3Langs[],LangFieldID,FALSE)</f>
        <v>Header</v>
      </c>
      <c r="G45" s="96" t="str">
        <f>VLOOKUP("H00b",tblTrans3Langs[],7,FALSE)</f>
        <v>(auto)</v>
      </c>
      <c r="H45" s="61" t="str">
        <f>VLOOKUP("H00b",tblTrans3Langs[],LangNameID,FALSE)</f>
        <v>(automatic completion)</v>
      </c>
    </row>
    <row r="46" spans="1:8" x14ac:dyDescent="0.35">
      <c r="A46" s="294"/>
      <c r="B46" s="294"/>
      <c r="C46" s="296" t="str">
        <f>VLOOKUP("D00",tblTrans3Langs[],LangFieldID,FALSE)</f>
        <v>Detail</v>
      </c>
      <c r="D46" s="297" t="str">
        <f>VLOOKUP("D40",tblTrans3Langs[],LangFieldID,FALSE)</f>
        <v>Size Frequency Sample details by landing operation</v>
      </c>
      <c r="E46" s="297"/>
      <c r="F46" s="179" t="str">
        <f>VLOOKUP("szLandingID",tblTrans3Langs[],LangFieldID,FALSE)</f>
        <v>Landing ID (from ST10A)</v>
      </c>
      <c r="G46" s="171" t="str">
        <f>VLOOKUP("szLandingID",tblTrans3Langs[],7,FALSE)</f>
        <v>integer</v>
      </c>
      <c r="H46" s="172" t="str">
        <f>VLOOKUP("szLandingID",tblTrans3Langs[],LangNameID,FALSE)</f>
        <v xml:space="preserve">Corresponding "Landing ID" number for this size sample </v>
      </c>
    </row>
    <row r="47" spans="1:8" x14ac:dyDescent="0.35">
      <c r="A47" s="294"/>
      <c r="B47" s="294"/>
      <c r="C47" s="296"/>
      <c r="D47" s="297"/>
      <c r="E47" s="297"/>
      <c r="F47" s="179" t="str">
        <f>VLOOKUP("SpeciesCd",tblTrans3Langs[],LangFieldID,FALSE)</f>
        <v>Species (cod)</v>
      </c>
      <c r="G47" s="171" t="str">
        <f>VLOOKUP("SpeciesCd",tblTrans3Langs[],7,FALSE)</f>
        <v>ICCAT code</v>
      </c>
      <c r="H47" s="173" t="str">
        <f>VLOOKUP("SpeciesCd",tblTrans3Langs[],LangNameID,FALSE)</f>
        <v>Choose the species code (ICCAT codes)</v>
      </c>
    </row>
    <row r="48" spans="1:8" x14ac:dyDescent="0.35">
      <c r="A48" s="294"/>
      <c r="B48" s="294"/>
      <c r="C48" s="296"/>
      <c r="D48" s="297"/>
      <c r="E48" s="297"/>
      <c r="F48" s="179" t="str">
        <f>VLOOKUP("SzFreqTypCd",tblTrans3Langs[],LangFieldID,FALSE)</f>
        <v>Size class type</v>
      </c>
      <c r="G48" s="171" t="str">
        <f>VLOOKUP("SzFreqTypCd",tblTrans3Langs[],7,FALSE)</f>
        <v>ICCAT code</v>
      </c>
      <c r="H48" s="173" t="str">
        <f>VLOOKUP("SzFreqTypCd",tblTrans3Langs[],LangNameID,FALSE)</f>
        <v>Type of size measurement of sample</v>
      </c>
    </row>
    <row r="49" spans="1:8" x14ac:dyDescent="0.35">
      <c r="A49" s="294"/>
      <c r="B49" s="294"/>
      <c r="C49" s="296"/>
      <c r="D49" s="297"/>
      <c r="E49" s="297"/>
      <c r="F49" s="179" t="str">
        <f>VLOOKUP("SzPTypeCd",tblTrans3Langs[],LangFieldID,FALSE)</f>
        <v>Product type</v>
      </c>
      <c r="G49" s="171" t="str">
        <f>VLOOKUP("SzPTypeCd",tblTrans3Langs[],7,FALSE)</f>
        <v>ICCAT code</v>
      </c>
      <c r="H49" s="173" t="str">
        <f>VLOOKUP("SzPTypeCd",tblTrans3Langs[],LangNameID,FALSE)</f>
        <v>Choose the type of product landed (ICCAT Codes)</v>
      </c>
    </row>
    <row r="50" spans="1:8" x14ac:dyDescent="0.35">
      <c r="A50" s="294"/>
      <c r="B50" s="294"/>
      <c r="C50" s="296"/>
      <c r="D50" s="297"/>
      <c r="E50" s="297"/>
      <c r="F50" s="179" t="str">
        <f>VLOOKUP("SexCd",tblTrans3Langs[],LangFieldID,FALSE)</f>
        <v>Sex code</v>
      </c>
      <c r="G50" s="171" t="str">
        <f>VLOOKUP("SexCd",tblTrans3Langs[],7,FALSE)</f>
        <v>ICCAT code</v>
      </c>
      <c r="H50" s="173" t="str">
        <f>VLOOKUP("SexCd",tblTrans3Langs[],LangNameID,FALSE)</f>
        <v>Sex code ID: Male (M), Female (F), Inmature (i), Unknown (U)</v>
      </c>
    </row>
    <row r="51" spans="1:8" x14ac:dyDescent="0.35">
      <c r="A51" s="294"/>
      <c r="B51" s="294"/>
      <c r="C51" s="296"/>
      <c r="D51" s="297"/>
      <c r="E51" s="297"/>
      <c r="F51" s="179" t="str">
        <f>VLOOKUP("LenghCm",tblTrans3Langs[],LangFieldID,FALSE)</f>
        <v>Size (cm)</v>
      </c>
      <c r="G51" s="171" t="str">
        <f>VLOOKUP("LenghCm",tblTrans3Langs[],7,FALSE)</f>
        <v>float</v>
      </c>
      <c r="H51" s="173" t="str">
        <f>VLOOKUP("LenghCm",tblTrans3Langs[],LangNameID,FALSE)</f>
        <v>Size measurement in centimeters (cm)</v>
      </c>
    </row>
    <row r="52" spans="1:8" ht="24" x14ac:dyDescent="0.35">
      <c r="A52" s="294"/>
      <c r="B52" s="294"/>
      <c r="C52" s="296"/>
      <c r="D52" s="297"/>
      <c r="E52" s="297"/>
      <c r="F52" s="179" t="str">
        <f>VLOOKUP("Notes",tblTrans3Langs[],LangFieldID,FALSE)</f>
        <v>Notes</v>
      </c>
      <c r="G52" s="171" t="str">
        <f>VLOOKUP("Notes",tblTrans3Langs[],7,FALSE)</f>
        <v>string</v>
      </c>
      <c r="H52" s="183" t="str">
        <f>VLOOKUP("Notes",tblTrans3Langs[],LangNameID,FALSE)</f>
        <v>Free form field to provide any other information relevant to the collection of observer data for the given strata. Also used to clarify when the option "OTH" is selected in previous fields</v>
      </c>
    </row>
  </sheetData>
  <sheetProtection algorithmName="SHA-512" hashValue="bxDE4QiIeXXmGnPl4HJYizY2xbPYspIXjDuuZQdI/owYc3/Cgs+vUaK/RE6CkvgE3naXmKcgOCSE+Cv5cIXgnw==" saltValue="l+evrLYttIj+sUQ67r3lhA==" spinCount="100000" sheet="1" objects="1" scenarios="1" formatCells="0" autoFilter="0"/>
  <mergeCells count="29">
    <mergeCell ref="D44:E44"/>
    <mergeCell ref="C11:E12"/>
    <mergeCell ref="E38:E39"/>
    <mergeCell ref="E40:E41"/>
    <mergeCell ref="E42:E43"/>
    <mergeCell ref="D25:E29"/>
    <mergeCell ref="D30:E30"/>
    <mergeCell ref="D20:D24"/>
    <mergeCell ref="A1:H1"/>
    <mergeCell ref="A2:F2"/>
    <mergeCell ref="B3:H3"/>
    <mergeCell ref="B4:H4"/>
    <mergeCell ref="B5:H5"/>
    <mergeCell ref="B6:H6"/>
    <mergeCell ref="B7:H7"/>
    <mergeCell ref="A9:F9"/>
    <mergeCell ref="C45:E45"/>
    <mergeCell ref="C13:C30"/>
    <mergeCell ref="D38:D43"/>
    <mergeCell ref="D13:D19"/>
    <mergeCell ref="A11:A52"/>
    <mergeCell ref="C31:C44"/>
    <mergeCell ref="B11:B44"/>
    <mergeCell ref="C46:C52"/>
    <mergeCell ref="D46:E52"/>
    <mergeCell ref="B45:B52"/>
    <mergeCell ref="D31:E37"/>
    <mergeCell ref="E13:E15"/>
    <mergeCell ref="E16:E19"/>
  </mergeCells>
  <pageMargins left="0.7" right="0.7" top="0.75" bottom="0.75" header="0.3" footer="0.3"/>
  <pageSetup paperSize="256" scale="71"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4B6D77-E306-49EF-8780-1D4C2729027C}">
  <dimension ref="A1:G10"/>
  <sheetViews>
    <sheetView zoomScaleNormal="100" workbookViewId="0">
      <selection sqref="A1:F1"/>
    </sheetView>
  </sheetViews>
  <sheetFormatPr defaultColWidth="9.07421875" defaultRowHeight="12" x14ac:dyDescent="0.35"/>
  <cols>
    <col min="1" max="1" width="6.4609375" style="6" customWidth="1"/>
    <col min="2" max="2" width="7.4609375" style="6" customWidth="1"/>
    <col min="3" max="3" width="6.84375" style="6" customWidth="1"/>
    <col min="4" max="4" width="77.07421875" style="6" customWidth="1"/>
    <col min="5" max="5" width="11" style="6" bestFit="1" customWidth="1"/>
    <col min="6" max="6" width="15.3046875" style="6" bestFit="1" customWidth="1"/>
    <col min="7" max="7" width="11.69140625" style="6" bestFit="1" customWidth="1"/>
    <col min="8" max="16384" width="9.07421875" style="6"/>
  </cols>
  <sheetData>
    <row r="1" spans="1:7" ht="18.45" x14ac:dyDescent="0.35">
      <c r="A1" s="320" t="s">
        <v>2008</v>
      </c>
      <c r="B1" s="320"/>
      <c r="C1" s="320"/>
      <c r="D1" s="320"/>
      <c r="E1" s="320"/>
      <c r="F1" s="320"/>
    </row>
    <row r="3" spans="1:7" x14ac:dyDescent="0.35">
      <c r="A3" s="138" t="str">
        <f>VLOOKUP("SC01",tblTrans3Langs[],LangFieldID,FALSE)</f>
        <v>Form</v>
      </c>
      <c r="B3" s="139" t="s">
        <v>2007</v>
      </c>
      <c r="C3" s="139" t="s">
        <v>1578</v>
      </c>
      <c r="D3" s="139" t="s">
        <v>428</v>
      </c>
      <c r="E3" s="139" t="s">
        <v>2006</v>
      </c>
      <c r="F3" s="139" t="s">
        <v>2005</v>
      </c>
      <c r="G3" s="138" t="str">
        <f>"Status ("&amp;LEFT('ST10A-PrtSmp'!Q2,4)&amp;")"</f>
        <v>Status (2024)</v>
      </c>
    </row>
    <row r="4" spans="1:7" x14ac:dyDescent="0.35">
      <c r="A4" s="317" t="str">
        <f>VLOOKUP("T00",tblTrans3Langs[],LangFieldID,FALSE)</f>
        <v>ST10-PrtSmp</v>
      </c>
      <c r="B4" s="321">
        <v>1</v>
      </c>
      <c r="C4" s="137" t="s">
        <v>1663</v>
      </c>
      <c r="D4" s="136" t="s">
        <v>2004</v>
      </c>
      <c r="E4" s="135" t="s">
        <v>2000</v>
      </c>
      <c r="F4" s="134" t="str">
        <f>"{"&amp;LEFT('ST10A-PrtSmp'!Q2,4)&amp;"a}*"</f>
        <v>{2024a}*</v>
      </c>
      <c r="G4" s="130" t="s">
        <v>1997</v>
      </c>
    </row>
    <row r="5" spans="1:7" x14ac:dyDescent="0.35">
      <c r="A5" s="318"/>
      <c r="B5" s="322"/>
      <c r="C5" s="5" t="s">
        <v>1664</v>
      </c>
      <c r="D5" s="133" t="s">
        <v>2003</v>
      </c>
      <c r="E5" s="6" t="s">
        <v>2000</v>
      </c>
      <c r="F5" s="131" t="s">
        <v>2002</v>
      </c>
      <c r="G5" s="130" t="s">
        <v>1997</v>
      </c>
    </row>
    <row r="6" spans="1:7" x14ac:dyDescent="0.35">
      <c r="A6" s="318"/>
      <c r="B6" s="323"/>
      <c r="C6" s="129" t="s">
        <v>1665</v>
      </c>
      <c r="D6" s="132" t="s">
        <v>2001</v>
      </c>
      <c r="E6" s="123" t="s">
        <v>2000</v>
      </c>
      <c r="F6" s="127" t="s">
        <v>1999</v>
      </c>
      <c r="G6" s="130" t="s">
        <v>1997</v>
      </c>
    </row>
    <row r="7" spans="1:7" x14ac:dyDescent="0.35">
      <c r="A7" s="318"/>
      <c r="B7" s="321">
        <v>2</v>
      </c>
      <c r="C7" s="5"/>
      <c r="D7" s="144" t="s">
        <v>2009</v>
      </c>
      <c r="E7" s="145" t="s">
        <v>1998</v>
      </c>
      <c r="F7" s="146" t="s">
        <v>2010</v>
      </c>
      <c r="G7" s="147" t="s">
        <v>1587</v>
      </c>
    </row>
    <row r="8" spans="1:7" x14ac:dyDescent="0.35">
      <c r="A8" s="319"/>
      <c r="B8" s="323"/>
      <c r="C8" s="129"/>
      <c r="D8" s="123"/>
      <c r="E8" s="128"/>
      <c r="F8" s="127"/>
      <c r="G8" s="126"/>
    </row>
    <row r="10" spans="1:7" x14ac:dyDescent="0.35">
      <c r="A10" s="324" t="s">
        <v>2205</v>
      </c>
      <c r="B10" s="324"/>
      <c r="C10" s="324"/>
      <c r="D10" s="324"/>
      <c r="E10" s="324"/>
      <c r="F10" s="324"/>
      <c r="G10" s="324"/>
    </row>
  </sheetData>
  <sheetProtection algorithmName="SHA-512" hashValue="ZOe98JHfoUaV3M8ZSNo+aEn/IFa/Z6w5lE+zjlOx0AXaqTjhA4WcE6LuL6MBtgQMnplTymu7MiE2mYOe1HToEw==" saltValue="2judaoRMxc4fRbPDczE4uw==" spinCount="100000" sheet="1" objects="1" scenarios="1"/>
  <mergeCells count="5">
    <mergeCell ref="A4:A8"/>
    <mergeCell ref="A1:F1"/>
    <mergeCell ref="B4:B6"/>
    <mergeCell ref="B7:B8"/>
    <mergeCell ref="A10:G10"/>
  </mergeCell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M82"/>
  <sheetViews>
    <sheetView topLeftCell="A42" zoomScale="115" zoomScaleNormal="115" workbookViewId="0">
      <selection activeCell="A82" sqref="A82"/>
    </sheetView>
  </sheetViews>
  <sheetFormatPr defaultColWidth="9.07421875" defaultRowHeight="10.75" x14ac:dyDescent="0.3"/>
  <cols>
    <col min="1" max="1" width="9.4609375" style="9" bestFit="1" customWidth="1"/>
    <col min="2" max="2" width="6.07421875" style="9" bestFit="1" customWidth="1"/>
    <col min="3" max="3" width="6.07421875" style="9" customWidth="1"/>
    <col min="4" max="4" width="8.69140625" style="9" bestFit="1" customWidth="1"/>
    <col min="5" max="5" width="8" style="9" bestFit="1" customWidth="1"/>
    <col min="6" max="6" width="8.84375" style="9" bestFit="1" customWidth="1"/>
    <col min="7" max="7" width="9.84375" style="9" bestFit="1" customWidth="1"/>
    <col min="8" max="10" width="29.84375" style="9" customWidth="1"/>
    <col min="11" max="13" width="53.84375" style="9" customWidth="1"/>
    <col min="14" max="16384" width="9.07421875" style="9"/>
  </cols>
  <sheetData>
    <row r="1" spans="1:13" x14ac:dyDescent="0.3">
      <c r="A1" s="325" t="s">
        <v>1749</v>
      </c>
      <c r="B1" s="325"/>
      <c r="C1" s="325"/>
      <c r="D1" s="325"/>
      <c r="E1" s="325"/>
      <c r="F1" s="325"/>
      <c r="H1" s="58" t="s">
        <v>1750</v>
      </c>
      <c r="I1" s="59">
        <f>IF(Idiom="ENG",8,IF(Idiom="FRA",9,10))</f>
        <v>8</v>
      </c>
      <c r="K1" s="148"/>
    </row>
    <row r="2" spans="1:13" x14ac:dyDescent="0.3">
      <c r="A2" s="10"/>
      <c r="B2" s="10"/>
      <c r="C2" s="10"/>
      <c r="D2" s="10"/>
      <c r="E2" s="10"/>
      <c r="F2" s="10"/>
      <c r="G2" s="10"/>
      <c r="H2" s="58" t="s">
        <v>1751</v>
      </c>
      <c r="I2" s="59">
        <f>IF(Idiom="ENG",11,IF(Idiom="FRA",12,13))</f>
        <v>11</v>
      </c>
    </row>
    <row r="4" spans="1:13" x14ac:dyDescent="0.3">
      <c r="A4" s="148" t="s">
        <v>1576</v>
      </c>
      <c r="B4" s="148" t="s">
        <v>1577</v>
      </c>
      <c r="C4" s="148" t="s">
        <v>1858</v>
      </c>
      <c r="D4" s="148" t="s">
        <v>1860</v>
      </c>
      <c r="E4" s="148" t="s">
        <v>464</v>
      </c>
      <c r="F4" s="148" t="s">
        <v>1578</v>
      </c>
      <c r="G4" s="148" t="s">
        <v>1579</v>
      </c>
      <c r="H4" s="148" t="s">
        <v>1580</v>
      </c>
      <c r="I4" s="148" t="s">
        <v>1581</v>
      </c>
      <c r="J4" s="148" t="s">
        <v>1582</v>
      </c>
      <c r="K4" s="148" t="s">
        <v>1583</v>
      </c>
      <c r="L4" s="148" t="s">
        <v>1584</v>
      </c>
      <c r="M4" s="148" t="s">
        <v>1585</v>
      </c>
    </row>
    <row r="5" spans="1:13" x14ac:dyDescent="0.3">
      <c r="A5" s="149" t="s">
        <v>1586</v>
      </c>
      <c r="B5" s="150">
        <v>785</v>
      </c>
      <c r="C5" s="150" t="s">
        <v>1859</v>
      </c>
      <c r="D5" s="151" t="s">
        <v>1765</v>
      </c>
      <c r="E5" s="150" t="s">
        <v>1861</v>
      </c>
      <c r="F5" s="151" t="s">
        <v>471</v>
      </c>
      <c r="G5" s="151" t="s">
        <v>1587</v>
      </c>
      <c r="H5" s="150" t="s">
        <v>602</v>
      </c>
      <c r="I5" s="150" t="s">
        <v>602</v>
      </c>
      <c r="J5" s="150" t="s">
        <v>602</v>
      </c>
      <c r="K5" s="151" t="s">
        <v>2020</v>
      </c>
      <c r="L5" s="151" t="s">
        <v>2021</v>
      </c>
      <c r="M5" s="151" t="s">
        <v>2022</v>
      </c>
    </row>
    <row r="6" spans="1:13" ht="21.45" x14ac:dyDescent="0.3">
      <c r="A6" s="152" t="s">
        <v>1588</v>
      </c>
      <c r="B6" s="150">
        <v>786</v>
      </c>
      <c r="C6" s="150" t="s">
        <v>1859</v>
      </c>
      <c r="D6" s="151" t="s">
        <v>1765</v>
      </c>
      <c r="E6" s="150" t="s">
        <v>1861</v>
      </c>
      <c r="F6" s="151" t="s">
        <v>1589</v>
      </c>
      <c r="G6" s="151" t="s">
        <v>1587</v>
      </c>
      <c r="H6" s="150" t="s">
        <v>1590</v>
      </c>
      <c r="I6" s="150" t="s">
        <v>1591</v>
      </c>
      <c r="J6" s="150" t="s">
        <v>1592</v>
      </c>
      <c r="K6" s="151" t="s">
        <v>441</v>
      </c>
      <c r="L6" s="151" t="s">
        <v>442</v>
      </c>
      <c r="M6" s="151" t="s">
        <v>454</v>
      </c>
    </row>
    <row r="7" spans="1:13" x14ac:dyDescent="0.3">
      <c r="A7" s="153" t="s">
        <v>1762</v>
      </c>
      <c r="B7" s="150">
        <v>787</v>
      </c>
      <c r="C7" s="150" t="s">
        <v>1859</v>
      </c>
      <c r="D7" s="151" t="s">
        <v>1765</v>
      </c>
      <c r="E7" s="150" t="s">
        <v>1861</v>
      </c>
      <c r="F7" s="150" t="s">
        <v>1594</v>
      </c>
      <c r="G7" s="150" t="s">
        <v>1587</v>
      </c>
      <c r="H7" s="150" t="s">
        <v>1763</v>
      </c>
      <c r="I7" s="150" t="s">
        <v>1766</v>
      </c>
      <c r="J7" s="150" t="s">
        <v>1767</v>
      </c>
      <c r="K7" s="151" t="s">
        <v>1768</v>
      </c>
      <c r="L7" s="151" t="s">
        <v>1769</v>
      </c>
      <c r="M7" s="151" t="s">
        <v>1770</v>
      </c>
    </row>
    <row r="8" spans="1:13" x14ac:dyDescent="0.3">
      <c r="A8" s="152" t="s">
        <v>1593</v>
      </c>
      <c r="B8" s="150">
        <v>788</v>
      </c>
      <c r="C8" s="150" t="s">
        <v>1859</v>
      </c>
      <c r="D8" s="151" t="s">
        <v>1765</v>
      </c>
      <c r="E8" s="150" t="s">
        <v>1861</v>
      </c>
      <c r="F8" s="151" t="s">
        <v>1594</v>
      </c>
      <c r="G8" s="151" t="s">
        <v>1587</v>
      </c>
      <c r="H8" s="150" t="s">
        <v>1765</v>
      </c>
      <c r="I8" s="150" t="s">
        <v>1765</v>
      </c>
      <c r="J8" s="150" t="s">
        <v>1765</v>
      </c>
      <c r="K8" s="151" t="s">
        <v>1801</v>
      </c>
      <c r="L8" s="151" t="s">
        <v>1862</v>
      </c>
      <c r="M8" s="151" t="s">
        <v>1802</v>
      </c>
    </row>
    <row r="9" spans="1:13" x14ac:dyDescent="0.3">
      <c r="A9" s="152" t="s">
        <v>1595</v>
      </c>
      <c r="B9" s="150">
        <v>789</v>
      </c>
      <c r="C9" s="150" t="s">
        <v>1859</v>
      </c>
      <c r="D9" s="151" t="s">
        <v>1764</v>
      </c>
      <c r="E9" s="150" t="s">
        <v>1861</v>
      </c>
      <c r="F9" s="151" t="s">
        <v>1594</v>
      </c>
      <c r="G9" s="151" t="s">
        <v>1587</v>
      </c>
      <c r="H9" s="150" t="s">
        <v>1764</v>
      </c>
      <c r="I9" s="150" t="s">
        <v>1764</v>
      </c>
      <c r="J9" s="150" t="s">
        <v>1764</v>
      </c>
      <c r="K9" s="151" t="s">
        <v>1803</v>
      </c>
      <c r="L9" s="151" t="s">
        <v>577</v>
      </c>
      <c r="M9" s="151" t="s">
        <v>588</v>
      </c>
    </row>
    <row r="10" spans="1:13" x14ac:dyDescent="0.3">
      <c r="A10" s="154" t="s">
        <v>1863</v>
      </c>
      <c r="B10" s="150">
        <v>790</v>
      </c>
      <c r="C10" s="150" t="s">
        <v>1859</v>
      </c>
      <c r="D10" s="151" t="s">
        <v>1765</v>
      </c>
      <c r="E10" s="150" t="s">
        <v>1861</v>
      </c>
      <c r="F10" s="151" t="s">
        <v>1596</v>
      </c>
      <c r="G10" s="151" t="s">
        <v>1597</v>
      </c>
      <c r="H10" s="150" t="s">
        <v>472</v>
      </c>
      <c r="I10" s="150" t="s">
        <v>472</v>
      </c>
      <c r="J10" s="150" t="s">
        <v>1598</v>
      </c>
      <c r="K10" s="151" t="s">
        <v>1864</v>
      </c>
      <c r="L10" s="151" t="s">
        <v>1865</v>
      </c>
      <c r="M10" s="151" t="s">
        <v>1866</v>
      </c>
    </row>
    <row r="11" spans="1:13" x14ac:dyDescent="0.3">
      <c r="A11" s="154" t="s">
        <v>1867</v>
      </c>
      <c r="B11" s="150">
        <v>791</v>
      </c>
      <c r="C11" s="150" t="s">
        <v>1859</v>
      </c>
      <c r="D11" s="151" t="s">
        <v>1765</v>
      </c>
      <c r="E11" s="150" t="s">
        <v>1861</v>
      </c>
      <c r="F11" s="151" t="s">
        <v>1596</v>
      </c>
      <c r="G11" s="151" t="s">
        <v>1599</v>
      </c>
      <c r="H11" s="150" t="s">
        <v>465</v>
      </c>
      <c r="I11" s="150" t="s">
        <v>466</v>
      </c>
      <c r="J11" s="150" t="s">
        <v>467</v>
      </c>
      <c r="K11" s="151" t="s">
        <v>1868</v>
      </c>
      <c r="L11" s="151" t="s">
        <v>1869</v>
      </c>
      <c r="M11" s="151" t="s">
        <v>1870</v>
      </c>
    </row>
    <row r="12" spans="1:13" x14ac:dyDescent="0.3">
      <c r="A12" s="149" t="s">
        <v>1600</v>
      </c>
      <c r="B12" s="150">
        <v>792</v>
      </c>
      <c r="C12" s="150" t="s">
        <v>1859</v>
      </c>
      <c r="D12" s="151" t="s">
        <v>1765</v>
      </c>
      <c r="E12" s="150" t="s">
        <v>427</v>
      </c>
      <c r="F12" s="151" t="s">
        <v>471</v>
      </c>
      <c r="G12" s="151" t="s">
        <v>1587</v>
      </c>
      <c r="H12" s="150" t="s">
        <v>427</v>
      </c>
      <c r="I12" s="150" t="s">
        <v>1601</v>
      </c>
      <c r="J12" s="150" t="s">
        <v>1602</v>
      </c>
      <c r="K12" s="151" t="s">
        <v>1587</v>
      </c>
      <c r="L12" s="151" t="s">
        <v>1587</v>
      </c>
      <c r="M12" s="151" t="s">
        <v>1587</v>
      </c>
    </row>
    <row r="13" spans="1:13" x14ac:dyDescent="0.3">
      <c r="A13" s="154" t="s">
        <v>1960</v>
      </c>
      <c r="B13" s="150">
        <v>793</v>
      </c>
      <c r="C13" s="150" t="s">
        <v>1859</v>
      </c>
      <c r="D13" s="151" t="s">
        <v>1764</v>
      </c>
      <c r="E13" s="150" t="s">
        <v>427</v>
      </c>
      <c r="F13" s="150" t="s">
        <v>471</v>
      </c>
      <c r="G13" s="151" t="s">
        <v>1603</v>
      </c>
      <c r="H13" s="150" t="s">
        <v>427</v>
      </c>
      <c r="I13" s="150" t="s">
        <v>1601</v>
      </c>
      <c r="J13" s="150" t="s">
        <v>1602</v>
      </c>
      <c r="K13" s="151" t="s">
        <v>1856</v>
      </c>
      <c r="L13" s="151" t="s">
        <v>1857</v>
      </c>
      <c r="M13" s="151" t="s">
        <v>1871</v>
      </c>
    </row>
    <row r="14" spans="1:13" x14ac:dyDescent="0.3">
      <c r="A14" s="149" t="s">
        <v>1604</v>
      </c>
      <c r="B14" s="150">
        <v>794</v>
      </c>
      <c r="C14" s="150" t="s">
        <v>1859</v>
      </c>
      <c r="D14" s="151" t="s">
        <v>1765</v>
      </c>
      <c r="E14" s="150" t="s">
        <v>427</v>
      </c>
      <c r="F14" s="151" t="s">
        <v>1594</v>
      </c>
      <c r="G14" s="151" t="s">
        <v>1587</v>
      </c>
      <c r="H14" s="150" t="s">
        <v>0</v>
      </c>
      <c r="I14" s="150" t="s">
        <v>443</v>
      </c>
      <c r="J14" s="150" t="s">
        <v>1605</v>
      </c>
      <c r="K14" s="151" t="s">
        <v>1587</v>
      </c>
      <c r="L14" s="151" t="s">
        <v>1587</v>
      </c>
      <c r="M14" s="151" t="s">
        <v>1587</v>
      </c>
    </row>
    <row r="15" spans="1:13" x14ac:dyDescent="0.3">
      <c r="A15" s="152" t="s">
        <v>1606</v>
      </c>
      <c r="B15" s="150">
        <v>795</v>
      </c>
      <c r="C15" s="150" t="s">
        <v>1859</v>
      </c>
      <c r="D15" s="151" t="s">
        <v>1765</v>
      </c>
      <c r="E15" s="150" t="s">
        <v>427</v>
      </c>
      <c r="F15" s="151" t="s">
        <v>1607</v>
      </c>
      <c r="G15" s="151" t="s">
        <v>1587</v>
      </c>
      <c r="H15" s="150" t="s">
        <v>1683</v>
      </c>
      <c r="I15" s="150" t="s">
        <v>1683</v>
      </c>
      <c r="J15" s="150" t="s">
        <v>1684</v>
      </c>
      <c r="K15" s="151" t="s">
        <v>1587</v>
      </c>
      <c r="L15" s="151" t="s">
        <v>1587</v>
      </c>
      <c r="M15" s="151" t="s">
        <v>1587</v>
      </c>
    </row>
    <row r="16" spans="1:13" x14ac:dyDescent="0.3">
      <c r="A16" s="152" t="s">
        <v>1608</v>
      </c>
      <c r="B16" s="150">
        <v>796</v>
      </c>
      <c r="C16" s="150" t="s">
        <v>1859</v>
      </c>
      <c r="D16" s="151" t="s">
        <v>1765</v>
      </c>
      <c r="E16" s="150" t="s">
        <v>427</v>
      </c>
      <c r="F16" s="151" t="s">
        <v>1607</v>
      </c>
      <c r="G16" s="151" t="s">
        <v>1587</v>
      </c>
      <c r="H16" s="150" t="s">
        <v>11</v>
      </c>
      <c r="I16" s="150" t="s">
        <v>11</v>
      </c>
      <c r="J16" s="150" t="s">
        <v>456</v>
      </c>
      <c r="K16" s="151" t="s">
        <v>1587</v>
      </c>
      <c r="L16" s="151" t="s">
        <v>1587</v>
      </c>
      <c r="M16" s="151" t="s">
        <v>1587</v>
      </c>
    </row>
    <row r="17" spans="1:13" x14ac:dyDescent="0.3">
      <c r="A17" s="152" t="s">
        <v>1609</v>
      </c>
      <c r="B17" s="150">
        <v>797</v>
      </c>
      <c r="C17" s="150" t="s">
        <v>1859</v>
      </c>
      <c r="D17" s="151" t="s">
        <v>1765</v>
      </c>
      <c r="E17" s="150" t="s">
        <v>427</v>
      </c>
      <c r="F17" s="151" t="s">
        <v>1594</v>
      </c>
      <c r="G17" s="151" t="s">
        <v>1587</v>
      </c>
      <c r="H17" s="150" t="s">
        <v>9</v>
      </c>
      <c r="I17" s="150" t="s">
        <v>1610</v>
      </c>
      <c r="J17" s="150" t="s">
        <v>1611</v>
      </c>
      <c r="K17" s="151" t="s">
        <v>1587</v>
      </c>
      <c r="L17" s="151" t="s">
        <v>1587</v>
      </c>
      <c r="M17" s="151" t="s">
        <v>1587</v>
      </c>
    </row>
    <row r="18" spans="1:13" x14ac:dyDescent="0.3">
      <c r="A18" s="155" t="s">
        <v>1612</v>
      </c>
      <c r="B18" s="150">
        <v>798</v>
      </c>
      <c r="C18" s="150" t="s">
        <v>1859</v>
      </c>
      <c r="D18" s="151" t="s">
        <v>1765</v>
      </c>
      <c r="E18" s="150" t="s">
        <v>427</v>
      </c>
      <c r="F18" s="156" t="s">
        <v>1607</v>
      </c>
      <c r="G18" s="156" t="s">
        <v>1587</v>
      </c>
      <c r="H18" s="157" t="s">
        <v>1613</v>
      </c>
      <c r="I18" s="150" t="s">
        <v>1614</v>
      </c>
      <c r="J18" s="150" t="s">
        <v>1615</v>
      </c>
      <c r="K18" s="151" t="s">
        <v>1587</v>
      </c>
      <c r="L18" s="151" t="s">
        <v>1587</v>
      </c>
      <c r="M18" s="151" t="s">
        <v>1587</v>
      </c>
    </row>
    <row r="19" spans="1:13" x14ac:dyDescent="0.3">
      <c r="A19" s="152" t="s">
        <v>1616</v>
      </c>
      <c r="B19" s="150">
        <v>799</v>
      </c>
      <c r="C19" s="150" t="s">
        <v>1859</v>
      </c>
      <c r="D19" s="151" t="s">
        <v>1765</v>
      </c>
      <c r="E19" s="150" t="s">
        <v>427</v>
      </c>
      <c r="F19" s="151" t="s">
        <v>1594</v>
      </c>
      <c r="G19" s="151" t="s">
        <v>1587</v>
      </c>
      <c r="H19" s="150" t="s">
        <v>8</v>
      </c>
      <c r="I19" s="150" t="s">
        <v>1872</v>
      </c>
      <c r="J19" s="150" t="s">
        <v>1873</v>
      </c>
      <c r="K19" s="151" t="s">
        <v>1587</v>
      </c>
      <c r="L19" s="151" t="s">
        <v>1587</v>
      </c>
      <c r="M19" s="151" t="s">
        <v>1587</v>
      </c>
    </row>
    <row r="20" spans="1:13" x14ac:dyDescent="0.3">
      <c r="A20" s="152" t="s">
        <v>1617</v>
      </c>
      <c r="B20" s="150">
        <v>800</v>
      </c>
      <c r="C20" s="150" t="s">
        <v>1859</v>
      </c>
      <c r="D20" s="151" t="s">
        <v>1765</v>
      </c>
      <c r="E20" s="150" t="s">
        <v>427</v>
      </c>
      <c r="F20" s="151" t="s">
        <v>1607</v>
      </c>
      <c r="G20" s="151" t="s">
        <v>1587</v>
      </c>
      <c r="H20" s="150" t="s">
        <v>1800</v>
      </c>
      <c r="I20" s="150" t="s">
        <v>1670</v>
      </c>
      <c r="J20" s="150" t="s">
        <v>1671</v>
      </c>
      <c r="K20" s="151" t="s">
        <v>1991</v>
      </c>
      <c r="L20" s="151" t="s">
        <v>1993</v>
      </c>
      <c r="M20" s="151" t="s">
        <v>1992</v>
      </c>
    </row>
    <row r="21" spans="1:13" x14ac:dyDescent="0.3">
      <c r="A21" s="149" t="s">
        <v>1618</v>
      </c>
      <c r="B21" s="150">
        <v>801</v>
      </c>
      <c r="C21" s="150" t="s">
        <v>1859</v>
      </c>
      <c r="D21" s="151" t="s">
        <v>1765</v>
      </c>
      <c r="E21" s="150" t="s">
        <v>427</v>
      </c>
      <c r="F21" s="151" t="s">
        <v>1594</v>
      </c>
      <c r="G21" s="151" t="s">
        <v>1587</v>
      </c>
      <c r="H21" s="150" t="s">
        <v>1619</v>
      </c>
      <c r="I21" s="150" t="s">
        <v>1620</v>
      </c>
      <c r="J21" s="150" t="s">
        <v>1621</v>
      </c>
      <c r="K21" s="151" t="s">
        <v>1587</v>
      </c>
      <c r="L21" s="151" t="s">
        <v>1587</v>
      </c>
      <c r="M21" s="151" t="s">
        <v>1587</v>
      </c>
    </row>
    <row r="22" spans="1:13" ht="21.45" x14ac:dyDescent="0.3">
      <c r="A22" s="149" t="s">
        <v>1622</v>
      </c>
      <c r="B22" s="150">
        <v>802</v>
      </c>
      <c r="C22" s="150" t="s">
        <v>1859</v>
      </c>
      <c r="D22" s="151" t="s">
        <v>1765</v>
      </c>
      <c r="E22" s="150" t="s">
        <v>427</v>
      </c>
      <c r="F22" s="151" t="s">
        <v>1596</v>
      </c>
      <c r="G22" s="150" t="s">
        <v>1771</v>
      </c>
      <c r="H22" s="150" t="s">
        <v>1</v>
      </c>
      <c r="I22" s="150" t="s">
        <v>444</v>
      </c>
      <c r="J22" s="150" t="s">
        <v>453</v>
      </c>
      <c r="K22" s="151" t="s">
        <v>1874</v>
      </c>
      <c r="L22" s="151" t="s">
        <v>1875</v>
      </c>
      <c r="M22" s="151" t="s">
        <v>1876</v>
      </c>
    </row>
    <row r="23" spans="1:13" x14ac:dyDescent="0.3">
      <c r="A23" s="149" t="s">
        <v>1623</v>
      </c>
      <c r="B23" s="150">
        <v>803</v>
      </c>
      <c r="C23" s="150" t="s">
        <v>1859</v>
      </c>
      <c r="D23" s="151" t="s">
        <v>1765</v>
      </c>
      <c r="E23" s="150" t="s">
        <v>427</v>
      </c>
      <c r="F23" s="151" t="s">
        <v>1596</v>
      </c>
      <c r="G23" s="150" t="s">
        <v>1771</v>
      </c>
      <c r="H23" s="157" t="s">
        <v>2</v>
      </c>
      <c r="I23" s="157" t="s">
        <v>2</v>
      </c>
      <c r="J23" s="157" t="s">
        <v>2</v>
      </c>
      <c r="K23" s="156" t="s">
        <v>1877</v>
      </c>
      <c r="L23" s="156" t="s">
        <v>1878</v>
      </c>
      <c r="M23" s="156" t="s">
        <v>1879</v>
      </c>
    </row>
    <row r="24" spans="1:13" x14ac:dyDescent="0.3">
      <c r="A24" s="149" t="s">
        <v>1624</v>
      </c>
      <c r="B24" s="150">
        <v>804</v>
      </c>
      <c r="C24" s="150" t="s">
        <v>1859</v>
      </c>
      <c r="D24" s="151" t="s">
        <v>1765</v>
      </c>
      <c r="E24" s="150" t="s">
        <v>427</v>
      </c>
      <c r="F24" s="151" t="s">
        <v>1596</v>
      </c>
      <c r="G24" s="150" t="s">
        <v>1771</v>
      </c>
      <c r="H24" s="150" t="s">
        <v>3</v>
      </c>
      <c r="I24" s="150" t="s">
        <v>445</v>
      </c>
      <c r="J24" s="150" t="s">
        <v>455</v>
      </c>
      <c r="K24" s="151" t="s">
        <v>1880</v>
      </c>
      <c r="L24" s="151" t="s">
        <v>1881</v>
      </c>
      <c r="M24" s="151" t="s">
        <v>1882</v>
      </c>
    </row>
    <row r="25" spans="1:13" ht="21.45" x14ac:dyDescent="0.3">
      <c r="A25" s="149" t="s">
        <v>1625</v>
      </c>
      <c r="B25" s="150">
        <v>805</v>
      </c>
      <c r="C25" s="150" t="s">
        <v>1859</v>
      </c>
      <c r="D25" s="151" t="s">
        <v>1765</v>
      </c>
      <c r="E25" s="150" t="s">
        <v>427</v>
      </c>
      <c r="F25" s="151" t="s">
        <v>1596</v>
      </c>
      <c r="G25" s="150" t="s">
        <v>1771</v>
      </c>
      <c r="H25" s="150" t="s">
        <v>4</v>
      </c>
      <c r="I25" s="150" t="s">
        <v>4</v>
      </c>
      <c r="J25" s="150" t="s">
        <v>457</v>
      </c>
      <c r="K25" s="151" t="s">
        <v>1883</v>
      </c>
      <c r="L25" s="151" t="s">
        <v>1884</v>
      </c>
      <c r="M25" s="151" t="s">
        <v>1885</v>
      </c>
    </row>
    <row r="26" spans="1:13" x14ac:dyDescent="0.3">
      <c r="A26" s="149" t="s">
        <v>1626</v>
      </c>
      <c r="B26" s="150">
        <v>806</v>
      </c>
      <c r="C26" s="150" t="s">
        <v>1859</v>
      </c>
      <c r="D26" s="151" t="s">
        <v>1765</v>
      </c>
      <c r="E26" s="150" t="s">
        <v>427</v>
      </c>
      <c r="F26" s="151" t="s">
        <v>1596</v>
      </c>
      <c r="G26" s="150" t="s">
        <v>1771</v>
      </c>
      <c r="H26" s="150" t="s">
        <v>5</v>
      </c>
      <c r="I26" s="150" t="s">
        <v>446</v>
      </c>
      <c r="J26" s="150" t="s">
        <v>458</v>
      </c>
      <c r="K26" s="151" t="s">
        <v>1886</v>
      </c>
      <c r="L26" s="151" t="s">
        <v>1887</v>
      </c>
      <c r="M26" s="151" t="s">
        <v>1888</v>
      </c>
    </row>
    <row r="27" spans="1:13" x14ac:dyDescent="0.3">
      <c r="A27" s="149" t="s">
        <v>1627</v>
      </c>
      <c r="B27" s="150">
        <v>807</v>
      </c>
      <c r="C27" s="150" t="s">
        <v>1859</v>
      </c>
      <c r="D27" s="151" t="s">
        <v>1765</v>
      </c>
      <c r="E27" s="150" t="s">
        <v>427</v>
      </c>
      <c r="F27" s="151" t="s">
        <v>1596</v>
      </c>
      <c r="G27" s="150" t="s">
        <v>1771</v>
      </c>
      <c r="H27" s="150" t="s">
        <v>6</v>
      </c>
      <c r="I27" s="150" t="s">
        <v>447</v>
      </c>
      <c r="J27" s="150" t="s">
        <v>459</v>
      </c>
      <c r="K27" s="151" t="s">
        <v>1889</v>
      </c>
      <c r="L27" s="151" t="s">
        <v>1890</v>
      </c>
      <c r="M27" s="151" t="s">
        <v>1891</v>
      </c>
    </row>
    <row r="28" spans="1:13" x14ac:dyDescent="0.3">
      <c r="A28" s="149" t="s">
        <v>1628</v>
      </c>
      <c r="B28" s="150">
        <v>808</v>
      </c>
      <c r="C28" s="150" t="s">
        <v>1859</v>
      </c>
      <c r="D28" s="151" t="s">
        <v>1765</v>
      </c>
      <c r="E28" s="150" t="s">
        <v>427</v>
      </c>
      <c r="F28" s="151" t="s">
        <v>1596</v>
      </c>
      <c r="G28" s="151" t="s">
        <v>1599</v>
      </c>
      <c r="H28" s="150" t="s">
        <v>7</v>
      </c>
      <c r="I28" s="150" t="s">
        <v>448</v>
      </c>
      <c r="J28" s="150" t="s">
        <v>460</v>
      </c>
      <c r="K28" s="151" t="s">
        <v>1892</v>
      </c>
      <c r="L28" s="151" t="s">
        <v>1893</v>
      </c>
      <c r="M28" s="151" t="s">
        <v>1894</v>
      </c>
    </row>
    <row r="29" spans="1:13" x14ac:dyDescent="0.3">
      <c r="A29" s="149" t="s">
        <v>1629</v>
      </c>
      <c r="B29" s="150">
        <v>809</v>
      </c>
      <c r="C29" s="150" t="s">
        <v>1859</v>
      </c>
      <c r="D29" s="151" t="s">
        <v>1765</v>
      </c>
      <c r="E29" s="150" t="s">
        <v>427</v>
      </c>
      <c r="F29" s="151" t="s">
        <v>1596</v>
      </c>
      <c r="G29" s="151" t="s">
        <v>1599</v>
      </c>
      <c r="H29" s="150" t="s">
        <v>1630</v>
      </c>
      <c r="I29" s="150" t="s">
        <v>449</v>
      </c>
      <c r="J29" s="150" t="s">
        <v>590</v>
      </c>
      <c r="K29" s="151" t="s">
        <v>1895</v>
      </c>
      <c r="L29" s="151" t="s">
        <v>1896</v>
      </c>
      <c r="M29" s="151" t="s">
        <v>1897</v>
      </c>
    </row>
    <row r="30" spans="1:13" x14ac:dyDescent="0.3">
      <c r="A30" s="149" t="s">
        <v>1631</v>
      </c>
      <c r="B30" s="150">
        <v>810</v>
      </c>
      <c r="C30" s="150" t="s">
        <v>1859</v>
      </c>
      <c r="D30" s="151" t="s">
        <v>1765</v>
      </c>
      <c r="E30" s="150" t="s">
        <v>427</v>
      </c>
      <c r="F30" s="151" t="s">
        <v>1596</v>
      </c>
      <c r="G30" s="151" t="s">
        <v>1632</v>
      </c>
      <c r="H30" s="150" t="s">
        <v>1898</v>
      </c>
      <c r="I30" s="150" t="s">
        <v>1899</v>
      </c>
      <c r="J30" s="150" t="s">
        <v>1900</v>
      </c>
      <c r="K30" s="151" t="s">
        <v>1901</v>
      </c>
      <c r="L30" s="151" t="s">
        <v>1902</v>
      </c>
      <c r="M30" s="151" t="s">
        <v>1903</v>
      </c>
    </row>
    <row r="31" spans="1:13" x14ac:dyDescent="0.3">
      <c r="A31" s="153" t="s">
        <v>1633</v>
      </c>
      <c r="B31" s="150">
        <v>812</v>
      </c>
      <c r="C31" s="150" t="s">
        <v>1859</v>
      </c>
      <c r="D31" s="151" t="s">
        <v>1765</v>
      </c>
      <c r="E31" s="150" t="s">
        <v>427</v>
      </c>
      <c r="F31" s="150" t="s">
        <v>1596</v>
      </c>
      <c r="G31" s="150" t="s">
        <v>1599</v>
      </c>
      <c r="H31" s="150" t="s">
        <v>1634</v>
      </c>
      <c r="I31" s="150" t="s">
        <v>1635</v>
      </c>
      <c r="J31" s="150" t="s">
        <v>1636</v>
      </c>
      <c r="K31" s="151" t="s">
        <v>1904</v>
      </c>
      <c r="L31" s="151" t="s">
        <v>1905</v>
      </c>
      <c r="M31" s="151" t="s">
        <v>1906</v>
      </c>
    </row>
    <row r="32" spans="1:13" ht="21.45" x14ac:dyDescent="0.3">
      <c r="A32" s="154" t="s">
        <v>1797</v>
      </c>
      <c r="B32" s="150">
        <v>813</v>
      </c>
      <c r="C32" s="150" t="s">
        <v>1859</v>
      </c>
      <c r="D32" s="151" t="s">
        <v>1765</v>
      </c>
      <c r="E32" s="150" t="s">
        <v>427</v>
      </c>
      <c r="F32" s="150" t="s">
        <v>1596</v>
      </c>
      <c r="G32" s="150" t="s">
        <v>1599</v>
      </c>
      <c r="H32" s="150" t="s">
        <v>1778</v>
      </c>
      <c r="I32" s="150" t="s">
        <v>1798</v>
      </c>
      <c r="J32" s="150" t="s">
        <v>1799</v>
      </c>
      <c r="K32" s="151" t="s">
        <v>1907</v>
      </c>
      <c r="L32" s="151" t="s">
        <v>1908</v>
      </c>
      <c r="M32" s="151" t="s">
        <v>1909</v>
      </c>
    </row>
    <row r="33" spans="1:13" x14ac:dyDescent="0.3">
      <c r="A33" s="152" t="s">
        <v>1667</v>
      </c>
      <c r="B33" s="150">
        <v>814</v>
      </c>
      <c r="C33" s="150" t="s">
        <v>1859</v>
      </c>
      <c r="D33" s="151" t="s">
        <v>1765</v>
      </c>
      <c r="E33" s="150" t="s">
        <v>427</v>
      </c>
      <c r="F33" s="151" t="s">
        <v>1596</v>
      </c>
      <c r="G33" s="150" t="s">
        <v>1771</v>
      </c>
      <c r="H33" s="150" t="s">
        <v>2015</v>
      </c>
      <c r="I33" s="150" t="s">
        <v>2017</v>
      </c>
      <c r="J33" s="150" t="s">
        <v>2016</v>
      </c>
      <c r="K33" s="151" t="s">
        <v>567</v>
      </c>
      <c r="L33" s="151" t="s">
        <v>579</v>
      </c>
      <c r="M33" s="151" t="s">
        <v>591</v>
      </c>
    </row>
    <row r="34" spans="1:13" x14ac:dyDescent="0.3">
      <c r="A34" s="152" t="s">
        <v>1637</v>
      </c>
      <c r="B34" s="150">
        <v>815</v>
      </c>
      <c r="C34" s="150" t="s">
        <v>1859</v>
      </c>
      <c r="D34" s="151" t="s">
        <v>1765</v>
      </c>
      <c r="E34" s="150" t="s">
        <v>427</v>
      </c>
      <c r="F34" s="151" t="s">
        <v>1596</v>
      </c>
      <c r="G34" s="151" t="s">
        <v>1638</v>
      </c>
      <c r="H34" s="150" t="s">
        <v>1639</v>
      </c>
      <c r="I34" s="150" t="s">
        <v>1640</v>
      </c>
      <c r="J34" s="150" t="s">
        <v>1641</v>
      </c>
      <c r="K34" s="151" t="s">
        <v>9</v>
      </c>
      <c r="L34" s="151" t="s">
        <v>1610</v>
      </c>
      <c r="M34" s="151" t="s">
        <v>1642</v>
      </c>
    </row>
    <row r="35" spans="1:13" x14ac:dyDescent="0.3">
      <c r="A35" s="149" t="s">
        <v>1643</v>
      </c>
      <c r="B35" s="150">
        <v>816</v>
      </c>
      <c r="C35" s="150" t="s">
        <v>1859</v>
      </c>
      <c r="D35" s="151" t="s">
        <v>1765</v>
      </c>
      <c r="E35" s="150" t="s">
        <v>427</v>
      </c>
      <c r="F35" s="151" t="s">
        <v>1596</v>
      </c>
      <c r="G35" s="151" t="s">
        <v>1599</v>
      </c>
      <c r="H35" s="150" t="s">
        <v>1644</v>
      </c>
      <c r="I35" s="150" t="s">
        <v>1645</v>
      </c>
      <c r="J35" s="150" t="s">
        <v>1646</v>
      </c>
      <c r="K35" s="151" t="s">
        <v>9</v>
      </c>
      <c r="L35" s="151" t="s">
        <v>1610</v>
      </c>
      <c r="M35" s="151" t="s">
        <v>1611</v>
      </c>
    </row>
    <row r="36" spans="1:13" ht="21.45" x14ac:dyDescent="0.3">
      <c r="A36" s="152" t="s">
        <v>1647</v>
      </c>
      <c r="B36" s="150">
        <v>817</v>
      </c>
      <c r="C36" s="150" t="s">
        <v>1859</v>
      </c>
      <c r="D36" s="151" t="s">
        <v>1765</v>
      </c>
      <c r="E36" s="150" t="s">
        <v>427</v>
      </c>
      <c r="F36" s="151" t="s">
        <v>1596</v>
      </c>
      <c r="G36" s="150" t="s">
        <v>1771</v>
      </c>
      <c r="H36" s="150" t="s">
        <v>1648</v>
      </c>
      <c r="I36" s="150" t="s">
        <v>1649</v>
      </c>
      <c r="J36" s="150" t="s">
        <v>1650</v>
      </c>
      <c r="K36" s="151" t="s">
        <v>1651</v>
      </c>
      <c r="L36" s="151" t="s">
        <v>1910</v>
      </c>
      <c r="M36" s="151" t="s">
        <v>1652</v>
      </c>
    </row>
    <row r="37" spans="1:13" x14ac:dyDescent="0.3">
      <c r="A37" s="152" t="s">
        <v>1653</v>
      </c>
      <c r="B37" s="150">
        <v>818</v>
      </c>
      <c r="C37" s="150" t="s">
        <v>1859</v>
      </c>
      <c r="D37" s="151" t="s">
        <v>1765</v>
      </c>
      <c r="E37" s="150" t="s">
        <v>427</v>
      </c>
      <c r="F37" s="151" t="s">
        <v>1596</v>
      </c>
      <c r="G37" s="151" t="s">
        <v>1654</v>
      </c>
      <c r="H37" s="150" t="s">
        <v>1655</v>
      </c>
      <c r="I37" s="150" t="s">
        <v>1656</v>
      </c>
      <c r="J37" s="150" t="s">
        <v>1657</v>
      </c>
      <c r="K37" s="151" t="s">
        <v>9</v>
      </c>
      <c r="L37" s="151" t="s">
        <v>1610</v>
      </c>
      <c r="M37" s="151" t="s">
        <v>1642</v>
      </c>
    </row>
    <row r="38" spans="1:13" x14ac:dyDescent="0.3">
      <c r="A38" s="152" t="s">
        <v>1658</v>
      </c>
      <c r="B38" s="150">
        <v>819</v>
      </c>
      <c r="C38" s="150" t="s">
        <v>1859</v>
      </c>
      <c r="D38" s="151" t="s">
        <v>1765</v>
      </c>
      <c r="E38" s="150" t="s">
        <v>427</v>
      </c>
      <c r="F38" s="151" t="s">
        <v>1596</v>
      </c>
      <c r="G38" s="151" t="s">
        <v>1654</v>
      </c>
      <c r="H38" s="150" t="s">
        <v>1659</v>
      </c>
      <c r="I38" s="150" t="s">
        <v>1660</v>
      </c>
      <c r="J38" s="150" t="s">
        <v>1661</v>
      </c>
      <c r="K38" s="151" t="s">
        <v>9</v>
      </c>
      <c r="L38" s="151" t="s">
        <v>1610</v>
      </c>
      <c r="M38" s="151" t="s">
        <v>1642</v>
      </c>
    </row>
    <row r="39" spans="1:13" ht="21.45" x14ac:dyDescent="0.3">
      <c r="A39" s="152" t="s">
        <v>1662</v>
      </c>
      <c r="B39" s="150">
        <v>820</v>
      </c>
      <c r="C39" s="150" t="s">
        <v>1859</v>
      </c>
      <c r="D39" s="151" t="s">
        <v>1765</v>
      </c>
      <c r="E39" s="150" t="s">
        <v>427</v>
      </c>
      <c r="F39" s="151" t="s">
        <v>1596</v>
      </c>
      <c r="G39" s="150" t="s">
        <v>1771</v>
      </c>
      <c r="H39" s="150" t="s">
        <v>426</v>
      </c>
      <c r="I39" s="150" t="s">
        <v>426</v>
      </c>
      <c r="J39" s="150" t="s">
        <v>462</v>
      </c>
      <c r="K39" s="151" t="s">
        <v>1911</v>
      </c>
      <c r="L39" s="151" t="s">
        <v>1912</v>
      </c>
      <c r="M39" s="151" t="s">
        <v>1913</v>
      </c>
    </row>
    <row r="40" spans="1:13" x14ac:dyDescent="0.3">
      <c r="A40" s="153" t="s">
        <v>1777</v>
      </c>
      <c r="B40" s="150">
        <v>821</v>
      </c>
      <c r="C40" s="150" t="s">
        <v>1859</v>
      </c>
      <c r="D40" s="151" t="s">
        <v>1765</v>
      </c>
      <c r="E40" s="150" t="s">
        <v>1748</v>
      </c>
      <c r="F40" s="150" t="s">
        <v>471</v>
      </c>
      <c r="G40" s="150" t="s">
        <v>1587</v>
      </c>
      <c r="H40" s="150" t="s">
        <v>1748</v>
      </c>
      <c r="I40" s="150" t="s">
        <v>1812</v>
      </c>
      <c r="J40" s="150" t="s">
        <v>1813</v>
      </c>
      <c r="K40" s="151" t="s">
        <v>1587</v>
      </c>
      <c r="L40" s="151" t="s">
        <v>1587</v>
      </c>
      <c r="M40" s="151" t="s">
        <v>1587</v>
      </c>
    </row>
    <row r="41" spans="1:13" ht="32.15" x14ac:dyDescent="0.3">
      <c r="A41" s="149" t="s">
        <v>1814</v>
      </c>
      <c r="B41" s="150">
        <v>822</v>
      </c>
      <c r="C41" s="150" t="s">
        <v>1859</v>
      </c>
      <c r="D41" s="151" t="s">
        <v>1765</v>
      </c>
      <c r="E41" s="150" t="s">
        <v>1748</v>
      </c>
      <c r="F41" s="151" t="s">
        <v>1589</v>
      </c>
      <c r="G41" s="151" t="s">
        <v>1587</v>
      </c>
      <c r="H41" s="150" t="s">
        <v>1668</v>
      </c>
      <c r="I41" s="150" t="s">
        <v>1669</v>
      </c>
      <c r="J41" s="150" t="s">
        <v>1785</v>
      </c>
      <c r="K41" s="151" t="s">
        <v>1819</v>
      </c>
      <c r="L41" s="151" t="s">
        <v>1914</v>
      </c>
      <c r="M41" s="151" t="s">
        <v>1915</v>
      </c>
    </row>
    <row r="42" spans="1:13" x14ac:dyDescent="0.3">
      <c r="A42" s="149" t="s">
        <v>1780</v>
      </c>
      <c r="B42" s="150">
        <v>823</v>
      </c>
      <c r="C42" s="150" t="s">
        <v>1859</v>
      </c>
      <c r="D42" s="151" t="s">
        <v>1765</v>
      </c>
      <c r="E42" s="150" t="s">
        <v>1748</v>
      </c>
      <c r="F42" s="151" t="s">
        <v>1594</v>
      </c>
      <c r="G42" s="151" t="s">
        <v>1587</v>
      </c>
      <c r="H42" s="150" t="s">
        <v>1784</v>
      </c>
      <c r="I42" s="150" t="s">
        <v>578</v>
      </c>
      <c r="J42" s="150" t="s">
        <v>589</v>
      </c>
      <c r="K42" s="151" t="s">
        <v>1587</v>
      </c>
      <c r="L42" s="151" t="s">
        <v>1587</v>
      </c>
      <c r="M42" s="151" t="s">
        <v>1587</v>
      </c>
    </row>
    <row r="43" spans="1:13" x14ac:dyDescent="0.3">
      <c r="A43" s="149" t="s">
        <v>1781</v>
      </c>
      <c r="B43" s="150">
        <v>824</v>
      </c>
      <c r="C43" s="150" t="s">
        <v>1859</v>
      </c>
      <c r="D43" s="151" t="s">
        <v>1765</v>
      </c>
      <c r="E43" s="150" t="s">
        <v>1748</v>
      </c>
      <c r="F43" s="151" t="s">
        <v>1594</v>
      </c>
      <c r="G43" s="151" t="s">
        <v>1587</v>
      </c>
      <c r="H43" s="150" t="s">
        <v>1804</v>
      </c>
      <c r="I43" s="150" t="s">
        <v>1805</v>
      </c>
      <c r="J43" s="150" t="s">
        <v>1806</v>
      </c>
      <c r="K43" s="151" t="s">
        <v>1587</v>
      </c>
      <c r="L43" s="151" t="s">
        <v>1587</v>
      </c>
      <c r="M43" s="151" t="s">
        <v>1587</v>
      </c>
    </row>
    <row r="44" spans="1:13" x14ac:dyDescent="0.3">
      <c r="A44" s="149" t="s">
        <v>1782</v>
      </c>
      <c r="B44" s="150">
        <v>825</v>
      </c>
      <c r="C44" s="150" t="s">
        <v>1859</v>
      </c>
      <c r="D44" s="151" t="s">
        <v>1765</v>
      </c>
      <c r="E44" s="150" t="s">
        <v>1748</v>
      </c>
      <c r="F44" s="151" t="s">
        <v>1594</v>
      </c>
      <c r="G44" s="151" t="s">
        <v>1587</v>
      </c>
      <c r="H44" s="150" t="s">
        <v>1790</v>
      </c>
      <c r="I44" s="150" t="s">
        <v>1787</v>
      </c>
      <c r="J44" s="150" t="s">
        <v>1786</v>
      </c>
      <c r="K44" s="151" t="s">
        <v>1587</v>
      </c>
      <c r="L44" s="151" t="s">
        <v>1587</v>
      </c>
      <c r="M44" s="151" t="s">
        <v>1587</v>
      </c>
    </row>
    <row r="45" spans="1:13" x14ac:dyDescent="0.3">
      <c r="A45" s="149" t="s">
        <v>1783</v>
      </c>
      <c r="B45" s="150">
        <v>826</v>
      </c>
      <c r="C45" s="150" t="s">
        <v>1859</v>
      </c>
      <c r="D45" s="151" t="s">
        <v>1764</v>
      </c>
      <c r="E45" s="150" t="s">
        <v>1748</v>
      </c>
      <c r="F45" s="151" t="s">
        <v>1594</v>
      </c>
      <c r="G45" s="151" t="s">
        <v>1587</v>
      </c>
      <c r="H45" s="150" t="s">
        <v>549</v>
      </c>
      <c r="I45" s="150" t="s">
        <v>577</v>
      </c>
      <c r="J45" s="150" t="s">
        <v>588</v>
      </c>
      <c r="K45" s="151" t="s">
        <v>1587</v>
      </c>
      <c r="L45" s="151" t="s">
        <v>1587</v>
      </c>
      <c r="M45" s="151" t="s">
        <v>1587</v>
      </c>
    </row>
    <row r="46" spans="1:13" x14ac:dyDescent="0.3">
      <c r="A46" s="149" t="s">
        <v>562</v>
      </c>
      <c r="B46" s="150">
        <v>827</v>
      </c>
      <c r="C46" s="150" t="s">
        <v>1859</v>
      </c>
      <c r="D46" s="151" t="s">
        <v>1765</v>
      </c>
      <c r="E46" s="150" t="s">
        <v>1748</v>
      </c>
      <c r="F46" s="151" t="s">
        <v>1596</v>
      </c>
      <c r="G46" s="151" t="s">
        <v>1632</v>
      </c>
      <c r="H46" s="150" t="s">
        <v>563</v>
      </c>
      <c r="I46" s="150" t="s">
        <v>575</v>
      </c>
      <c r="J46" s="150" t="s">
        <v>601</v>
      </c>
      <c r="K46" s="151" t="s">
        <v>600</v>
      </c>
      <c r="L46" s="151" t="s">
        <v>1916</v>
      </c>
      <c r="M46" s="151" t="s">
        <v>1917</v>
      </c>
    </row>
    <row r="47" spans="1:13" x14ac:dyDescent="0.3">
      <c r="A47" s="149" t="s">
        <v>1807</v>
      </c>
      <c r="B47" s="150">
        <v>828</v>
      </c>
      <c r="C47" s="150" t="s">
        <v>1859</v>
      </c>
      <c r="D47" s="151" t="s">
        <v>1765</v>
      </c>
      <c r="E47" s="150" t="s">
        <v>1748</v>
      </c>
      <c r="F47" s="151" t="s">
        <v>1596</v>
      </c>
      <c r="G47" s="151" t="s">
        <v>1638</v>
      </c>
      <c r="H47" s="150" t="s">
        <v>559</v>
      </c>
      <c r="I47" s="150" t="s">
        <v>573</v>
      </c>
      <c r="J47" s="150" t="s">
        <v>585</v>
      </c>
      <c r="K47" s="151" t="s">
        <v>1918</v>
      </c>
      <c r="L47" s="151" t="s">
        <v>1919</v>
      </c>
      <c r="M47" s="151" t="s">
        <v>592</v>
      </c>
    </row>
    <row r="48" spans="1:13" x14ac:dyDescent="0.3">
      <c r="A48" s="149" t="s">
        <v>1779</v>
      </c>
      <c r="B48" s="150">
        <v>829</v>
      </c>
      <c r="C48" s="150" t="s">
        <v>1859</v>
      </c>
      <c r="D48" s="151" t="s">
        <v>1765</v>
      </c>
      <c r="E48" s="150" t="s">
        <v>1748</v>
      </c>
      <c r="F48" s="151" t="s">
        <v>1596</v>
      </c>
      <c r="G48" s="151" t="s">
        <v>1599</v>
      </c>
      <c r="H48" s="150" t="s">
        <v>560</v>
      </c>
      <c r="I48" s="150" t="s">
        <v>574</v>
      </c>
      <c r="J48" s="150" t="s">
        <v>586</v>
      </c>
      <c r="K48" s="151" t="s">
        <v>1920</v>
      </c>
      <c r="L48" s="151" t="s">
        <v>580</v>
      </c>
      <c r="M48" s="151" t="s">
        <v>593</v>
      </c>
    </row>
    <row r="49" spans="1:13" x14ac:dyDescent="0.3">
      <c r="A49" s="149" t="s">
        <v>1808</v>
      </c>
      <c r="B49" s="150">
        <v>830</v>
      </c>
      <c r="C49" s="150" t="s">
        <v>1859</v>
      </c>
      <c r="D49" s="151" t="s">
        <v>1765</v>
      </c>
      <c r="E49" s="150" t="s">
        <v>1748</v>
      </c>
      <c r="F49" s="151" t="s">
        <v>1596</v>
      </c>
      <c r="G49" s="150" t="s">
        <v>1771</v>
      </c>
      <c r="H49" s="150" t="s">
        <v>1921</v>
      </c>
      <c r="I49" s="150" t="s">
        <v>1922</v>
      </c>
      <c r="J49" s="150" t="s">
        <v>1923</v>
      </c>
      <c r="K49" s="151" t="s">
        <v>1924</v>
      </c>
      <c r="L49" s="151" t="s">
        <v>1925</v>
      </c>
      <c r="M49" s="151" t="s">
        <v>1926</v>
      </c>
    </row>
    <row r="50" spans="1:13" ht="21.45" x14ac:dyDescent="0.3">
      <c r="A50" s="149" t="s">
        <v>1809</v>
      </c>
      <c r="B50" s="150">
        <v>831</v>
      </c>
      <c r="C50" s="150" t="s">
        <v>1859</v>
      </c>
      <c r="D50" s="151" t="s">
        <v>1765</v>
      </c>
      <c r="E50" s="150" t="s">
        <v>1748</v>
      </c>
      <c r="F50" s="151" t="s">
        <v>1596</v>
      </c>
      <c r="G50" s="150" t="s">
        <v>1771</v>
      </c>
      <c r="H50" s="150" t="s">
        <v>561</v>
      </c>
      <c r="I50" s="150" t="s">
        <v>576</v>
      </c>
      <c r="J50" s="150" t="s">
        <v>587</v>
      </c>
      <c r="K50" s="151" t="s">
        <v>1927</v>
      </c>
      <c r="L50" s="151" t="s">
        <v>1928</v>
      </c>
      <c r="M50" s="151" t="s">
        <v>594</v>
      </c>
    </row>
    <row r="51" spans="1:13" ht="21.45" x14ac:dyDescent="0.3">
      <c r="A51" s="149" t="s">
        <v>1810</v>
      </c>
      <c r="B51" s="150">
        <v>832</v>
      </c>
      <c r="C51" s="150" t="s">
        <v>1859</v>
      </c>
      <c r="D51" s="151" t="s">
        <v>1765</v>
      </c>
      <c r="E51" s="150" t="s">
        <v>1748</v>
      </c>
      <c r="F51" s="151" t="s">
        <v>1596</v>
      </c>
      <c r="G51" s="151" t="s">
        <v>1599</v>
      </c>
      <c r="H51" s="157" t="s">
        <v>1929</v>
      </c>
      <c r="I51" s="157" t="s">
        <v>1930</v>
      </c>
      <c r="J51" s="157" t="s">
        <v>1931</v>
      </c>
      <c r="K51" s="156" t="s">
        <v>1932</v>
      </c>
      <c r="L51" s="156" t="s">
        <v>1933</v>
      </c>
      <c r="M51" s="156" t="s">
        <v>1934</v>
      </c>
    </row>
    <row r="52" spans="1:13" x14ac:dyDescent="0.3">
      <c r="A52" s="149" t="s">
        <v>1811</v>
      </c>
      <c r="B52" s="150">
        <v>833</v>
      </c>
      <c r="C52" s="150" t="s">
        <v>1859</v>
      </c>
      <c r="D52" s="151" t="s">
        <v>1765</v>
      </c>
      <c r="E52" s="150" t="s">
        <v>1748</v>
      </c>
      <c r="F52" s="151" t="s">
        <v>1596</v>
      </c>
      <c r="G52" s="151" t="s">
        <v>1599</v>
      </c>
      <c r="H52" s="150" t="s">
        <v>1935</v>
      </c>
      <c r="I52" s="150" t="s">
        <v>1936</v>
      </c>
      <c r="J52" s="150" t="s">
        <v>1937</v>
      </c>
      <c r="K52" s="151" t="s">
        <v>1938</v>
      </c>
      <c r="L52" s="151" t="s">
        <v>1939</v>
      </c>
      <c r="M52" s="151" t="s">
        <v>1940</v>
      </c>
    </row>
    <row r="53" spans="1:13" x14ac:dyDescent="0.3">
      <c r="A53" s="149" t="s">
        <v>564</v>
      </c>
      <c r="B53" s="150">
        <v>834</v>
      </c>
      <c r="C53" s="150" t="s">
        <v>1859</v>
      </c>
      <c r="D53" s="151" t="s">
        <v>1765</v>
      </c>
      <c r="E53" s="150" t="s">
        <v>1748</v>
      </c>
      <c r="F53" s="151" t="s">
        <v>1596</v>
      </c>
      <c r="G53" s="151" t="s">
        <v>1772</v>
      </c>
      <c r="H53" s="150" t="s">
        <v>429</v>
      </c>
      <c r="I53" s="150" t="s">
        <v>452</v>
      </c>
      <c r="J53" s="150" t="s">
        <v>463</v>
      </c>
      <c r="K53" s="151" t="s">
        <v>568</v>
      </c>
      <c r="L53" s="151" t="s">
        <v>581</v>
      </c>
      <c r="M53" s="151" t="s">
        <v>595</v>
      </c>
    </row>
    <row r="54" spans="1:13" x14ac:dyDescent="0.3">
      <c r="A54" s="149" t="s">
        <v>1776</v>
      </c>
      <c r="B54" s="150">
        <v>835</v>
      </c>
      <c r="C54" s="150" t="s">
        <v>1859</v>
      </c>
      <c r="D54" s="151" t="s">
        <v>1765</v>
      </c>
      <c r="E54" s="150" t="s">
        <v>1748</v>
      </c>
      <c r="F54" s="151" t="s">
        <v>1596</v>
      </c>
      <c r="G54" s="151" t="s">
        <v>1599</v>
      </c>
      <c r="H54" s="150" t="s">
        <v>10</v>
      </c>
      <c r="I54" s="150" t="s">
        <v>450</v>
      </c>
      <c r="J54" s="150" t="s">
        <v>461</v>
      </c>
      <c r="K54" s="151" t="s">
        <v>569</v>
      </c>
      <c r="L54" s="151" t="s">
        <v>582</v>
      </c>
      <c r="M54" s="151" t="s">
        <v>596</v>
      </c>
    </row>
    <row r="55" spans="1:13" x14ac:dyDescent="0.3">
      <c r="A55" s="149" t="s">
        <v>565</v>
      </c>
      <c r="B55" s="150">
        <v>836</v>
      </c>
      <c r="C55" s="150" t="s">
        <v>1859</v>
      </c>
      <c r="D55" s="151" t="s">
        <v>1765</v>
      </c>
      <c r="E55" s="150" t="s">
        <v>1748</v>
      </c>
      <c r="F55" s="151" t="s">
        <v>1596</v>
      </c>
      <c r="G55" s="151" t="s">
        <v>1772</v>
      </c>
      <c r="H55" s="150" t="s">
        <v>429</v>
      </c>
      <c r="I55" s="150" t="s">
        <v>452</v>
      </c>
      <c r="J55" s="150" t="s">
        <v>463</v>
      </c>
      <c r="K55" s="151" t="s">
        <v>568</v>
      </c>
      <c r="L55" s="151" t="s">
        <v>581</v>
      </c>
      <c r="M55" s="151" t="s">
        <v>595</v>
      </c>
    </row>
    <row r="56" spans="1:13" x14ac:dyDescent="0.3">
      <c r="A56" s="149" t="s">
        <v>1774</v>
      </c>
      <c r="B56" s="150">
        <v>837</v>
      </c>
      <c r="C56" s="150" t="s">
        <v>1859</v>
      </c>
      <c r="D56" s="151" t="s">
        <v>1765</v>
      </c>
      <c r="E56" s="150" t="s">
        <v>1748</v>
      </c>
      <c r="F56" s="151" t="s">
        <v>1596</v>
      </c>
      <c r="G56" s="151" t="s">
        <v>1599</v>
      </c>
      <c r="H56" s="150" t="s">
        <v>10</v>
      </c>
      <c r="I56" s="150" t="s">
        <v>450</v>
      </c>
      <c r="J56" s="150" t="s">
        <v>461</v>
      </c>
      <c r="K56" s="151" t="s">
        <v>569</v>
      </c>
      <c r="L56" s="151" t="s">
        <v>582</v>
      </c>
      <c r="M56" s="151" t="s">
        <v>596</v>
      </c>
    </row>
    <row r="57" spans="1:13" x14ac:dyDescent="0.3">
      <c r="A57" s="149" t="s">
        <v>566</v>
      </c>
      <c r="B57" s="150">
        <v>838</v>
      </c>
      <c r="C57" s="150" t="s">
        <v>1859</v>
      </c>
      <c r="D57" s="151" t="s">
        <v>1765</v>
      </c>
      <c r="E57" s="150" t="s">
        <v>1748</v>
      </c>
      <c r="F57" s="151" t="s">
        <v>1596</v>
      </c>
      <c r="G57" s="151" t="s">
        <v>1772</v>
      </c>
      <c r="H57" s="150" t="s">
        <v>429</v>
      </c>
      <c r="I57" s="150" t="s">
        <v>452</v>
      </c>
      <c r="J57" s="150" t="s">
        <v>463</v>
      </c>
      <c r="K57" s="151" t="s">
        <v>568</v>
      </c>
      <c r="L57" s="151" t="s">
        <v>581</v>
      </c>
      <c r="M57" s="151" t="s">
        <v>595</v>
      </c>
    </row>
    <row r="58" spans="1:13" x14ac:dyDescent="0.3">
      <c r="A58" s="149" t="s">
        <v>1775</v>
      </c>
      <c r="B58" s="150">
        <v>839</v>
      </c>
      <c r="C58" s="150" t="s">
        <v>1859</v>
      </c>
      <c r="D58" s="151" t="s">
        <v>1765</v>
      </c>
      <c r="E58" s="150" t="s">
        <v>1748</v>
      </c>
      <c r="F58" s="151" t="s">
        <v>1596</v>
      </c>
      <c r="G58" s="151" t="s">
        <v>1599</v>
      </c>
      <c r="H58" s="150" t="s">
        <v>10</v>
      </c>
      <c r="I58" s="150" t="s">
        <v>450</v>
      </c>
      <c r="J58" s="150" t="s">
        <v>461</v>
      </c>
      <c r="K58" s="151" t="s">
        <v>569</v>
      </c>
      <c r="L58" s="151" t="s">
        <v>582</v>
      </c>
      <c r="M58" s="151" t="s">
        <v>596</v>
      </c>
    </row>
    <row r="59" spans="1:13" ht="21.45" x14ac:dyDescent="0.3">
      <c r="A59" s="149" t="s">
        <v>1773</v>
      </c>
      <c r="B59" s="150">
        <v>840</v>
      </c>
      <c r="C59" s="150" t="s">
        <v>1859</v>
      </c>
      <c r="D59" s="151" t="s">
        <v>1765</v>
      </c>
      <c r="E59" s="150" t="s">
        <v>1748</v>
      </c>
      <c r="F59" s="151" t="s">
        <v>1596</v>
      </c>
      <c r="G59" s="151" t="s">
        <v>1654</v>
      </c>
      <c r="H59" s="150" t="s">
        <v>1789</v>
      </c>
      <c r="I59" s="150" t="s">
        <v>1791</v>
      </c>
      <c r="J59" s="150" t="s">
        <v>1788</v>
      </c>
      <c r="K59" s="151" t="s">
        <v>570</v>
      </c>
      <c r="L59" s="151" t="s">
        <v>1941</v>
      </c>
      <c r="M59" s="151" t="s">
        <v>597</v>
      </c>
    </row>
    <row r="60" spans="1:13" x14ac:dyDescent="0.3">
      <c r="A60" s="149" t="s">
        <v>1795</v>
      </c>
      <c r="B60" s="150">
        <v>841</v>
      </c>
      <c r="C60" s="150" t="s">
        <v>1859</v>
      </c>
      <c r="D60" s="151" t="s">
        <v>1764</v>
      </c>
      <c r="E60" s="150" t="s">
        <v>1748</v>
      </c>
      <c r="F60" s="151" t="s">
        <v>1596</v>
      </c>
      <c r="G60" s="151" t="s">
        <v>1632</v>
      </c>
      <c r="H60" s="150" t="s">
        <v>1961</v>
      </c>
      <c r="I60" s="150" t="s">
        <v>1794</v>
      </c>
      <c r="J60" s="150" t="s">
        <v>1793</v>
      </c>
      <c r="K60" s="151" t="s">
        <v>600</v>
      </c>
      <c r="L60" s="151" t="s">
        <v>1916</v>
      </c>
      <c r="M60" s="151" t="s">
        <v>1942</v>
      </c>
    </row>
    <row r="61" spans="1:13" x14ac:dyDescent="0.3">
      <c r="A61" s="149" t="s">
        <v>1575</v>
      </c>
      <c r="B61" s="150">
        <v>842</v>
      </c>
      <c r="C61" s="150" t="s">
        <v>1859</v>
      </c>
      <c r="D61" s="151" t="s">
        <v>1764</v>
      </c>
      <c r="E61" s="150" t="s">
        <v>1748</v>
      </c>
      <c r="F61" s="151" t="s">
        <v>1596</v>
      </c>
      <c r="G61" s="151" t="s">
        <v>1599</v>
      </c>
      <c r="H61" s="150" t="s">
        <v>1943</v>
      </c>
      <c r="I61" s="150" t="s">
        <v>1944</v>
      </c>
      <c r="J61" s="150" t="s">
        <v>1945</v>
      </c>
      <c r="K61" s="151" t="s">
        <v>1946</v>
      </c>
      <c r="L61" s="151" t="s">
        <v>1947</v>
      </c>
      <c r="M61" s="151" t="s">
        <v>1948</v>
      </c>
    </row>
    <row r="62" spans="1:13" x14ac:dyDescent="0.3">
      <c r="A62" s="149" t="s">
        <v>1820</v>
      </c>
      <c r="B62" s="150">
        <v>843</v>
      </c>
      <c r="C62" s="150" t="s">
        <v>1859</v>
      </c>
      <c r="D62" s="151" t="s">
        <v>1764</v>
      </c>
      <c r="E62" s="150" t="s">
        <v>1748</v>
      </c>
      <c r="F62" s="151" t="s">
        <v>1596</v>
      </c>
      <c r="G62" s="151" t="s">
        <v>1599</v>
      </c>
      <c r="H62" s="150" t="s">
        <v>387</v>
      </c>
      <c r="I62" s="150" t="s">
        <v>451</v>
      </c>
      <c r="J62" s="150" t="s">
        <v>469</v>
      </c>
      <c r="K62" s="151" t="s">
        <v>571</v>
      </c>
      <c r="L62" s="151" t="s">
        <v>583</v>
      </c>
      <c r="M62" s="151" t="s">
        <v>598</v>
      </c>
    </row>
    <row r="63" spans="1:13" x14ac:dyDescent="0.3">
      <c r="A63" s="149" t="s">
        <v>1792</v>
      </c>
      <c r="B63" s="150">
        <v>844</v>
      </c>
      <c r="C63" s="150" t="s">
        <v>1859</v>
      </c>
      <c r="D63" s="151" t="s">
        <v>1764</v>
      </c>
      <c r="E63" s="150" t="s">
        <v>1748</v>
      </c>
      <c r="F63" s="151" t="s">
        <v>1596</v>
      </c>
      <c r="G63" s="151" t="s">
        <v>1599</v>
      </c>
      <c r="H63" s="150" t="s">
        <v>10</v>
      </c>
      <c r="I63" s="150" t="s">
        <v>450</v>
      </c>
      <c r="J63" s="150" t="s">
        <v>461</v>
      </c>
      <c r="K63" s="151" t="s">
        <v>569</v>
      </c>
      <c r="L63" s="151" t="s">
        <v>582</v>
      </c>
      <c r="M63" s="151" t="s">
        <v>596</v>
      </c>
    </row>
    <row r="64" spans="1:13" x14ac:dyDescent="0.3">
      <c r="A64" s="149" t="s">
        <v>1796</v>
      </c>
      <c r="B64" s="150">
        <v>845</v>
      </c>
      <c r="C64" s="150" t="s">
        <v>1859</v>
      </c>
      <c r="D64" s="151" t="s">
        <v>1764</v>
      </c>
      <c r="E64" s="150" t="s">
        <v>1748</v>
      </c>
      <c r="F64" s="151" t="s">
        <v>1596</v>
      </c>
      <c r="G64" s="151" t="s">
        <v>1599</v>
      </c>
      <c r="H64" s="150" t="s">
        <v>556</v>
      </c>
      <c r="I64" s="150" t="s">
        <v>557</v>
      </c>
      <c r="J64" s="150" t="s">
        <v>558</v>
      </c>
      <c r="K64" s="151" t="s">
        <v>572</v>
      </c>
      <c r="L64" s="151" t="s">
        <v>1949</v>
      </c>
      <c r="M64" s="151" t="s">
        <v>1950</v>
      </c>
    </row>
    <row r="65" spans="1:13" x14ac:dyDescent="0.3">
      <c r="A65" s="149" t="s">
        <v>1815</v>
      </c>
      <c r="B65" s="150">
        <v>846</v>
      </c>
      <c r="C65" s="150" t="s">
        <v>1859</v>
      </c>
      <c r="D65" s="151" t="s">
        <v>1764</v>
      </c>
      <c r="E65" s="150" t="s">
        <v>1748</v>
      </c>
      <c r="F65" s="151" t="s">
        <v>1596</v>
      </c>
      <c r="G65" s="151" t="s">
        <v>1772</v>
      </c>
      <c r="H65" s="150" t="s">
        <v>1816</v>
      </c>
      <c r="I65" s="150" t="s">
        <v>1817</v>
      </c>
      <c r="J65" s="150" t="s">
        <v>1818</v>
      </c>
      <c r="K65" s="151" t="s">
        <v>1951</v>
      </c>
      <c r="L65" s="151" t="s">
        <v>584</v>
      </c>
      <c r="M65" s="151" t="s">
        <v>599</v>
      </c>
    </row>
    <row r="66" spans="1:13" ht="32.15" x14ac:dyDescent="0.3">
      <c r="A66" s="149" t="s">
        <v>426</v>
      </c>
      <c r="B66" s="150">
        <v>847</v>
      </c>
      <c r="C66" s="150" t="s">
        <v>1859</v>
      </c>
      <c r="D66" s="151" t="s">
        <v>1764</v>
      </c>
      <c r="E66" s="150" t="s">
        <v>1748</v>
      </c>
      <c r="F66" s="151" t="s">
        <v>1596</v>
      </c>
      <c r="G66" s="150" t="s">
        <v>1771</v>
      </c>
      <c r="H66" s="150" t="s">
        <v>426</v>
      </c>
      <c r="I66" s="150" t="s">
        <v>426</v>
      </c>
      <c r="J66" s="150" t="s">
        <v>462</v>
      </c>
      <c r="K66" s="151" t="s">
        <v>1952</v>
      </c>
      <c r="L66" s="151" t="s">
        <v>1953</v>
      </c>
      <c r="M66" s="151" t="s">
        <v>1954</v>
      </c>
    </row>
    <row r="67" spans="1:13" x14ac:dyDescent="0.3">
      <c r="A67" s="149" t="s">
        <v>1686</v>
      </c>
      <c r="B67" s="150">
        <v>848</v>
      </c>
      <c r="C67" s="150" t="s">
        <v>1859</v>
      </c>
      <c r="D67" s="150" t="s">
        <v>1688</v>
      </c>
      <c r="E67" s="157" t="s">
        <v>1687</v>
      </c>
      <c r="F67" s="151" t="s">
        <v>471</v>
      </c>
      <c r="G67" s="151" t="s">
        <v>1587</v>
      </c>
      <c r="H67" s="150" t="s">
        <v>1688</v>
      </c>
      <c r="I67" s="150" t="s">
        <v>1688</v>
      </c>
      <c r="J67" s="150" t="s">
        <v>1689</v>
      </c>
      <c r="K67" s="151" t="s">
        <v>1690</v>
      </c>
      <c r="L67" s="151" t="s">
        <v>1691</v>
      </c>
      <c r="M67" s="151" t="s">
        <v>1692</v>
      </c>
    </row>
    <row r="68" spans="1:13" x14ac:dyDescent="0.3">
      <c r="A68" s="149" t="s">
        <v>1693</v>
      </c>
      <c r="B68" s="150">
        <v>849</v>
      </c>
      <c r="C68" s="150" t="s">
        <v>1859</v>
      </c>
      <c r="D68" s="150" t="s">
        <v>1688</v>
      </c>
      <c r="E68" s="157" t="s">
        <v>1687</v>
      </c>
      <c r="F68" s="151" t="s">
        <v>1589</v>
      </c>
      <c r="G68" s="151" t="s">
        <v>1587</v>
      </c>
      <c r="H68" s="150" t="s">
        <v>1687</v>
      </c>
      <c r="I68" s="150" t="s">
        <v>1687</v>
      </c>
      <c r="J68" s="150" t="s">
        <v>1687</v>
      </c>
      <c r="K68" s="151" t="s">
        <v>1587</v>
      </c>
      <c r="L68" s="151" t="s">
        <v>1587</v>
      </c>
      <c r="M68" s="151" t="s">
        <v>1587</v>
      </c>
    </row>
    <row r="69" spans="1:13" ht="21.45" x14ac:dyDescent="0.3">
      <c r="A69" s="149" t="s">
        <v>1694</v>
      </c>
      <c r="B69" s="150">
        <v>850</v>
      </c>
      <c r="C69" s="150" t="s">
        <v>1859</v>
      </c>
      <c r="D69" s="150" t="s">
        <v>1688</v>
      </c>
      <c r="E69" s="157" t="s">
        <v>1687</v>
      </c>
      <c r="F69" s="151" t="s">
        <v>1695</v>
      </c>
      <c r="G69" s="151" t="s">
        <v>1587</v>
      </c>
      <c r="H69" s="150" t="s">
        <v>1696</v>
      </c>
      <c r="I69" s="150" t="s">
        <v>1696</v>
      </c>
      <c r="J69" s="150" t="s">
        <v>1696</v>
      </c>
      <c r="K69" s="151" t="s">
        <v>1697</v>
      </c>
      <c r="L69" s="151" t="s">
        <v>1698</v>
      </c>
      <c r="M69" s="151" t="s">
        <v>1699</v>
      </c>
    </row>
    <row r="70" spans="1:13" ht="21.45" x14ac:dyDescent="0.3">
      <c r="A70" s="149" t="s">
        <v>1700</v>
      </c>
      <c r="B70" s="150">
        <v>851</v>
      </c>
      <c r="C70" s="150" t="s">
        <v>1859</v>
      </c>
      <c r="D70" s="150" t="s">
        <v>1688</v>
      </c>
      <c r="E70" s="157" t="s">
        <v>1687</v>
      </c>
      <c r="F70" s="151" t="s">
        <v>1695</v>
      </c>
      <c r="G70" s="151" t="s">
        <v>1587</v>
      </c>
      <c r="H70" s="150" t="s">
        <v>1701</v>
      </c>
      <c r="I70" s="150" t="s">
        <v>1701</v>
      </c>
      <c r="J70" s="150" t="s">
        <v>1701</v>
      </c>
      <c r="K70" s="151" t="s">
        <v>1702</v>
      </c>
      <c r="L70" s="151" t="s">
        <v>1703</v>
      </c>
      <c r="M70" s="151" t="s">
        <v>1704</v>
      </c>
    </row>
    <row r="71" spans="1:13" ht="21.45" x14ac:dyDescent="0.3">
      <c r="A71" s="149" t="s">
        <v>1705</v>
      </c>
      <c r="B71" s="150">
        <v>852</v>
      </c>
      <c r="C71" s="150" t="s">
        <v>1859</v>
      </c>
      <c r="D71" s="150" t="s">
        <v>1688</v>
      </c>
      <c r="E71" s="157" t="s">
        <v>1687</v>
      </c>
      <c r="F71" s="151" t="s">
        <v>1695</v>
      </c>
      <c r="G71" s="151" t="s">
        <v>1587</v>
      </c>
      <c r="H71" s="150" t="s">
        <v>1706</v>
      </c>
      <c r="I71" s="150" t="s">
        <v>1706</v>
      </c>
      <c r="J71" s="150" t="s">
        <v>1706</v>
      </c>
      <c r="K71" s="151" t="s">
        <v>1707</v>
      </c>
      <c r="L71" s="151" t="s">
        <v>1708</v>
      </c>
      <c r="M71" s="151" t="s">
        <v>1709</v>
      </c>
    </row>
    <row r="72" spans="1:13" ht="32.15" x14ac:dyDescent="0.3">
      <c r="A72" s="149" t="s">
        <v>1710</v>
      </c>
      <c r="B72" s="150">
        <v>853</v>
      </c>
      <c r="C72" s="150" t="s">
        <v>1859</v>
      </c>
      <c r="D72" s="150" t="s">
        <v>1688</v>
      </c>
      <c r="E72" s="157" t="s">
        <v>1687</v>
      </c>
      <c r="F72" s="151" t="s">
        <v>1695</v>
      </c>
      <c r="G72" s="151" t="s">
        <v>1587</v>
      </c>
      <c r="H72" s="150" t="s">
        <v>1711</v>
      </c>
      <c r="I72" s="150" t="s">
        <v>1711</v>
      </c>
      <c r="J72" s="150" t="s">
        <v>1711</v>
      </c>
      <c r="K72" s="151" t="s">
        <v>1955</v>
      </c>
      <c r="L72" s="151" t="s">
        <v>1956</v>
      </c>
      <c r="M72" s="151" t="s">
        <v>1712</v>
      </c>
    </row>
    <row r="73" spans="1:13" x14ac:dyDescent="0.3">
      <c r="A73" s="149" t="s">
        <v>1713</v>
      </c>
      <c r="B73" s="150">
        <v>854</v>
      </c>
      <c r="C73" s="150" t="s">
        <v>1859</v>
      </c>
      <c r="D73" s="150" t="s">
        <v>1688</v>
      </c>
      <c r="E73" s="157" t="s">
        <v>1687</v>
      </c>
      <c r="F73" s="151" t="s">
        <v>1695</v>
      </c>
      <c r="G73" s="151" t="s">
        <v>1587</v>
      </c>
      <c r="H73" s="150" t="s">
        <v>1714</v>
      </c>
      <c r="I73" s="150" t="s">
        <v>1714</v>
      </c>
      <c r="J73" s="150" t="s">
        <v>1714</v>
      </c>
      <c r="K73" s="151" t="s">
        <v>1715</v>
      </c>
      <c r="L73" s="151" t="s">
        <v>1957</v>
      </c>
      <c r="M73" s="151" t="s">
        <v>1958</v>
      </c>
    </row>
    <row r="74" spans="1:13" x14ac:dyDescent="0.3">
      <c r="A74" s="153" t="s">
        <v>1959</v>
      </c>
      <c r="B74" s="150">
        <v>855</v>
      </c>
      <c r="C74" s="150" t="s">
        <v>1859</v>
      </c>
      <c r="D74" s="150" t="s">
        <v>1688</v>
      </c>
      <c r="E74" s="151" t="s">
        <v>1716</v>
      </c>
      <c r="F74" s="150" t="s">
        <v>1589</v>
      </c>
      <c r="G74" s="151" t="s">
        <v>1587</v>
      </c>
      <c r="H74" s="150" t="s">
        <v>1717</v>
      </c>
      <c r="I74" s="150" t="s">
        <v>1718</v>
      </c>
      <c r="J74" s="150" t="s">
        <v>1719</v>
      </c>
      <c r="K74" s="151" t="s">
        <v>1587</v>
      </c>
      <c r="L74" s="151" t="s">
        <v>1587</v>
      </c>
      <c r="M74" s="151" t="s">
        <v>1587</v>
      </c>
    </row>
    <row r="75" spans="1:13" x14ac:dyDescent="0.3">
      <c r="A75" s="152" t="s">
        <v>1720</v>
      </c>
      <c r="B75" s="150">
        <v>856</v>
      </c>
      <c r="C75" s="150" t="s">
        <v>1859</v>
      </c>
      <c r="D75" s="150" t="s">
        <v>1688</v>
      </c>
      <c r="E75" s="151" t="s">
        <v>1716</v>
      </c>
      <c r="F75" s="151" t="s">
        <v>1695</v>
      </c>
      <c r="G75" s="151" t="s">
        <v>1587</v>
      </c>
      <c r="H75" s="150" t="s">
        <v>1721</v>
      </c>
      <c r="I75" s="150" t="s">
        <v>1722</v>
      </c>
      <c r="J75" s="150" t="s">
        <v>1723</v>
      </c>
      <c r="K75" s="151" t="s">
        <v>1587</v>
      </c>
      <c r="L75" s="151" t="s">
        <v>1587</v>
      </c>
      <c r="M75" s="151" t="s">
        <v>1587</v>
      </c>
    </row>
    <row r="76" spans="1:13" x14ac:dyDescent="0.3">
      <c r="A76" s="152" t="s">
        <v>1724</v>
      </c>
      <c r="B76" s="150">
        <v>857</v>
      </c>
      <c r="C76" s="150" t="s">
        <v>1859</v>
      </c>
      <c r="D76" s="150" t="s">
        <v>1688</v>
      </c>
      <c r="E76" s="151" t="s">
        <v>1716</v>
      </c>
      <c r="F76" s="151" t="s">
        <v>1695</v>
      </c>
      <c r="G76" s="151" t="s">
        <v>1587</v>
      </c>
      <c r="H76" s="150" t="s">
        <v>1725</v>
      </c>
      <c r="I76" s="150" t="s">
        <v>1726</v>
      </c>
      <c r="J76" s="150" t="s">
        <v>1727</v>
      </c>
      <c r="K76" s="151" t="s">
        <v>1587</v>
      </c>
      <c r="L76" s="151" t="s">
        <v>1587</v>
      </c>
      <c r="M76" s="151" t="s">
        <v>1587</v>
      </c>
    </row>
    <row r="77" spans="1:13" x14ac:dyDescent="0.3">
      <c r="A77" s="149" t="s">
        <v>1728</v>
      </c>
      <c r="B77" s="150">
        <v>858</v>
      </c>
      <c r="C77" s="150" t="s">
        <v>1859</v>
      </c>
      <c r="D77" s="150" t="s">
        <v>1688</v>
      </c>
      <c r="E77" s="151" t="s">
        <v>1716</v>
      </c>
      <c r="F77" s="151" t="s">
        <v>1695</v>
      </c>
      <c r="G77" s="151" t="s">
        <v>1587</v>
      </c>
      <c r="H77" s="150" t="s">
        <v>1729</v>
      </c>
      <c r="I77" s="150" t="s">
        <v>1730</v>
      </c>
      <c r="J77" s="150" t="s">
        <v>1731</v>
      </c>
      <c r="K77" s="151" t="s">
        <v>1587</v>
      </c>
      <c r="L77" s="151" t="s">
        <v>1587</v>
      </c>
      <c r="M77" s="151" t="s">
        <v>1587</v>
      </c>
    </row>
    <row r="78" spans="1:13" x14ac:dyDescent="0.3">
      <c r="A78" s="149" t="s">
        <v>1732</v>
      </c>
      <c r="B78" s="150">
        <v>859</v>
      </c>
      <c r="C78" s="150" t="s">
        <v>1859</v>
      </c>
      <c r="D78" s="150" t="s">
        <v>1688</v>
      </c>
      <c r="E78" s="151" t="s">
        <v>1716</v>
      </c>
      <c r="F78" s="151" t="s">
        <v>1695</v>
      </c>
      <c r="G78" s="151" t="s">
        <v>1587</v>
      </c>
      <c r="H78" s="150" t="s">
        <v>464</v>
      </c>
      <c r="I78" s="150" t="s">
        <v>1733</v>
      </c>
      <c r="J78" s="150" t="s">
        <v>1734</v>
      </c>
      <c r="K78" s="151" t="s">
        <v>1587</v>
      </c>
      <c r="L78" s="151" t="s">
        <v>1587</v>
      </c>
      <c r="M78" s="151" t="s">
        <v>1587</v>
      </c>
    </row>
    <row r="79" spans="1:13" x14ac:dyDescent="0.3">
      <c r="A79" s="153" t="s">
        <v>1735</v>
      </c>
      <c r="B79" s="150">
        <v>860</v>
      </c>
      <c r="C79" s="150" t="s">
        <v>1859</v>
      </c>
      <c r="D79" s="150" t="s">
        <v>1688</v>
      </c>
      <c r="E79" s="151" t="s">
        <v>1716</v>
      </c>
      <c r="F79" s="151" t="s">
        <v>1695</v>
      </c>
      <c r="G79" s="151" t="s">
        <v>1587</v>
      </c>
      <c r="H79" s="150" t="s">
        <v>1736</v>
      </c>
      <c r="I79" s="150" t="s">
        <v>1737</v>
      </c>
      <c r="J79" s="150" t="s">
        <v>1738</v>
      </c>
      <c r="K79" s="151" t="s">
        <v>1587</v>
      </c>
      <c r="L79" s="151" t="s">
        <v>1587</v>
      </c>
      <c r="M79" s="151" t="s">
        <v>1587</v>
      </c>
    </row>
    <row r="80" spans="1:13" x14ac:dyDescent="0.3">
      <c r="A80" s="149" t="s">
        <v>1739</v>
      </c>
      <c r="B80" s="150">
        <v>861</v>
      </c>
      <c r="C80" s="150" t="s">
        <v>1859</v>
      </c>
      <c r="D80" s="150" t="s">
        <v>1688</v>
      </c>
      <c r="E80" s="151" t="s">
        <v>1716</v>
      </c>
      <c r="F80" s="151" t="s">
        <v>1695</v>
      </c>
      <c r="G80" s="151" t="s">
        <v>1587</v>
      </c>
      <c r="H80" s="150" t="s">
        <v>1740</v>
      </c>
      <c r="I80" s="150" t="s">
        <v>1741</v>
      </c>
      <c r="J80" s="150" t="s">
        <v>1742</v>
      </c>
      <c r="K80" s="151" t="s">
        <v>1587</v>
      </c>
      <c r="L80" s="151" t="s">
        <v>1587</v>
      </c>
      <c r="M80" s="151" t="s">
        <v>1587</v>
      </c>
    </row>
    <row r="81" spans="1:13" x14ac:dyDescent="0.3">
      <c r="A81" s="153" t="s">
        <v>1743</v>
      </c>
      <c r="B81" s="150">
        <v>862</v>
      </c>
      <c r="C81" s="150" t="s">
        <v>1859</v>
      </c>
      <c r="D81" s="150" t="s">
        <v>1688</v>
      </c>
      <c r="E81" s="151" t="s">
        <v>1716</v>
      </c>
      <c r="F81" s="151" t="s">
        <v>1695</v>
      </c>
      <c r="G81" s="151" t="s">
        <v>1587</v>
      </c>
      <c r="H81" s="150" t="s">
        <v>1744</v>
      </c>
      <c r="I81" s="150" t="s">
        <v>1745</v>
      </c>
      <c r="J81" s="150" t="s">
        <v>1746</v>
      </c>
      <c r="K81" s="151" t="s">
        <v>1587</v>
      </c>
      <c r="L81" s="151" t="s">
        <v>1587</v>
      </c>
      <c r="M81" s="151" t="s">
        <v>1587</v>
      </c>
    </row>
    <row r="82" spans="1:13" x14ac:dyDescent="0.3">
      <c r="A82" s="158" t="s">
        <v>1747</v>
      </c>
      <c r="B82" s="159">
        <v>863</v>
      </c>
      <c r="C82" s="159" t="s">
        <v>1859</v>
      </c>
      <c r="D82" s="159" t="s">
        <v>1688</v>
      </c>
      <c r="E82" s="160" t="s">
        <v>1716</v>
      </c>
      <c r="F82" s="160" t="s">
        <v>1695</v>
      </c>
      <c r="G82" s="160" t="s">
        <v>1587</v>
      </c>
      <c r="H82" s="159" t="s">
        <v>428</v>
      </c>
      <c r="I82" s="159" t="s">
        <v>428</v>
      </c>
      <c r="J82" s="159" t="s">
        <v>468</v>
      </c>
      <c r="K82" s="160" t="s">
        <v>1587</v>
      </c>
      <c r="L82" s="160" t="s">
        <v>1587</v>
      </c>
      <c r="M82" s="160" t="s">
        <v>1587</v>
      </c>
    </row>
  </sheetData>
  <sheetProtection algorithmName="SHA-512" hashValue="3G2OAJgEgPuRNexfHbdlCo9TniVoXdXJkWqEW4OFKCxfHPQV+7DnUhCdsWBqPviiDcgHnuJtsVsWF3EnC29wpQ==" saltValue="oh3e2ByanRkh6xnx7pUhOQ==" spinCount="100000" sheet="1" objects="1" scenarios="1" formatCells="0" autoFilter="0"/>
  <mergeCells count="1">
    <mergeCell ref="A1:F1"/>
  </mergeCells>
  <printOptions horizontalCentered="1"/>
  <pageMargins left="0.11811023622047245" right="0.11811023622047245" top="0.74803149606299213" bottom="0.74803149606299213" header="0.31496062992125984" footer="0.31496062992125984"/>
  <pageSetup paperSize="9" scale="95"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17</vt:i4>
      </vt:variant>
    </vt:vector>
  </HeadingPairs>
  <TitlesOfParts>
    <vt:vector size="23" baseType="lpstr">
      <vt:lpstr>ST10A-PrtSmp</vt:lpstr>
      <vt:lpstr>ST10B-PrtSmpSZ</vt:lpstr>
      <vt:lpstr>Codes</vt:lpstr>
      <vt:lpstr>Instructions</vt:lpstr>
      <vt:lpstr>Filters</vt:lpstr>
      <vt:lpstr>Translation</vt:lpstr>
      <vt:lpstr>Content</vt:lpstr>
      <vt:lpstr>FlagA3ISO</vt:lpstr>
      <vt:lpstr>FlagCode</vt:lpstr>
      <vt:lpstr>FlagName</vt:lpstr>
      <vt:lpstr>FreqType</vt:lpstr>
      <vt:lpstr>FreqTypeCode</vt:lpstr>
      <vt:lpstr>GearCode</vt:lpstr>
      <vt:lpstr>IccSpcGrp</vt:lpstr>
      <vt:lpstr>Idiom</vt:lpstr>
      <vt:lpstr>LandingID</vt:lpstr>
      <vt:lpstr>LangFieldID</vt:lpstr>
      <vt:lpstr>LangNameID</vt:lpstr>
      <vt:lpstr>PortsZones</vt:lpstr>
      <vt:lpstr>ProdTypeCode</vt:lpstr>
      <vt:lpstr>SexCode</vt:lpstr>
      <vt:lpstr>SpeciesCode</vt:lpstr>
      <vt:lpstr>Version</vt:lpstr>
    </vt:vector>
  </TitlesOfParts>
  <Company>ICCAT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cpalma</dc:creator>
  <cp:lastModifiedBy>Carlos Palma</cp:lastModifiedBy>
  <cp:lastPrinted>2015-03-18T08:43:48Z</cp:lastPrinted>
  <dcterms:created xsi:type="dcterms:W3CDTF">2004-02-12T11:14:25Z</dcterms:created>
  <dcterms:modified xsi:type="dcterms:W3CDTF">2024-02-04T19:03:22Z</dcterms:modified>
</cp:coreProperties>
</file>