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D:\ESTADISTICAS\eforms\Forms_2025_v2\"/>
    </mc:Choice>
  </mc:AlternateContent>
  <xr:revisionPtr revIDLastSave="0" documentId="13_ncr:1_{F1733F33-CF12-48AF-A6A8-41B86E9AE765}" xr6:coauthVersionLast="47" xr6:coauthVersionMax="47" xr10:uidLastSave="{00000000-0000-0000-0000-000000000000}"/>
  <workbookProtection workbookAlgorithmName="SHA-512" workbookHashValue="47WmsUXqdP7KYPYr71Thq1jqwve73hjhGnnUgJPtU/2uED1RV4sDisxgcuW8B7G8uUj1Iptu0DZ/dy1uDHb3zw==" workbookSaltValue="yQ3jJLAfwMDcqntuV6OJLw==" workbookSpinCount="100000" lockStructure="1"/>
  <bookViews>
    <workbookView xWindow="-109" yWindow="-109" windowWidth="34995" windowHeight="19060" tabRatio="723" xr2:uid="{00000000-000D-0000-FFFF-FFFF00000000}"/>
  </bookViews>
  <sheets>
    <sheet name="ST05-T2CS" sheetId="1" r:id="rId1"/>
    <sheet name="Codes" sheetId="2" r:id="rId2"/>
    <sheet name="Instructions" sheetId="3" r:id="rId3"/>
    <sheet name="Filters" sheetId="6" r:id="rId4"/>
    <sheet name="Translation" sheetId="5" state="hidden" r:id="rId5"/>
  </sheets>
  <definedNames>
    <definedName name="_xlnm._FilterDatabase" localSheetId="1" hidden="1">Codes!$A$2:$F$125</definedName>
    <definedName name="_xlnm._FilterDatabase" localSheetId="2" hidden="1">Instructions!$G$10:$G$56</definedName>
    <definedName name="_xlnm._FilterDatabase" localSheetId="4" hidden="1">Translation!$A$4:$J$89</definedName>
    <definedName name="CatchTypeCode">Codes!$O$83:$O$87</definedName>
    <definedName name="ClassLimitCode">Codes!$O$76:$O$78</definedName>
    <definedName name="Content">Codes!$O$98:$O$101</definedName>
    <definedName name="FlagA2ISO">Codes!$F$3:$F$175</definedName>
    <definedName name="FlagA3ISO">Codes!$E$3:$E$175</definedName>
    <definedName name="FlagCode">Codes!$B$3:$B$175</definedName>
    <definedName name="FlagName">Codes!$A$3:$A$175</definedName>
    <definedName name="FleetSuffix">Codes!$D$3:$D$175</definedName>
    <definedName name="GearCode">Codes!$O$12:$O$59</definedName>
    <definedName name="idiom">'ST05-T2CS'!$R$2</definedName>
    <definedName name="LangFieldID">Translation!$I$1</definedName>
    <definedName name="LangNameID">Translation!$I$2</definedName>
    <definedName name="QuadCode">Codes!$O$3:$O$7</definedName>
    <definedName name="SampAreaCode">Codes!$H$13:$H$131</definedName>
    <definedName name="SchoolTypeCode">Codes!$O$63:$O$65</definedName>
    <definedName name="SizeFreqTypeCode">Codes!$O$70:$O$71</definedName>
    <definedName name="SpeciesCode">Codes!$H$3:$H$8</definedName>
    <definedName name="StatusCPC">Codes!$C$3:$C$175</definedName>
    <definedName name="Version">Codes!$O$92:$O$93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5" i="1" l="1" a="1"/>
  <c r="O25" i="1" s="1"/>
  <c r="Q25" i="1" a="1"/>
  <c r="Q25" i="1" s="1"/>
  <c r="P25" i="1" a="1"/>
  <c r="P25" i="1" s="1"/>
  <c r="N25" i="1" a="1"/>
  <c r="N25" i="1" s="1"/>
  <c r="K25" i="1" a="1"/>
  <c r="K25" i="1" s="1"/>
  <c r="J25" i="1" a="1"/>
  <c r="J25" i="1" s="1"/>
  <c r="I25" i="1" a="1"/>
  <c r="I25" i="1" s="1"/>
  <c r="H25" i="1" a="1"/>
  <c r="H25" i="1" s="1"/>
  <c r="G25" i="1" a="1"/>
  <c r="G25" i="1" s="1"/>
  <c r="F25" i="1" a="1"/>
  <c r="F25" i="1" s="1"/>
  <c r="E25" i="1" a="1"/>
  <c r="E25" i="1" s="1"/>
  <c r="D25" i="1" a="1"/>
  <c r="D25" i="1" s="1"/>
  <c r="C25" i="1" a="1"/>
  <c r="C25" i="1" s="1"/>
  <c r="A25" i="1" a="1"/>
  <c r="A25" i="1" s="1"/>
  <c r="G37" i="3" l="1"/>
  <c r="E12" i="1"/>
  <c r="J11" i="1" s="1"/>
  <c r="F4" i="6"/>
  <c r="C19" i="1" l="1"/>
  <c r="G12" i="3" l="1"/>
  <c r="G11" i="3"/>
  <c r="G56" i="3"/>
  <c r="G55" i="3"/>
  <c r="G54" i="3"/>
  <c r="G53" i="3"/>
  <c r="G52" i="3"/>
  <c r="G51" i="3"/>
  <c r="G50" i="3"/>
  <c r="G49" i="3"/>
  <c r="G48" i="3"/>
  <c r="G47" i="3"/>
  <c r="G46" i="3"/>
  <c r="G45" i="3"/>
  <c r="G44" i="3"/>
  <c r="G43" i="3"/>
  <c r="G42" i="3"/>
  <c r="G41" i="3"/>
  <c r="G40" i="3"/>
  <c r="G39" i="3"/>
  <c r="G38" i="3"/>
  <c r="G36" i="3"/>
  <c r="G35" i="3"/>
  <c r="G34" i="3"/>
  <c r="G33" i="3"/>
  <c r="G32" i="3"/>
  <c r="G31" i="3"/>
  <c r="G30" i="3"/>
  <c r="G29" i="3"/>
  <c r="G28" i="3"/>
  <c r="G27" i="3"/>
  <c r="G26" i="3"/>
  <c r="G25" i="3"/>
  <c r="G24" i="3"/>
  <c r="G23" i="3"/>
  <c r="G22" i="3"/>
  <c r="G21" i="3"/>
  <c r="G20" i="3"/>
  <c r="G19" i="3"/>
  <c r="G18" i="3"/>
  <c r="G17" i="3"/>
  <c r="G16" i="3"/>
  <c r="G15" i="3"/>
  <c r="G14" i="3"/>
  <c r="G13" i="3"/>
  <c r="I2" i="5"/>
  <c r="I1" i="5"/>
  <c r="A4" i="6" l="1"/>
  <c r="F37" i="3"/>
  <c r="H12" i="3"/>
  <c r="H37" i="3"/>
  <c r="H11" i="3"/>
  <c r="B11" i="3"/>
  <c r="A3" i="6"/>
  <c r="R1" i="1"/>
  <c r="Q1" i="1"/>
  <c r="E49" i="3"/>
  <c r="E47" i="3"/>
  <c r="E10" i="3"/>
  <c r="H10" i="3"/>
  <c r="D10" i="3"/>
  <c r="G10" i="3"/>
  <c r="F10" i="3"/>
  <c r="C10" i="3"/>
  <c r="C11" i="3"/>
  <c r="F12" i="3"/>
  <c r="E44" i="3"/>
  <c r="A10" i="3"/>
  <c r="B10" i="3"/>
  <c r="F11" i="3"/>
  <c r="L23" i="1"/>
  <c r="H38" i="3" l="1"/>
  <c r="F38" i="3"/>
  <c r="H53" i="3" l="1"/>
  <c r="H14" i="1"/>
  <c r="H26" i="3"/>
  <c r="H27" i="3"/>
  <c r="F39" i="3"/>
  <c r="D13" i="1"/>
  <c r="A13" i="1"/>
  <c r="F26" i="3"/>
  <c r="F27" i="3"/>
  <c r="H39" i="3"/>
  <c r="K5" i="1"/>
  <c r="K8" i="1"/>
  <c r="F9" i="1"/>
  <c r="C2" i="1"/>
  <c r="A1" i="1"/>
  <c r="F13" i="1"/>
  <c r="Q5" i="1"/>
  <c r="A14" i="1"/>
  <c r="A23" i="1"/>
  <c r="G23" i="1"/>
  <c r="P23" i="1"/>
  <c r="B6" i="1"/>
  <c r="F15" i="1"/>
  <c r="Q23" i="1"/>
  <c r="D13" i="3"/>
  <c r="F22" i="3"/>
  <c r="F6" i="1"/>
  <c r="A17" i="1"/>
  <c r="I23" i="1"/>
  <c r="E32" i="3"/>
  <c r="F17" i="3"/>
  <c r="F36" i="3"/>
  <c r="F49" i="3"/>
  <c r="F55" i="3"/>
  <c r="H21" i="3"/>
  <c r="H34" i="3"/>
  <c r="P4" i="1"/>
  <c r="K6" i="1"/>
  <c r="B8" i="1"/>
  <c r="F12" i="1"/>
  <c r="F16" i="1"/>
  <c r="D23" i="1"/>
  <c r="I24" i="1"/>
  <c r="S24" i="1"/>
  <c r="A9" i="3"/>
  <c r="E16" i="3"/>
  <c r="D35" i="3"/>
  <c r="F18" i="3"/>
  <c r="F24" i="3"/>
  <c r="F31" i="3"/>
  <c r="F44" i="3"/>
  <c r="F50" i="3"/>
  <c r="F56" i="3"/>
  <c r="B7" i="3"/>
  <c r="H16" i="3"/>
  <c r="H22" i="3"/>
  <c r="H29" i="3"/>
  <c r="H35" i="3"/>
  <c r="H42" i="3"/>
  <c r="H48" i="3"/>
  <c r="H54" i="3"/>
  <c r="N22" i="1"/>
  <c r="A11" i="1"/>
  <c r="L24" i="1"/>
  <c r="A4" i="1"/>
  <c r="K11" i="1"/>
  <c r="H23" i="1"/>
  <c r="K4" i="1"/>
  <c r="A12" i="1"/>
  <c r="C23" i="1"/>
  <c r="R24" i="1"/>
  <c r="E13" i="3"/>
  <c r="A5" i="1"/>
  <c r="A7" i="1"/>
  <c r="B9" i="1"/>
  <c r="F17" i="1"/>
  <c r="C22" i="1"/>
  <c r="E23" i="1"/>
  <c r="N23" i="1"/>
  <c r="J24" i="1"/>
  <c r="T24" i="1"/>
  <c r="A11" i="3"/>
  <c r="D20" i="3"/>
  <c r="C36" i="3"/>
  <c r="F13" i="3"/>
  <c r="F19" i="3"/>
  <c r="F25" i="3"/>
  <c r="F32" i="3"/>
  <c r="F45" i="3"/>
  <c r="F51" i="3"/>
  <c r="A2" i="3"/>
  <c r="H17" i="3"/>
  <c r="H23" i="3"/>
  <c r="H30" i="3"/>
  <c r="H36" i="3"/>
  <c r="H43" i="3"/>
  <c r="H49" i="3"/>
  <c r="H55" i="3"/>
  <c r="F23" i="1"/>
  <c r="O23" i="1"/>
  <c r="K24" i="1"/>
  <c r="U24" i="1"/>
  <c r="E23" i="3"/>
  <c r="D36" i="3"/>
  <c r="D52" i="3"/>
  <c r="F14" i="3"/>
  <c r="F20" i="3"/>
  <c r="F33" i="3"/>
  <c r="F40" i="3"/>
  <c r="F46" i="3"/>
  <c r="F52" i="3"/>
  <c r="B3" i="3"/>
  <c r="H18" i="3"/>
  <c r="H24" i="3"/>
  <c r="H31" i="3"/>
  <c r="H44" i="3"/>
  <c r="H50" i="3"/>
  <c r="H56" i="3"/>
  <c r="C13" i="3"/>
  <c r="D25" i="3"/>
  <c r="E36" i="3"/>
  <c r="E53" i="3"/>
  <c r="F15" i="3"/>
  <c r="F21" i="3"/>
  <c r="F28" i="3"/>
  <c r="F34" i="3"/>
  <c r="F41" i="3"/>
  <c r="F47" i="3"/>
  <c r="F53" i="3"/>
  <c r="B4" i="3"/>
  <c r="H13" i="3"/>
  <c r="H19" i="3"/>
  <c r="H25" i="3"/>
  <c r="H32" i="3"/>
  <c r="H45" i="3"/>
  <c r="H51" i="3"/>
  <c r="A1" i="3"/>
  <c r="F18" i="1"/>
  <c r="B23" i="1"/>
  <c r="M24" i="1"/>
  <c r="E38" i="3"/>
  <c r="F29" i="3"/>
  <c r="F35" i="3"/>
  <c r="F42" i="3"/>
  <c r="F48" i="3"/>
  <c r="F54" i="3"/>
  <c r="B5" i="3"/>
  <c r="H14" i="3"/>
  <c r="H20" i="3"/>
  <c r="H33" i="3"/>
  <c r="H40" i="3"/>
  <c r="H46" i="3"/>
  <c r="H52" i="3"/>
  <c r="C1" i="1"/>
  <c r="A18" i="1"/>
  <c r="B5" i="1"/>
  <c r="R5" i="1"/>
  <c r="A21" i="1"/>
  <c r="E31" i="3"/>
  <c r="F16" i="3"/>
  <c r="B7" i="1"/>
  <c r="Q21" i="1"/>
  <c r="R23" i="1"/>
  <c r="F23" i="3"/>
  <c r="F30" i="3"/>
  <c r="F43" i="3"/>
  <c r="B6" i="3"/>
  <c r="H15" i="3"/>
  <c r="H28" i="3"/>
  <c r="H41" i="3"/>
  <c r="H47" i="3"/>
  <c r="D14" i="1" l="1"/>
  <c r="G3" i="6" l="1"/>
  <c r="I16" i="1"/>
  <c r="I18" i="1"/>
  <c r="A22" i="1"/>
  <c r="I17" i="1"/>
  <c r="J4" i="1"/>
  <c r="K9"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<sst xmlns="http://schemas.openxmlformats.org/spreadsheetml/2006/main" count="2558" uniqueCount="1407">
  <si>
    <t>Statistical correspondent</t>
  </si>
  <si>
    <t>Name</t>
  </si>
  <si>
    <t>E-mail</t>
  </si>
  <si>
    <t>Phone</t>
  </si>
  <si>
    <t>Institution</t>
  </si>
  <si>
    <t>Department</t>
  </si>
  <si>
    <t>Address</t>
  </si>
  <si>
    <t>Country</t>
  </si>
  <si>
    <t>Data set characteristics</t>
  </si>
  <si>
    <t>Species</t>
  </si>
  <si>
    <t>Version reported</t>
  </si>
  <si>
    <t>lower limit</t>
  </si>
  <si>
    <t>Number</t>
  </si>
  <si>
    <t>Product type</t>
  </si>
  <si>
    <t>Size frequencies attributes</t>
  </si>
  <si>
    <t>CAS attributes</t>
  </si>
  <si>
    <t>Lat</t>
  </si>
  <si>
    <t>Catch strata associated to samples</t>
  </si>
  <si>
    <t>Affiliation</t>
  </si>
  <si>
    <t>Class limit</t>
  </si>
  <si>
    <t>QuadID</t>
  </si>
  <si>
    <t>Quadrant</t>
  </si>
  <si>
    <t>Algerie</t>
  </si>
  <si>
    <t>DZA</t>
  </si>
  <si>
    <t>UN</t>
  </si>
  <si>
    <t>Angola</t>
  </si>
  <si>
    <t>AGO</t>
  </si>
  <si>
    <t>BFT</t>
  </si>
  <si>
    <t>Thunnus thynnus</t>
  </si>
  <si>
    <t>NE</t>
  </si>
  <si>
    <t>Northeast</t>
  </si>
  <si>
    <t>Barbados</t>
  </si>
  <si>
    <t>BRB</t>
  </si>
  <si>
    <t>SE</t>
  </si>
  <si>
    <t>Southeast</t>
  </si>
  <si>
    <t>BRA</t>
  </si>
  <si>
    <t>YFT</t>
  </si>
  <si>
    <t>Thunnus albacares</t>
  </si>
  <si>
    <t>Yellowfin tuna</t>
  </si>
  <si>
    <t>Albacore</t>
  </si>
  <si>
    <t>Rabil</t>
  </si>
  <si>
    <t>SW</t>
  </si>
  <si>
    <t>Southwest</t>
  </si>
  <si>
    <t>Canada</t>
  </si>
  <si>
    <t>CAN</t>
  </si>
  <si>
    <t>ALB</t>
  </si>
  <si>
    <t>Thunnus alalunga</t>
  </si>
  <si>
    <t>Germon</t>
  </si>
  <si>
    <t>Atún blanco</t>
  </si>
  <si>
    <t>NW</t>
  </si>
  <si>
    <t>Northwest</t>
  </si>
  <si>
    <t>Cape Verde</t>
  </si>
  <si>
    <t>CPV</t>
  </si>
  <si>
    <t>BET</t>
  </si>
  <si>
    <t>Thunnus obesus</t>
  </si>
  <si>
    <t>Bigeye tuna</t>
  </si>
  <si>
    <t>Patudo</t>
  </si>
  <si>
    <t>CHN</t>
  </si>
  <si>
    <t>CIV</t>
  </si>
  <si>
    <t>SKJ</t>
  </si>
  <si>
    <t>Katsuwonus pelamis</t>
  </si>
  <si>
    <t>Skipjack tuna</t>
  </si>
  <si>
    <t>Listao</t>
  </si>
  <si>
    <t>Listado</t>
  </si>
  <si>
    <t>OTH</t>
  </si>
  <si>
    <t>ICCAT</t>
  </si>
  <si>
    <t>NAM</t>
  </si>
  <si>
    <t>SWO</t>
  </si>
  <si>
    <t>Xiphias gladius</t>
  </si>
  <si>
    <t>Swordfish</t>
  </si>
  <si>
    <t>Espadon</t>
  </si>
  <si>
    <t>Pez espada</t>
  </si>
  <si>
    <t>GearGroup</t>
  </si>
  <si>
    <t>GearName</t>
  </si>
  <si>
    <t>TUN</t>
  </si>
  <si>
    <t>n/a</t>
  </si>
  <si>
    <t>GIN</t>
  </si>
  <si>
    <t>LL</t>
  </si>
  <si>
    <t>Longline</t>
  </si>
  <si>
    <t>Guinea Ecuatorial</t>
  </si>
  <si>
    <t>GNQ</t>
  </si>
  <si>
    <t>LLMB</t>
  </si>
  <si>
    <t>Gabon</t>
  </si>
  <si>
    <t>GAB</t>
  </si>
  <si>
    <t>Ghana</t>
  </si>
  <si>
    <t>GHA</t>
  </si>
  <si>
    <t>Honduras</t>
  </si>
  <si>
    <t>HND</t>
  </si>
  <si>
    <t>LLPB</t>
  </si>
  <si>
    <t>Iceland</t>
  </si>
  <si>
    <t>ISL</t>
  </si>
  <si>
    <t>LLJAP</t>
  </si>
  <si>
    <t>Japan</t>
  </si>
  <si>
    <t>JPN</t>
  </si>
  <si>
    <t>LLALB</t>
  </si>
  <si>
    <t>KOR</t>
  </si>
  <si>
    <t>LLSWO</t>
  </si>
  <si>
    <t>Libya</t>
  </si>
  <si>
    <t>LBY</t>
  </si>
  <si>
    <t>TROL</t>
  </si>
  <si>
    <t>TR</t>
  </si>
  <si>
    <t>Maroc</t>
  </si>
  <si>
    <t>MAR</t>
  </si>
  <si>
    <t>BB</t>
  </si>
  <si>
    <t>Baitboat</t>
  </si>
  <si>
    <t>Mexico</t>
  </si>
  <si>
    <t>MEX</t>
  </si>
  <si>
    <t>BBI</t>
  </si>
  <si>
    <t>Namibia</t>
  </si>
  <si>
    <t>BBF</t>
  </si>
  <si>
    <t>Panama</t>
  </si>
  <si>
    <t>PAN</t>
  </si>
  <si>
    <t>RR</t>
  </si>
  <si>
    <t>Philippines</t>
  </si>
  <si>
    <t>PHL</t>
  </si>
  <si>
    <t>AL31</t>
  </si>
  <si>
    <t>RRFB</t>
  </si>
  <si>
    <t>Russian Federation</t>
  </si>
  <si>
    <t>RUS</t>
  </si>
  <si>
    <t>AL32</t>
  </si>
  <si>
    <t>RRFS</t>
  </si>
  <si>
    <t>STP</t>
  </si>
  <si>
    <t>AL33</t>
  </si>
  <si>
    <t>TL</t>
  </si>
  <si>
    <t>South Africa</t>
  </si>
  <si>
    <t>ZAF</t>
  </si>
  <si>
    <t>AL34</t>
  </si>
  <si>
    <t>HAND</t>
  </si>
  <si>
    <t>HL</t>
  </si>
  <si>
    <t>Trinidad and Tobago</t>
  </si>
  <si>
    <t>TTO</t>
  </si>
  <si>
    <t>AL35</t>
  </si>
  <si>
    <t>Tunisie</t>
  </si>
  <si>
    <t>BF51</t>
  </si>
  <si>
    <t>GILL</t>
  </si>
  <si>
    <t>GN</t>
  </si>
  <si>
    <t>TUR</t>
  </si>
  <si>
    <t>TN</t>
  </si>
  <si>
    <t>USA</t>
  </si>
  <si>
    <t>BF53</t>
  </si>
  <si>
    <t>PS</t>
  </si>
  <si>
    <t>Purse seine</t>
  </si>
  <si>
    <t>Uruguay</t>
  </si>
  <si>
    <t>URY</t>
  </si>
  <si>
    <t>BF54</t>
  </si>
  <si>
    <t>PSG</t>
  </si>
  <si>
    <t>BF55</t>
  </si>
  <si>
    <t>PSM</t>
  </si>
  <si>
    <t>FLK</t>
  </si>
  <si>
    <t>PSS</t>
  </si>
  <si>
    <t>BF57</t>
  </si>
  <si>
    <t>PSD</t>
  </si>
  <si>
    <t>AIA</t>
  </si>
  <si>
    <t>BLR</t>
  </si>
  <si>
    <t>BF58</t>
  </si>
  <si>
    <t>PSLB</t>
  </si>
  <si>
    <t>BF59</t>
  </si>
  <si>
    <t>PSFB</t>
  </si>
  <si>
    <t>BF60</t>
  </si>
  <si>
    <t>PSFS</t>
  </si>
  <si>
    <t>Vanuatu</t>
  </si>
  <si>
    <t>VUT</t>
  </si>
  <si>
    <t>BF61</t>
  </si>
  <si>
    <t>HS</t>
  </si>
  <si>
    <t>Haul seine</t>
  </si>
  <si>
    <t>Venezuela</t>
  </si>
  <si>
    <t>VEN</t>
  </si>
  <si>
    <t>BF62</t>
  </si>
  <si>
    <t>TRAP</t>
  </si>
  <si>
    <t>TP</t>
  </si>
  <si>
    <t>Trap</t>
  </si>
  <si>
    <t>Chinese Taipei</t>
  </si>
  <si>
    <t>TAI</t>
  </si>
  <si>
    <t>BF63</t>
  </si>
  <si>
    <t>TRAPM</t>
  </si>
  <si>
    <t>Guyana</t>
  </si>
  <si>
    <t>GUY</t>
  </si>
  <si>
    <t>TRAW</t>
  </si>
  <si>
    <t>TW</t>
  </si>
  <si>
    <t>Trawl</t>
  </si>
  <si>
    <t>Albania</t>
  </si>
  <si>
    <t>BF65</t>
  </si>
  <si>
    <t>Antigua and Barbuda</t>
  </si>
  <si>
    <t>ATG</t>
  </si>
  <si>
    <t>Argentina</t>
  </si>
  <si>
    <t>ARG</t>
  </si>
  <si>
    <t>HARP</t>
  </si>
  <si>
    <t>HP</t>
  </si>
  <si>
    <t>Harpoon</t>
  </si>
  <si>
    <t>ABW</t>
  </si>
  <si>
    <t>BIL91</t>
  </si>
  <si>
    <t>Belarus</t>
  </si>
  <si>
    <t>BIL92</t>
  </si>
  <si>
    <t>BLZ</t>
  </si>
  <si>
    <t>BIL93</t>
  </si>
  <si>
    <t>Benin</t>
  </si>
  <si>
    <t>BEN</t>
  </si>
  <si>
    <t>BIL94A</t>
  </si>
  <si>
    <t>SchoolTypeCode</t>
  </si>
  <si>
    <t>SchoolType</t>
  </si>
  <si>
    <t>Cambodia</t>
  </si>
  <si>
    <t>KHM</t>
  </si>
  <si>
    <t>BIL94B</t>
  </si>
  <si>
    <t>Cameroon</t>
  </si>
  <si>
    <t>CMR</t>
  </si>
  <si>
    <t>BIL95</t>
  </si>
  <si>
    <t>FAD</t>
  </si>
  <si>
    <t>Fish Aggregating Devices</t>
  </si>
  <si>
    <t>Cayman Islands</t>
  </si>
  <si>
    <t>CYM</t>
  </si>
  <si>
    <t>BIL96</t>
  </si>
  <si>
    <t>FSC</t>
  </si>
  <si>
    <t>Free School</t>
  </si>
  <si>
    <t>Colombia</t>
  </si>
  <si>
    <t>COL</t>
  </si>
  <si>
    <t>BIL97</t>
  </si>
  <si>
    <t>Not Applicable</t>
  </si>
  <si>
    <t>Congo</t>
  </si>
  <si>
    <t>COG</t>
  </si>
  <si>
    <t>Costa Rica</t>
  </si>
  <si>
    <t>CRI</t>
  </si>
  <si>
    <t>Cuba</t>
  </si>
  <si>
    <t>CUB</t>
  </si>
  <si>
    <t>Dominica</t>
  </si>
  <si>
    <t>DMA</t>
  </si>
  <si>
    <t>Dominican Republic</t>
  </si>
  <si>
    <t>DOM</t>
  </si>
  <si>
    <t>Egypt</t>
  </si>
  <si>
    <t>EGY</t>
  </si>
  <si>
    <t>Faroe Islands</t>
  </si>
  <si>
    <t>FRO</t>
  </si>
  <si>
    <t>GNB</t>
  </si>
  <si>
    <t>Gambia</t>
  </si>
  <si>
    <t>GMB</t>
  </si>
  <si>
    <t>Georgia</t>
  </si>
  <si>
    <t>GEO</t>
  </si>
  <si>
    <t>Grenada</t>
  </si>
  <si>
    <t>GRD</t>
  </si>
  <si>
    <t>Guatemala</t>
  </si>
  <si>
    <t>GTM</t>
  </si>
  <si>
    <t>Israel</t>
  </si>
  <si>
    <t>ISR</t>
  </si>
  <si>
    <t>Jamaica</t>
  </si>
  <si>
    <t>JAM</t>
  </si>
  <si>
    <t>Lebanon</t>
  </si>
  <si>
    <t>LBN</t>
  </si>
  <si>
    <t>Liberia</t>
  </si>
  <si>
    <t>LBR</t>
  </si>
  <si>
    <t>Mauritania</t>
  </si>
  <si>
    <t>MRT</t>
  </si>
  <si>
    <t>KNA</t>
  </si>
  <si>
    <t>Nigeria</t>
  </si>
  <si>
    <t>NGA</t>
  </si>
  <si>
    <t>Norway</t>
  </si>
  <si>
    <t>NOR</t>
  </si>
  <si>
    <t>Puerto Rico</t>
  </si>
  <si>
    <t>PRI</t>
  </si>
  <si>
    <t>ROU</t>
  </si>
  <si>
    <t>Senegal</t>
  </si>
  <si>
    <t>SEN</t>
  </si>
  <si>
    <t>SYC</t>
  </si>
  <si>
    <t>Sierra Leone</t>
  </si>
  <si>
    <t>SLE</t>
  </si>
  <si>
    <t>LCA</t>
  </si>
  <si>
    <t>VCT</t>
  </si>
  <si>
    <t>SYR</t>
  </si>
  <si>
    <t>Togo</t>
  </si>
  <si>
    <t>TGO</t>
  </si>
  <si>
    <t>Ukraine</t>
  </si>
  <si>
    <t>UKR</t>
  </si>
  <si>
    <t>Size class type</t>
  </si>
  <si>
    <t>ClassLimit</t>
  </si>
  <si>
    <t>upper limit</t>
  </si>
  <si>
    <t>central point</t>
  </si>
  <si>
    <t>SizeFreqType</t>
  </si>
  <si>
    <t>St. Kitts, Nevis</t>
  </si>
  <si>
    <t>Nicaragua</t>
  </si>
  <si>
    <t>NIC</t>
  </si>
  <si>
    <t>Aruba</t>
  </si>
  <si>
    <t>Belize</t>
  </si>
  <si>
    <t>Chile</t>
  </si>
  <si>
    <t>CHL</t>
  </si>
  <si>
    <t>El Salvador</t>
  </si>
  <si>
    <t>SLV</t>
  </si>
  <si>
    <t>Guinea Bissau</t>
  </si>
  <si>
    <t>India</t>
  </si>
  <si>
    <t>IND</t>
  </si>
  <si>
    <t>IRN</t>
  </si>
  <si>
    <t>Malaysia</t>
  </si>
  <si>
    <t>MYS</t>
  </si>
  <si>
    <t>Mauritius</t>
  </si>
  <si>
    <t>MUS</t>
  </si>
  <si>
    <t>Saint Kitts and Nevis</t>
  </si>
  <si>
    <t>PSE</t>
  </si>
  <si>
    <t>Seychelles</t>
  </si>
  <si>
    <t>Thailand</t>
  </si>
  <si>
    <t>THA</t>
  </si>
  <si>
    <t>US Virgin Islands</t>
  </si>
  <si>
    <t>VIR</t>
  </si>
  <si>
    <t>CP</t>
  </si>
  <si>
    <t>Anguilla</t>
  </si>
  <si>
    <t>Bahamas</t>
  </si>
  <si>
    <t>BHS</t>
  </si>
  <si>
    <t>Ecuador</t>
  </si>
  <si>
    <t>ECU</t>
  </si>
  <si>
    <t>Falklands</t>
  </si>
  <si>
    <t>NCC</t>
  </si>
  <si>
    <t>NCO</t>
  </si>
  <si>
    <t>Suriname</t>
  </si>
  <si>
    <t>SUR</t>
  </si>
  <si>
    <t>LL-B</t>
  </si>
  <si>
    <t>LL-Shrk</t>
  </si>
  <si>
    <t>LL-surf</t>
  </si>
  <si>
    <t>LLBFT</t>
  </si>
  <si>
    <t>TRAP-S</t>
  </si>
  <si>
    <t>BBALB</t>
  </si>
  <si>
    <t>GILLALB</t>
  </si>
  <si>
    <t>GILLSWO</t>
  </si>
  <si>
    <t>Rod and Reel</t>
  </si>
  <si>
    <t>Rod and Reel (catching large fish)</t>
  </si>
  <si>
    <t>Rod and Reel (catching small fish)</t>
  </si>
  <si>
    <t>Handline</t>
  </si>
  <si>
    <t>UNCL</t>
  </si>
  <si>
    <t>UL</t>
  </si>
  <si>
    <t>Total catch</t>
  </si>
  <si>
    <t>Lon</t>
  </si>
  <si>
    <t>Detail</t>
  </si>
  <si>
    <t>Notes</t>
  </si>
  <si>
    <t>Header</t>
  </si>
  <si>
    <t>Description</t>
  </si>
  <si>
    <t>Leave "blank" the fields for which you don't collect information</t>
  </si>
  <si>
    <t>General</t>
  </si>
  <si>
    <t>Number of samples</t>
  </si>
  <si>
    <t>Interval</t>
  </si>
  <si>
    <t>Identification</t>
  </si>
  <si>
    <t>Curaçao</t>
  </si>
  <si>
    <t>Bolivia</t>
  </si>
  <si>
    <t>BOL</t>
  </si>
  <si>
    <t>Montenegro</t>
  </si>
  <si>
    <t>MNE</t>
  </si>
  <si>
    <t>Serbia</t>
  </si>
  <si>
    <t>SRB</t>
  </si>
  <si>
    <t>Singapore</t>
  </si>
  <si>
    <t>SGP</t>
  </si>
  <si>
    <t>Switzerland</t>
  </si>
  <si>
    <t>CHE</t>
  </si>
  <si>
    <t>ALB-N</t>
  </si>
  <si>
    <t>ALB-S</t>
  </si>
  <si>
    <t>ALB-M</t>
  </si>
  <si>
    <t>BFT-E</t>
  </si>
  <si>
    <t>BFT-W</t>
  </si>
  <si>
    <t>BET-A</t>
  </si>
  <si>
    <t>SKJ-E</t>
  </si>
  <si>
    <t>SKJ-W</t>
  </si>
  <si>
    <t>SWO-N</t>
  </si>
  <si>
    <t>SWO-S</t>
  </si>
  <si>
    <t>SWO-M</t>
  </si>
  <si>
    <t>MD</t>
  </si>
  <si>
    <t>Section</t>
  </si>
  <si>
    <t>INTERNATIONAL COMMISSION FOR THE CONSERVATION OF ATLANTIC TUNAS</t>
  </si>
  <si>
    <t>COMMISSION INTERNATIONALE POUR LA CONSERVATION DES THONIDÉS DE L'ATLANTIQUE</t>
  </si>
  <si>
    <t>COMISIÓN INTERNACIONAL PARA LA CONSERVACIÓN DEL ATÚN ATLÁNTICO</t>
  </si>
  <si>
    <t>Correspondant statistique</t>
  </si>
  <si>
    <t>Nom</t>
  </si>
  <si>
    <t>Nombre</t>
  </si>
  <si>
    <t>Téléphone</t>
  </si>
  <si>
    <t>Teléfono</t>
  </si>
  <si>
    <t>Afiliación</t>
  </si>
  <si>
    <t>Institución</t>
  </si>
  <si>
    <t>Département</t>
  </si>
  <si>
    <t>Departamento</t>
  </si>
  <si>
    <t>Adresse</t>
  </si>
  <si>
    <t>Dirección</t>
  </si>
  <si>
    <t>Pays</t>
  </si>
  <si>
    <t>País</t>
  </si>
  <si>
    <t>Pavillon déclarant</t>
  </si>
  <si>
    <t>Version transmise</t>
  </si>
  <si>
    <t>Versión declarada</t>
  </si>
  <si>
    <t>Catch type</t>
  </si>
  <si>
    <t>Type de produit</t>
  </si>
  <si>
    <t>Tipo de producto</t>
  </si>
  <si>
    <t>Attributs des fréquences de taille</t>
  </si>
  <si>
    <t>Type de classe de taille</t>
  </si>
  <si>
    <t>Tipo de clase de talla</t>
  </si>
  <si>
    <t>Intervalle</t>
  </si>
  <si>
    <t>Intervalo</t>
  </si>
  <si>
    <t>Limite de classe</t>
  </si>
  <si>
    <t>Límite de clase</t>
  </si>
  <si>
    <t>Notas</t>
  </si>
  <si>
    <t>Strates de la capture associées aux échantillons</t>
  </si>
  <si>
    <t>Estratos de captura asociados a muestras</t>
  </si>
  <si>
    <t>Captura total</t>
  </si>
  <si>
    <t>Poids (Kg)</t>
  </si>
  <si>
    <t>Peso (kg)</t>
  </si>
  <si>
    <t>Número de peces</t>
  </si>
  <si>
    <t>Number &amp; Gender</t>
  </si>
  <si>
    <t>Nombre &amp; Sexe</t>
  </si>
  <si>
    <t>Número &amp; Sexo</t>
  </si>
  <si>
    <t>Descripción</t>
  </si>
  <si>
    <t>Cabecera</t>
  </si>
  <si>
    <t>Identificación</t>
  </si>
  <si>
    <t>Detalle</t>
  </si>
  <si>
    <t>Escoger un código de arte (códigos ICCAT)</t>
  </si>
  <si>
    <t>Número</t>
  </si>
  <si>
    <t>Número de muestras</t>
  </si>
  <si>
    <t>C</t>
  </si>
  <si>
    <t>L</t>
  </si>
  <si>
    <t>Landings</t>
  </si>
  <si>
    <t>DL</t>
  </si>
  <si>
    <t>DD</t>
  </si>
  <si>
    <t>Discards Dead</t>
  </si>
  <si>
    <t>Discards Live</t>
  </si>
  <si>
    <t>Version</t>
  </si>
  <si>
    <t>Nombre d’échantillons</t>
  </si>
  <si>
    <t>Brazil</t>
  </si>
  <si>
    <t>China PR</t>
  </si>
  <si>
    <t>Adriatic sea, Ionian sea, Ligurian sea, Sardenha, Strait of Sicily, Tyrrenean sea</t>
  </si>
  <si>
    <t>Artisanal, Industrial</t>
  </si>
  <si>
    <t>Syria</t>
  </si>
  <si>
    <t>Trinidad, Tobago</t>
  </si>
  <si>
    <t>Comercial, Recreational</t>
  </si>
  <si>
    <t>CUW</t>
  </si>
  <si>
    <t>Iran</t>
  </si>
  <si>
    <t>Palestine</t>
  </si>
  <si>
    <t>Atlantic bluefin tuna</t>
  </si>
  <si>
    <t>Thon rouge de l'Atlantique</t>
  </si>
  <si>
    <t>Atún rojo del Atlántico</t>
  </si>
  <si>
    <t>FieldID</t>
  </si>
  <si>
    <t>Item</t>
  </si>
  <si>
    <t>NO</t>
  </si>
  <si>
    <t>item</t>
  </si>
  <si>
    <t>subtitle</t>
  </si>
  <si>
    <t>title</t>
  </si>
  <si>
    <t>G00</t>
  </si>
  <si>
    <t>G01a</t>
  </si>
  <si>
    <t>a)</t>
  </si>
  <si>
    <t>b)</t>
  </si>
  <si>
    <t>c)</t>
  </si>
  <si>
    <t>d)</t>
  </si>
  <si>
    <t>e)</t>
  </si>
  <si>
    <t>Translation for Forms</t>
  </si>
  <si>
    <t>Language</t>
  </si>
  <si>
    <t>Langue</t>
  </si>
  <si>
    <t>Idioma</t>
  </si>
  <si>
    <t>field</t>
  </si>
  <si>
    <t>Date reported</t>
  </si>
  <si>
    <t>Reference Nº</t>
  </si>
  <si>
    <t>File name (proposed)</t>
  </si>
  <si>
    <t>Réservé au Secrétariat</t>
  </si>
  <si>
    <t>Fecha de notificación</t>
  </si>
  <si>
    <t>Nº Reference</t>
  </si>
  <si>
    <t>Nº Referencia</t>
  </si>
  <si>
    <t>Nom du fichier (proposé)</t>
  </si>
  <si>
    <t>Nombre de archivo (propuesto)</t>
  </si>
  <si>
    <t>FRA</t>
  </si>
  <si>
    <t>ESP</t>
  </si>
  <si>
    <t>U</t>
  </si>
  <si>
    <t>M</t>
  </si>
  <si>
    <t>F</t>
  </si>
  <si>
    <t>I</t>
  </si>
  <si>
    <t>szClass</t>
  </si>
  <si>
    <t>NrSamples</t>
  </si>
  <si>
    <t>FishSampW</t>
  </si>
  <si>
    <t>FishSampN</t>
  </si>
  <si>
    <t>TotCatchW</t>
  </si>
  <si>
    <t>TotCatchN</t>
  </si>
  <si>
    <t>Weight (kg)</t>
  </si>
  <si>
    <t>Table. Reporting Flags, Flags of Vessel / Countries (A2 &amp; A3 ISO 3166)</t>
  </si>
  <si>
    <t>FlagName</t>
  </si>
  <si>
    <t>FlagA3ISO</t>
  </si>
  <si>
    <t>FlagA2ISO</t>
  </si>
  <si>
    <t>AL</t>
  </si>
  <si>
    <t>DZ</t>
  </si>
  <si>
    <t>AO</t>
  </si>
  <si>
    <t>BZ</t>
  </si>
  <si>
    <t>BR</t>
  </si>
  <si>
    <t>CA</t>
  </si>
  <si>
    <t>CV</t>
  </si>
  <si>
    <t>CN</t>
  </si>
  <si>
    <t>CI</t>
  </si>
  <si>
    <t>EG</t>
  </si>
  <si>
    <t>BEL</t>
  </si>
  <si>
    <t>BE</t>
  </si>
  <si>
    <t>BGR</t>
  </si>
  <si>
    <t>BG</t>
  </si>
  <si>
    <t>HRV</t>
  </si>
  <si>
    <t>HR</t>
  </si>
  <si>
    <t>CYP</t>
  </si>
  <si>
    <t>CY</t>
  </si>
  <si>
    <t>DNK</t>
  </si>
  <si>
    <t>DK</t>
  </si>
  <si>
    <t>ES</t>
  </si>
  <si>
    <t>EST</t>
  </si>
  <si>
    <t>EE</t>
  </si>
  <si>
    <t>FR</t>
  </si>
  <si>
    <t>DEU</t>
  </si>
  <si>
    <t>DE</t>
  </si>
  <si>
    <t>GRC</t>
  </si>
  <si>
    <t>GR</t>
  </si>
  <si>
    <t>HUN</t>
  </si>
  <si>
    <t>HU</t>
  </si>
  <si>
    <t>IRL</t>
  </si>
  <si>
    <t>IE</t>
  </si>
  <si>
    <t>ITA</t>
  </si>
  <si>
    <t>IT</t>
  </si>
  <si>
    <t>LVA</t>
  </si>
  <si>
    <t>LV</t>
  </si>
  <si>
    <t>LTU</t>
  </si>
  <si>
    <t>LT</t>
  </si>
  <si>
    <t>MLT</t>
  </si>
  <si>
    <t>MT</t>
  </si>
  <si>
    <t>NLD</t>
  </si>
  <si>
    <t>NL</t>
  </si>
  <si>
    <t>POL</t>
  </si>
  <si>
    <t>PL</t>
  </si>
  <si>
    <t>PRT</t>
  </si>
  <si>
    <t>PT</t>
  </si>
  <si>
    <t>SVN</t>
  </si>
  <si>
    <t>SI</t>
  </si>
  <si>
    <t>SWE</t>
  </si>
  <si>
    <t>GBR</t>
  </si>
  <si>
    <t>GB</t>
  </si>
  <si>
    <t>SPM</t>
  </si>
  <si>
    <t>PM</t>
  </si>
  <si>
    <t>GA</t>
  </si>
  <si>
    <t>GH</t>
  </si>
  <si>
    <t>GT</t>
  </si>
  <si>
    <t>GQ</t>
  </si>
  <si>
    <t>HN</t>
  </si>
  <si>
    <t>IS</t>
  </si>
  <si>
    <t>JP</t>
  </si>
  <si>
    <t>KR</t>
  </si>
  <si>
    <t>LY</t>
  </si>
  <si>
    <t>MA</t>
  </si>
  <si>
    <t>MR</t>
  </si>
  <si>
    <t>MX</t>
  </si>
  <si>
    <t>NA</t>
  </si>
  <si>
    <t>NI</t>
  </si>
  <si>
    <t>NG</t>
  </si>
  <si>
    <t>PA</t>
  </si>
  <si>
    <t>PH</t>
  </si>
  <si>
    <t>RU</t>
  </si>
  <si>
    <t>ST</t>
  </si>
  <si>
    <t>SN</t>
  </si>
  <si>
    <t>SL</t>
  </si>
  <si>
    <t>ZA</t>
  </si>
  <si>
    <t>VC</t>
  </si>
  <si>
    <t>SY</t>
  </si>
  <si>
    <t>TT</t>
  </si>
  <si>
    <t>US</t>
  </si>
  <si>
    <t>BMU</t>
  </si>
  <si>
    <t>BM</t>
  </si>
  <si>
    <t>VGB</t>
  </si>
  <si>
    <t>VG</t>
  </si>
  <si>
    <t>SHN</t>
  </si>
  <si>
    <t>SH</t>
  </si>
  <si>
    <t>TCA</t>
  </si>
  <si>
    <t>TC</t>
  </si>
  <si>
    <t>UY</t>
  </si>
  <si>
    <t>VU</t>
  </si>
  <si>
    <t>VE</t>
  </si>
  <si>
    <t>BO</t>
  </si>
  <si>
    <t>TWN</t>
  </si>
  <si>
    <t>CW</t>
  </si>
  <si>
    <t>SV</t>
  </si>
  <si>
    <t>SR</t>
  </si>
  <si>
    <t>AI</t>
  </si>
  <si>
    <t>AG</t>
  </si>
  <si>
    <t>AR</t>
  </si>
  <si>
    <t>AW</t>
  </si>
  <si>
    <t>BS</t>
  </si>
  <si>
    <t>BY</t>
  </si>
  <si>
    <t>BJ</t>
  </si>
  <si>
    <t>KH</t>
  </si>
  <si>
    <t>CM</t>
  </si>
  <si>
    <t>KY</t>
  </si>
  <si>
    <t>CL</t>
  </si>
  <si>
    <t>CO</t>
  </si>
  <si>
    <t>CG</t>
  </si>
  <si>
    <t>CR</t>
  </si>
  <si>
    <t>CU</t>
  </si>
  <si>
    <t>DM</t>
  </si>
  <si>
    <t>DO</t>
  </si>
  <si>
    <t>EC</t>
  </si>
  <si>
    <t>FK</t>
  </si>
  <si>
    <t>FO</t>
  </si>
  <si>
    <t>GM</t>
  </si>
  <si>
    <t>GE</t>
  </si>
  <si>
    <t>GD</t>
  </si>
  <si>
    <t>GW</t>
  </si>
  <si>
    <t>GY</t>
  </si>
  <si>
    <t>IN</t>
  </si>
  <si>
    <t>IR</t>
  </si>
  <si>
    <t>IL</t>
  </si>
  <si>
    <t>JM</t>
  </si>
  <si>
    <t>LB</t>
  </si>
  <si>
    <t>LR</t>
  </si>
  <si>
    <t>MY</t>
  </si>
  <si>
    <t>MU</t>
  </si>
  <si>
    <t>ME</t>
  </si>
  <si>
    <t>PR</t>
  </si>
  <si>
    <t>RO</t>
  </si>
  <si>
    <t>KN</t>
  </si>
  <si>
    <t>RS</t>
  </si>
  <si>
    <t>SC</t>
  </si>
  <si>
    <t>SG</t>
  </si>
  <si>
    <t>LC</t>
  </si>
  <si>
    <t>CH</t>
  </si>
  <si>
    <t>TH</t>
  </si>
  <si>
    <t>TG</t>
  </si>
  <si>
    <t>UA</t>
  </si>
  <si>
    <t>VI</t>
  </si>
  <si>
    <t>ScieName</t>
  </si>
  <si>
    <t>CoNameEN</t>
  </si>
  <si>
    <t>CoNameFR</t>
  </si>
  <si>
    <t>CoNameES</t>
  </si>
  <si>
    <t>IccSpcGrp</t>
  </si>
  <si>
    <t>1-Tuna (major sp.)</t>
  </si>
  <si>
    <t>ATorMD</t>
  </si>
  <si>
    <t>StockCode</t>
  </si>
  <si>
    <t>AT</t>
  </si>
  <si>
    <t>S00</t>
  </si>
  <si>
    <t>Specific (by field)</t>
  </si>
  <si>
    <t>Spécifique (par champ)</t>
  </si>
  <si>
    <t>Específico (por campo)</t>
  </si>
  <si>
    <t>Part</t>
  </si>
  <si>
    <t>Partie</t>
  </si>
  <si>
    <t>Parte</t>
  </si>
  <si>
    <t xml:space="preserve">Section </t>
  </si>
  <si>
    <t>Sección</t>
  </si>
  <si>
    <t>Sub-section</t>
  </si>
  <si>
    <t>Sous-section</t>
  </si>
  <si>
    <t>Sub-secciones</t>
  </si>
  <si>
    <t>Tête</t>
  </si>
  <si>
    <t>Détail</t>
  </si>
  <si>
    <t>Clase de talla</t>
  </si>
  <si>
    <t>Classe de taille</t>
  </si>
  <si>
    <t>Size class</t>
  </si>
  <si>
    <t>Number of fish</t>
  </si>
  <si>
    <t>Filter 1</t>
  </si>
  <si>
    <t>Filter 2</t>
  </si>
  <si>
    <t>VersionDescrip</t>
  </si>
  <si>
    <t>Final</t>
  </si>
  <si>
    <t>Final estimations (no changes expected)</t>
  </si>
  <si>
    <t>Preliminary</t>
  </si>
  <si>
    <t>Preliminary estimates (expected changes)</t>
  </si>
  <si>
    <t>Content</t>
  </si>
  <si>
    <t>Revision (FULL)</t>
  </si>
  <si>
    <t>Revision (PARTIAL)</t>
  </si>
  <si>
    <t>FieldType</t>
  </si>
  <si>
    <t>FldNameEN</t>
  </si>
  <si>
    <t>FldNameFR</t>
  </si>
  <si>
    <t>FldNameES</t>
  </si>
  <si>
    <t>FldInstructEN</t>
  </si>
  <si>
    <t>FldInstructFR</t>
  </si>
  <si>
    <t>FldInstructES</t>
  </si>
  <si>
    <t>T01</t>
  </si>
  <si>
    <t>CICTA</t>
  </si>
  <si>
    <t>CICAA</t>
  </si>
  <si>
    <t>(fixed)</t>
  </si>
  <si>
    <t>Versión</t>
  </si>
  <si>
    <t>ICCAT code</t>
  </si>
  <si>
    <t>section</t>
  </si>
  <si>
    <t>subsection</t>
  </si>
  <si>
    <t>Form</t>
  </si>
  <si>
    <t>H00</t>
  </si>
  <si>
    <t>D00</t>
  </si>
  <si>
    <t>H10</t>
  </si>
  <si>
    <t>H11</t>
  </si>
  <si>
    <t>hName</t>
  </si>
  <si>
    <t>hEmail</t>
  </si>
  <si>
    <t>hPhone</t>
  </si>
  <si>
    <t>H12</t>
  </si>
  <si>
    <t>hInstit</t>
  </si>
  <si>
    <t>hDepart</t>
  </si>
  <si>
    <t>hAddress</t>
  </si>
  <si>
    <t>hCountry</t>
  </si>
  <si>
    <t>H20</t>
  </si>
  <si>
    <t>H21</t>
  </si>
  <si>
    <t>hVersion</t>
  </si>
  <si>
    <t>hSzclassfreq</t>
  </si>
  <si>
    <t>hSzinterval</t>
  </si>
  <si>
    <t>hSzclasslim</t>
  </si>
  <si>
    <t>hDaterep</t>
  </si>
  <si>
    <t>hRef</t>
  </si>
  <si>
    <t>hFname</t>
  </si>
  <si>
    <t>hNotes</t>
  </si>
  <si>
    <t>H30</t>
  </si>
  <si>
    <t>T02</t>
  </si>
  <si>
    <t>hContent</t>
  </si>
  <si>
    <t>Content (data)</t>
  </si>
  <si>
    <t>Contenu (données)</t>
  </si>
  <si>
    <t>Contenido (datos)</t>
  </si>
  <si>
    <t>General01</t>
  </si>
  <si>
    <t>General02</t>
  </si>
  <si>
    <t>General03</t>
  </si>
  <si>
    <t>General04</t>
  </si>
  <si>
    <t>General05</t>
  </si>
  <si>
    <t>SC01</t>
  </si>
  <si>
    <t>SC02</t>
  </si>
  <si>
    <t>SC03</t>
  </si>
  <si>
    <t>SC04</t>
  </si>
  <si>
    <t>SC05</t>
  </si>
  <si>
    <t>SC06</t>
  </si>
  <si>
    <t>SC07</t>
  </si>
  <si>
    <t>D10</t>
  </si>
  <si>
    <t>D20</t>
  </si>
  <si>
    <t>D11</t>
  </si>
  <si>
    <t>D12</t>
  </si>
  <si>
    <t>D13</t>
  </si>
  <si>
    <t>D12a</t>
  </si>
  <si>
    <t>D12b</t>
  </si>
  <si>
    <t>D21</t>
  </si>
  <si>
    <t>hFilter1</t>
  </si>
  <si>
    <t>boolean</t>
  </si>
  <si>
    <t>Filtre 1</t>
  </si>
  <si>
    <t>Filtro 1</t>
  </si>
  <si>
    <t>Secretariat use only</t>
  </si>
  <si>
    <t>hFilter2</t>
  </si>
  <si>
    <t>Filtre 2</t>
  </si>
  <si>
    <t>Filtro 2</t>
  </si>
  <si>
    <t>H31</t>
  </si>
  <si>
    <t>float</t>
  </si>
  <si>
    <t>integer</t>
  </si>
  <si>
    <t>date</t>
  </si>
  <si>
    <t>T00</t>
  </si>
  <si>
    <t>Title</t>
  </si>
  <si>
    <t>Titre</t>
  </si>
  <si>
    <t>Título</t>
  </si>
  <si>
    <t>Form Title</t>
  </si>
  <si>
    <t>Titre du formulaire</t>
  </si>
  <si>
    <t>Título del formulario</t>
  </si>
  <si>
    <t>Corresponsal estadístico</t>
  </si>
  <si>
    <t>Reservado a la Secretaría</t>
  </si>
  <si>
    <t>Filtering criteria</t>
  </si>
  <si>
    <t>Critères de filtrage</t>
  </si>
  <si>
    <t>Criterios de filtrado</t>
  </si>
  <si>
    <t>H32</t>
  </si>
  <si>
    <t>Catch attributes</t>
  </si>
  <si>
    <t>Attributs de la capture</t>
  </si>
  <si>
    <t>Atributos de captura</t>
  </si>
  <si>
    <t>Atributos de frecuencias de talla</t>
  </si>
  <si>
    <t>H40</t>
  </si>
  <si>
    <t>Other attributes</t>
  </si>
  <si>
    <t>Autres attributs</t>
  </si>
  <si>
    <t>Otros atributos</t>
  </si>
  <si>
    <t>hFlagrep</t>
  </si>
  <si>
    <t>Reporting Flag</t>
  </si>
  <si>
    <t>Pabellón declarante</t>
  </si>
  <si>
    <t>hSpeciesCd</t>
  </si>
  <si>
    <t>Species (cod)</t>
  </si>
  <si>
    <t>Espèce (cod)</t>
  </si>
  <si>
    <t>Especie (cód)</t>
  </si>
  <si>
    <t>hProdtypeLW</t>
  </si>
  <si>
    <t>Date de déclaration</t>
  </si>
  <si>
    <t>Reservado a la Sacretaría</t>
  </si>
  <si>
    <t>Send the form to ICCAT with the proposed file name (if required, suffix it with an ID at the end)</t>
  </si>
  <si>
    <t>Enviar el formulario a ICCAT con el nombre del archivo propuesto (si necesario, añadir como sufijo un ID al final)</t>
  </si>
  <si>
    <t>Attributs CAS</t>
  </si>
  <si>
    <t>Atributos CAS</t>
  </si>
  <si>
    <t>Fleet ID</t>
  </si>
  <si>
    <t>Flotte ID</t>
  </si>
  <si>
    <t>Flota ID</t>
  </si>
  <si>
    <t>Geo Strata (5x5 squares)</t>
  </si>
  <si>
    <t>Zone (carrés 5x5)</t>
  </si>
  <si>
    <t>Area (cuadrículas 5x5)</t>
  </si>
  <si>
    <t>Prise totale</t>
  </si>
  <si>
    <t>CAS details</t>
  </si>
  <si>
    <t xml:space="preserve">Détails CAS </t>
  </si>
  <si>
    <t>Detalles CAS</t>
  </si>
  <si>
    <t>FlagVesCd</t>
  </si>
  <si>
    <t>Flag of Vessel (cod)</t>
  </si>
  <si>
    <t>Pavillon du navire (cod)</t>
  </si>
  <si>
    <t>Pabellón del buque (cód)</t>
  </si>
  <si>
    <t>GearCd</t>
  </si>
  <si>
    <t>Gear (cod)</t>
  </si>
  <si>
    <t>Engin (cod)</t>
  </si>
  <si>
    <t>Arte (cód)</t>
  </si>
  <si>
    <t>CatchTypeCd</t>
  </si>
  <si>
    <t>Catch type (cod)</t>
  </si>
  <si>
    <t>Indicar si las muestras asociadas proceden de capturas desembarcadas o descartadas, y si son descartadas si corresponden a descartes vivos o muertos</t>
  </si>
  <si>
    <t>SchoolTypCd</t>
  </si>
  <si>
    <t>School t. (cod)</t>
  </si>
  <si>
    <t>T. Banc (cod)</t>
  </si>
  <si>
    <t>T. Cardumen (cód)</t>
  </si>
  <si>
    <t>SaAreaCd</t>
  </si>
  <si>
    <t>Sampling area (cod)</t>
  </si>
  <si>
    <t>Zone échantillonnage (cod)</t>
  </si>
  <si>
    <t>Área muestreo (cod)</t>
  </si>
  <si>
    <t>QuadCd</t>
  </si>
  <si>
    <t>Quad (cod)</t>
  </si>
  <si>
    <t>Carré (cod)</t>
  </si>
  <si>
    <t>Cuad (cód)</t>
  </si>
  <si>
    <t>Poids (kg)</t>
  </si>
  <si>
    <t>Nombre de poissons</t>
  </si>
  <si>
    <t>NoUc</t>
  </si>
  <si>
    <t xml:space="preserve">U </t>
  </si>
  <si>
    <t>Add to each class the Number of fish caught (sex unknow)</t>
  </si>
  <si>
    <t>Ajouter à chaque classe le nombre de poissons capturés (sexe inconnu)</t>
  </si>
  <si>
    <t>NoMc</t>
  </si>
  <si>
    <t>Add to each class the Number of fish caught (males)</t>
  </si>
  <si>
    <t>Ajouter à chaque classe le nombre de poissons capturés (mâles)</t>
  </si>
  <si>
    <t>Añadir en cada clase el número de peces capturados (machos)</t>
  </si>
  <si>
    <t>NoFc</t>
  </si>
  <si>
    <t>Add to each class the Number of fish caught (females)</t>
  </si>
  <si>
    <t>Ajouter à chaque classe le nombre de poissons capturés (femelles)</t>
  </si>
  <si>
    <t>Añadir en cada clase el número de peces capturados (hembras)</t>
  </si>
  <si>
    <t>NoIc</t>
  </si>
  <si>
    <t>Add to each class the Number of fish caught (immatures)</t>
  </si>
  <si>
    <t>Ajouter à chaque classe le nombre de poissons capturés (immatures)</t>
  </si>
  <si>
    <t>Añadir en cada clase el número de peces capturados (inmaduros)</t>
  </si>
  <si>
    <t>Instructions</t>
  </si>
  <si>
    <t>Instrucciones</t>
  </si>
  <si>
    <t>Instructions to complete the form</t>
  </si>
  <si>
    <t>Instructions pour remplir le formulaire</t>
  </si>
  <si>
    <t>Instrucciones para cumplimentar el formulario</t>
  </si>
  <si>
    <t>G01</t>
  </si>
  <si>
    <t>G01b</t>
  </si>
  <si>
    <t>G01c</t>
  </si>
  <si>
    <t>G01d</t>
  </si>
  <si>
    <t>Recomendación para los usuarios con bases de datos: para pegar un conjunto de datos completo en la sección de información detallada (debe tener la misma estructura y formato) se debe utilizar "Paste special (values)"</t>
  </si>
  <si>
    <t>G01e</t>
  </si>
  <si>
    <t>Formulaire</t>
  </si>
  <si>
    <t>Formulario</t>
  </si>
  <si>
    <t>SchooltypCd</t>
  </si>
  <si>
    <t>Sampling details</t>
  </si>
  <si>
    <t>Detalles de muestreo</t>
  </si>
  <si>
    <t>Détails d'échantillonnage</t>
  </si>
  <si>
    <t>Filter</t>
  </si>
  <si>
    <t>Type</t>
  </si>
  <si>
    <t>Valid set</t>
  </si>
  <si>
    <t>Data must come in one of the valid SCRS electronic forms/Exchange formats</t>
  </si>
  <si>
    <t>global</t>
  </si>
  <si>
    <t>Header section must be complete</t>
  </si>
  <si>
    <t>Detail section must be filled-in using ICCAT codes</t>
  </si>
  <si>
    <t>see "codes" sheet</t>
  </si>
  <si>
    <t>form specific</t>
  </si>
  <si>
    <t>Proper geographic resolution by gear type (LL/surf)</t>
  </si>
  <si>
    <t>waiting SCRS</t>
  </si>
  <si>
    <t>{5x5, SA)</t>
  </si>
  <si>
    <t>In force</t>
  </si>
  <si>
    <t>Size classes in "cm" (class intervals: 1cm,  2cm) and with lower limit boundaries (**)</t>
  </si>
  <si>
    <t>Table. Version types</t>
  </si>
  <si>
    <t>Table. Content types</t>
  </si>
  <si>
    <t>Table. School types</t>
  </si>
  <si>
    <t>Table. Gears</t>
  </si>
  <si>
    <t>Table. Size class limits (boundaries)</t>
  </si>
  <si>
    <t>SCRS Filter criteria for acceptance/rejection of the data reported</t>
  </si>
  <si>
    <t>Côte d'Ivoire</t>
  </si>
  <si>
    <t>TRAWB</t>
  </si>
  <si>
    <t>TRAWP</t>
  </si>
  <si>
    <t>TRAWPP</t>
  </si>
  <si>
    <t>HARPE</t>
  </si>
  <si>
    <t>Harpoon: Electric harpoon (old HP-E)</t>
  </si>
  <si>
    <t>BF66</t>
  </si>
  <si>
    <t>BF50</t>
  </si>
  <si>
    <t>BF52</t>
  </si>
  <si>
    <t>BF56</t>
  </si>
  <si>
    <t>BF64</t>
  </si>
  <si>
    <t>BF67</t>
  </si>
  <si>
    <t>BF68</t>
  </si>
  <si>
    <t>BE01</t>
  </si>
  <si>
    <t>BE02</t>
  </si>
  <si>
    <t>BE03</t>
  </si>
  <si>
    <t>BE04</t>
  </si>
  <si>
    <t>BE05</t>
  </si>
  <si>
    <t>BE06</t>
  </si>
  <si>
    <t>BE07</t>
  </si>
  <si>
    <t>BE08</t>
  </si>
  <si>
    <t>BE09</t>
  </si>
  <si>
    <t>BE10</t>
  </si>
  <si>
    <t>BE20</t>
  </si>
  <si>
    <t>BE30</t>
  </si>
  <si>
    <t>BE40</t>
  </si>
  <si>
    <t>SJ01</t>
  </si>
  <si>
    <t>SJ02</t>
  </si>
  <si>
    <t>SJ03</t>
  </si>
  <si>
    <t>SJ04</t>
  </si>
  <si>
    <t>SJ05</t>
  </si>
  <si>
    <t>SJ06</t>
  </si>
  <si>
    <t>SJ20</t>
  </si>
  <si>
    <t>SJ08</t>
  </si>
  <si>
    <t>SJ09</t>
  </si>
  <si>
    <t>SJ07</t>
  </si>
  <si>
    <t>SJ30</t>
  </si>
  <si>
    <t>SJ40</t>
  </si>
  <si>
    <t>YF01</t>
  </si>
  <si>
    <t>YF02</t>
  </si>
  <si>
    <t>YF03</t>
  </si>
  <si>
    <t>YF04</t>
  </si>
  <si>
    <t>YF05</t>
  </si>
  <si>
    <t>YF06</t>
  </si>
  <si>
    <t>YF07</t>
  </si>
  <si>
    <t>YF20</t>
  </si>
  <si>
    <t>YF08</t>
  </si>
  <si>
    <t>YF09</t>
  </si>
  <si>
    <t>YF10</t>
  </si>
  <si>
    <t>YF11</t>
  </si>
  <si>
    <t>YF12</t>
  </si>
  <si>
    <t>YF13</t>
  </si>
  <si>
    <t>YF30</t>
  </si>
  <si>
    <t>YF40</t>
  </si>
  <si>
    <t>BIL94C</t>
  </si>
  <si>
    <t>** For a 20cm class with 2cm class intervals with lower limit boundary: [20-22[ (i.e.: 20cm&lt;=X&lt;22cm (AND NOT upper limit ]20, 22] OR central point types [19.5, 21.49[</t>
  </si>
  <si>
    <t>Size class frequencies within valid ranges [waiting species Working Groups input]</t>
  </si>
  <si>
    <t>Recreational (or Sport)</t>
  </si>
  <si>
    <t>Mainland, Azores, Madeira, Recreational (or Sport)</t>
  </si>
  <si>
    <t>Longline: Surface</t>
  </si>
  <si>
    <t>Longline: Japanese type (Spain)</t>
  </si>
  <si>
    <t>Longline: With mother boat</t>
  </si>
  <si>
    <t>Longline: "Stone-ball" (Spain)</t>
  </si>
  <si>
    <t>Purse seine: Double-boats</t>
  </si>
  <si>
    <t>Purse seine: Catching large fish</t>
  </si>
  <si>
    <t>Purse seine: Catching small fish</t>
  </si>
  <si>
    <t>Purse seine: Large scale (over 200 MT capacity)</t>
  </si>
  <si>
    <t>Purse seine: Using live bait</t>
  </si>
  <si>
    <t>Purse seine: Medium scale (between 50 and 200 MT capacity)</t>
  </si>
  <si>
    <t>Purse seine: Small scale (less than 50 MT capacity)</t>
  </si>
  <si>
    <t>Trap: trap non-fixed</t>
  </si>
  <si>
    <t>Baitboat: Targgetting ALB</t>
  </si>
  <si>
    <t>Baitboat: Freezer</t>
  </si>
  <si>
    <t>Baitboat: Ice-well</t>
  </si>
  <si>
    <t>Trawl: Bottom paired (old TRBD)</t>
  </si>
  <si>
    <t>Trawl: Mid-water pelagic (old MWT)</t>
  </si>
  <si>
    <t>Trawl: Mid-water pelagic paired (old MWTD)</t>
  </si>
  <si>
    <t>Gillnet: Drift net</t>
  </si>
  <si>
    <t>Gillnet: Targetting ALB</t>
  </si>
  <si>
    <t>Gillnet: Targetting SWO</t>
  </si>
  <si>
    <t>Other (specified in Notes)</t>
  </si>
  <si>
    <t>SFL</t>
  </si>
  <si>
    <t>Andorra</t>
  </si>
  <si>
    <t>AND</t>
  </si>
  <si>
    <t>AD</t>
  </si>
  <si>
    <t>Australia</t>
  </si>
  <si>
    <t>AUS</t>
  </si>
  <si>
    <t>AU</t>
  </si>
  <si>
    <t>Brunei</t>
  </si>
  <si>
    <t>BND</t>
  </si>
  <si>
    <t>BN</t>
  </si>
  <si>
    <t>Cook Islands</t>
  </si>
  <si>
    <t>COK</t>
  </si>
  <si>
    <t>CK</t>
  </si>
  <si>
    <t>Fiji Islands</t>
  </si>
  <si>
    <t>FJI</t>
  </si>
  <si>
    <t>FJ</t>
  </si>
  <si>
    <t>Guam</t>
  </si>
  <si>
    <t>GUM</t>
  </si>
  <si>
    <t>GU</t>
  </si>
  <si>
    <t>Haiti</t>
  </si>
  <si>
    <t>HTI</t>
  </si>
  <si>
    <t>HT</t>
  </si>
  <si>
    <t>Indonesia</t>
  </si>
  <si>
    <t>IDN</t>
  </si>
  <si>
    <t>ID</t>
  </si>
  <si>
    <t>Kenya</t>
  </si>
  <si>
    <t>KEN</t>
  </si>
  <si>
    <t>KE</t>
  </si>
  <si>
    <t>Kiribati</t>
  </si>
  <si>
    <t>KIR</t>
  </si>
  <si>
    <t>KI</t>
  </si>
  <si>
    <t>Kuwait</t>
  </si>
  <si>
    <t>KWT</t>
  </si>
  <si>
    <t>KW</t>
  </si>
  <si>
    <t>Madagascar</t>
  </si>
  <si>
    <t>MDG</t>
  </si>
  <si>
    <t>MG</t>
  </si>
  <si>
    <t>Maldives</t>
  </si>
  <si>
    <t>MDV</t>
  </si>
  <si>
    <t>MV</t>
  </si>
  <si>
    <t>Marshall Islands</t>
  </si>
  <si>
    <t>MHL</t>
  </si>
  <si>
    <t>MH</t>
  </si>
  <si>
    <t>Micronesia</t>
  </si>
  <si>
    <t>FSM</t>
  </si>
  <si>
    <t>FM</t>
  </si>
  <si>
    <t>Mozambique</t>
  </si>
  <si>
    <t>MOZ</t>
  </si>
  <si>
    <t>MZ</t>
  </si>
  <si>
    <t>New Caledonia</t>
  </si>
  <si>
    <t>NCL</t>
  </si>
  <si>
    <t>NC</t>
  </si>
  <si>
    <t>New Zealand</t>
  </si>
  <si>
    <t>NZL</t>
  </si>
  <si>
    <t>NZ</t>
  </si>
  <si>
    <t>Oman</t>
  </si>
  <si>
    <t>OMN</t>
  </si>
  <si>
    <t>OM</t>
  </si>
  <si>
    <t>Palau</t>
  </si>
  <si>
    <t>PLW</t>
  </si>
  <si>
    <t>PW</t>
  </si>
  <si>
    <t>Papua New Guinea</t>
  </si>
  <si>
    <t>PNG</t>
  </si>
  <si>
    <t>PG</t>
  </si>
  <si>
    <t>Perú</t>
  </si>
  <si>
    <t>PER</t>
  </si>
  <si>
    <t>PE</t>
  </si>
  <si>
    <t>Polynesie Française</t>
  </si>
  <si>
    <t>PYF</t>
  </si>
  <si>
    <t>PF</t>
  </si>
  <si>
    <t>Samoa</t>
  </si>
  <si>
    <t>WSM</t>
  </si>
  <si>
    <t>WS</t>
  </si>
  <si>
    <t>Saudi Arabia</t>
  </si>
  <si>
    <t>SAU</t>
  </si>
  <si>
    <t>SA</t>
  </si>
  <si>
    <t>Solomon Islands</t>
  </si>
  <si>
    <t>SLB</t>
  </si>
  <si>
    <t>SB</t>
  </si>
  <si>
    <t>Sri Lanka</t>
  </si>
  <si>
    <t>LKA</t>
  </si>
  <si>
    <t>LK</t>
  </si>
  <si>
    <t>Tanzania</t>
  </si>
  <si>
    <t>TZA</t>
  </si>
  <si>
    <t>TZ</t>
  </si>
  <si>
    <t>Tonga</t>
  </si>
  <si>
    <t>TON</t>
  </si>
  <si>
    <t>TO</t>
  </si>
  <si>
    <t>Tuvalu</t>
  </si>
  <si>
    <t>TUV</t>
  </si>
  <si>
    <t>TV</t>
  </si>
  <si>
    <t>United Arab Emirates</t>
  </si>
  <si>
    <t>ARE</t>
  </si>
  <si>
    <t>AE</t>
  </si>
  <si>
    <t>Vietnam</t>
  </si>
  <si>
    <t>VNM</t>
  </si>
  <si>
    <t>VN</t>
  </si>
  <si>
    <t>YearC</t>
  </si>
  <si>
    <t>Month</t>
  </si>
  <si>
    <t>Mois</t>
  </si>
  <si>
    <t>LangFieldID</t>
  </si>
  <si>
    <t>LangNameID</t>
  </si>
  <si>
    <t>ST05-T2CS</t>
  </si>
  <si>
    <t>{mm}</t>
  </si>
  <si>
    <t>pending</t>
  </si>
  <si>
    <t>Type capture (cod)</t>
  </si>
  <si>
    <t>Tipo captura (cód)</t>
  </si>
  <si>
    <t>Burkina Faso</t>
  </si>
  <si>
    <t>BFA</t>
  </si>
  <si>
    <t>BF</t>
  </si>
  <si>
    <t>Years covered (from)</t>
  </si>
  <si>
    <t>Années visées (de)</t>
  </si>
  <si>
    <t>Años incluidos (desde)</t>
  </si>
  <si>
    <t>(to)</t>
  </si>
  <si>
    <t>(à)</t>
  </si>
  <si>
    <t>(hasta)</t>
  </si>
  <si>
    <t>hYearFrom</t>
  </si>
  <si>
    <t>hYearTo</t>
  </si>
  <si>
    <t>string</t>
  </si>
  <si>
    <t>ENG</t>
  </si>
  <si>
    <t>LW</t>
  </si>
  <si>
    <t xml:space="preserve">Proper time resolution (month: mandatory since 2017) </t>
  </si>
  <si>
    <t>AUT</t>
  </si>
  <si>
    <t>Djibouti</t>
  </si>
  <si>
    <t>DJI</t>
  </si>
  <si>
    <t>DJ</t>
  </si>
  <si>
    <t>Thon obèse (Patudo)</t>
  </si>
  <si>
    <t>Unknown (for sampling areas only)</t>
  </si>
  <si>
    <t>Longline: Targetting ALB</t>
  </si>
  <si>
    <t>Longline: Targetting BFT</t>
  </si>
  <si>
    <t>Longline: Targetting SWO</t>
  </si>
  <si>
    <t>Trap: small traps</t>
  </si>
  <si>
    <t>ContentDescript</t>
  </si>
  <si>
    <t>New (FULL)</t>
  </si>
  <si>
    <t>New data (never reported to ICCAT): FULL coverage</t>
  </si>
  <si>
    <t>New (PARTIAL)</t>
  </si>
  <si>
    <t>New data (never reported to ICCAT): PARTIAL coverage</t>
  </si>
  <si>
    <t>Revised data (FULL): to fully replace the previously reported data</t>
  </si>
  <si>
    <t>Revised data (PARTIAL): to partially replace the previously reported data</t>
  </si>
  <si>
    <t>Table. Species (6 major species only) standard codes</t>
  </si>
  <si>
    <t>Table. Length frequency class types (cm only)</t>
  </si>
  <si>
    <t>Strait Fork Length (old FL)</t>
  </si>
  <si>
    <t>Table. Catch types</t>
  </si>
  <si>
    <t>Catches (L+DD)</t>
  </si>
  <si>
    <t>ST05</t>
  </si>
  <si>
    <t>Titles</t>
  </si>
  <si>
    <t>tVersion</t>
  </si>
  <si>
    <t>Always use the lastest version of this form</t>
  </si>
  <si>
    <t>Utiliser toujours la dernière version de ce formulaire</t>
  </si>
  <si>
    <t>Utilice siempre la última versión de este formulario</t>
  </si>
  <si>
    <t>tLang</t>
  </si>
  <si>
    <t>Choose the language (ENG, FRA, ESP) for form translation</t>
  </si>
  <si>
    <t>Choisir la langue (ENG, FRA, ESP) pour la traduction du formulaire</t>
  </si>
  <si>
    <t>Elija el idioma (ENG, FRA, ESP) para la traducción del formulario</t>
  </si>
  <si>
    <t>Caractéristiques jeu de données</t>
  </si>
  <si>
    <t>Características conjunto de datos</t>
  </si>
  <si>
    <t>Name (full OR Name &amp; Surname) of the Statistical Correspondent (officially nominated by the CPC)</t>
  </si>
  <si>
    <t>Nom (complet OU Prénom et Nom) du correspondant statistique (officiellement désigné par la CPC)</t>
  </si>
  <si>
    <t>Nombre (completo o nombre y apellido) del Corresponsal estadístico designado oficialmente por la CPC</t>
  </si>
  <si>
    <t>Email address of the Statistical Correspondent</t>
  </si>
  <si>
    <t>Adresse email du correspondant statistique</t>
  </si>
  <si>
    <t>Dirección de correo electrónico del corresponsal estadístico</t>
  </si>
  <si>
    <t>Telephone number of the Statistical Correspondent</t>
  </si>
  <si>
    <t>Numéro de téléphone du correspondant statistique</t>
  </si>
  <si>
    <t>Número de teléfono del corresponsal estadístico</t>
  </si>
  <si>
    <t>Institute (ministry, agency, research Institute, etc.) to which the Statistical Correspondent is affiliated</t>
  </si>
  <si>
    <t>Institution (ministère, agence, institut de recherche, etc.) à laquelle le correspondant statistique est affilié</t>
  </si>
  <si>
    <t>Institución (Ministerio, Agencia, instituto de investigación, etc.) al que pertenece el corresponsal estadístico</t>
  </si>
  <si>
    <t>Department within the Institution, where applicable</t>
  </si>
  <si>
    <t>Département au sein de l'institution, le cas échéant</t>
  </si>
  <si>
    <t>Departamento dentro de la institución, si procede</t>
  </si>
  <si>
    <t>Postal address of the institution (street, number, city, state)</t>
  </si>
  <si>
    <t>Adresse postale de l'institution (rue, numéro, ville, État)</t>
  </si>
  <si>
    <t>Dirección postal de la institución (calle, número, ciudad, estado)</t>
  </si>
  <si>
    <t>Country in which the Institution is based</t>
  </si>
  <si>
    <t>Pays dans lequel l'institution est basée</t>
  </si>
  <si>
    <t>País en el que tiene su sede la institución</t>
  </si>
  <si>
    <t>Choose the Flag CPC reporting the data (ICCAT codes)</t>
  </si>
  <si>
    <t>Choisir la CPC de pavillon qui déclare les données (code ICCAT)</t>
  </si>
  <si>
    <t>Escoger la CPC del pabellón que comunica los datos (códigos ICCAT)</t>
  </si>
  <si>
    <t>One or more years can be added to the form. Add the first (from) year (4 digits) to which the data relate</t>
  </si>
  <si>
    <t>Une ou plusieurs années peuvent être ajoutées au formulaire. Ajouter la première année (de) (4 chiffres) à laquelle les données correspondent</t>
  </si>
  <si>
    <t>Pueden añadirse uno o más años al formulario. Añadir el primer año (desde, cuatro dígitos) al que conciernen los datos</t>
  </si>
  <si>
    <t>One or more years can be added to the form. Add the last (to) year (4 digits) to which the data relate</t>
  </si>
  <si>
    <t>Une ou plusieurs années peuvent être ajoutées au formulaire. Ajouter la dernière année (jusqu'à) (4 chiffres) à laquelle les données correspondent</t>
  </si>
  <si>
    <t>Pueden añadirse uno o más años al formulario. Añadir el último año (hasta, cuatro dígitos) al que conciernen los datos</t>
  </si>
  <si>
    <t>Specify if this submission is Preliminary (subject to revision) or Final (already validated)</t>
  </si>
  <si>
    <t>Préciser si cette soumission est préliminaire (sujette à révision) ou finale (déjà validée)</t>
  </si>
  <si>
    <t>Especificar si la presentación es preliminar (sujeta a revisión) o final (ya validada)</t>
  </si>
  <si>
    <t>Specify if the overall data content is NEW (full set OR partial set) OR a REVISION (full set OR partial set)</t>
  </si>
  <si>
    <t>Préciser si le contenu global de données est NOUVEAU (ensemble complète OU ensemble partiel) OU une RÉVISION (ensemble complète OU ensemble partiel)</t>
  </si>
  <si>
    <t>Especificar si el contenido general de los datos es NUEVO (conjunto completo O conjunto parcial) O una REVISIÓN (conjunto completo O conjunto parcial)</t>
  </si>
  <si>
    <t>BFT only (fixed)</t>
  </si>
  <si>
    <t>BFT seulement (fixe)</t>
  </si>
  <si>
    <t>BFT sólo (fijo)</t>
  </si>
  <si>
    <t>Sizes frequencies should be reported in length OR weight classes. Length classes are preferred. For length classes, the type length measurement (LJFL, FL, TL, etc.) should be indicated. Weight size frequencies must be in intervals of one kilogram</t>
  </si>
  <si>
    <t>Les fréquences de taille devraient être déclarées en classes de tailles OU de poids. Il est préférable d'utiliser les classes de tailles. Pour les classes de tailles, le type de mesure de la longueur (LJFL, FL, TL, etc.) devrait être indiqué. Les fréquences de taille en poids doivent être présentées dans des intervalles d’un kilogramme</t>
  </si>
  <si>
    <t>Las frecuencias de talla deben comunicarse en clases de talla O de peso. Es preferible utilizar clases de talla. Para las clases de talla, debe especificarse el tipo de medición de la talla (LJFL, FL, TL, etc.). Las frecuencias de talla en peso deben presentarse en intervalos de un kilogramo</t>
  </si>
  <si>
    <t>Choose the Interval of the size frequencies (1cm; 2cm, 5 cm; 1kg)</t>
  </si>
  <si>
    <t>Choisir l'intervalle des fréquences de taille (1cm; 2cm; 5cm; 1kg)</t>
  </si>
  <si>
    <t>Escoger el intervalo de frecuencias de talla (1 cm, 2 cm, 5 cm, 1 kg)</t>
  </si>
  <si>
    <t>Identify the class boundary intervals (lower limit, central point, upper limit)</t>
  </si>
  <si>
    <t>Identifier les intervalles des limites de classe (limite inférieure, point central, limite supérieure)</t>
  </si>
  <si>
    <t>Identificar los intervalos de límite de clase (límite inferior, punto central, límite superior)</t>
  </si>
  <si>
    <t>Envoyer le formulaire à l'ICCAT avec le nom du fichier proposé (si nécessaire, ajouter un suffixe d'ID à la fin)</t>
  </si>
  <si>
    <t>Add additional (complementary) notes in respect to the overall dataset (if needed)</t>
  </si>
  <si>
    <t>Ajouter des notes additionnelles (complémentaires) en ce qui concerne le jeu de données global (si nécessaire)</t>
  </si>
  <si>
    <t>Añadir notas adicionales (complementarias) para el conjunto de datos global (si se requieren)</t>
  </si>
  <si>
    <t>Choose the flag of the vessel for which the data apply (whether national or foreign flagged vessel)</t>
  </si>
  <si>
    <t>Choisir le pavillon du navire auquel les données s'appliquent (navire sous pavillon national ou étranger)</t>
  </si>
  <si>
    <t>Escoger el pabellón del buque al que se refieren los datos (ya sea un buque nacional o con pabelllón extranjero)</t>
  </si>
  <si>
    <t>Year (calendar)</t>
  </si>
  <si>
    <t>Année (calendrier)</t>
  </si>
  <si>
    <t>Año (calendario)</t>
  </si>
  <si>
    <t>Calendar year (four digits) in which the catch was taken</t>
  </si>
  <si>
    <t>Année civile (quatre chiffres) au cours de laquelle la prise a été réalisée</t>
  </si>
  <si>
    <t>Año civil (cuatro dígitos) en que se realizó la captura</t>
  </si>
  <si>
    <t>Mes</t>
  </si>
  <si>
    <t>Catch and effort should be reported by month (January= 1; December= 12)</t>
  </si>
  <si>
    <t>La prise et l'effort devraient être déclarées par mois (janvier=1 ; décembre = 12)</t>
  </si>
  <si>
    <t>La captura y esfuerzo debe comunicarse por mes (enero=1; diciembre=12)</t>
  </si>
  <si>
    <t>Choose the Gear code (ICCAT codes)</t>
  </si>
  <si>
    <t>Choisir le code d'engin (code ICCAT)</t>
  </si>
  <si>
    <t>Specify if associated samples are from catch landings or discards, and if discards whether there are live or dead discards</t>
  </si>
  <si>
    <t>Spécifier si les échantillons associés sont issus des débarquements ou des rejets. S’il s’agit de rejets, indiquer s’ils sont morts ou vivants</t>
  </si>
  <si>
    <t>For each species, enter the school type (FAD or Free School) if the gear is "purse seine". Not applicable (n/a or "blank") by default</t>
  </si>
  <si>
    <t>Pour chaque espèce, saisir le type de banc (DCP ou banc libre) s'il s'agit de l'engin de senne. Non applicable (n/a ou case vide) par défaut</t>
  </si>
  <si>
    <t>Para cada especie introducir el tipo de banco (DCP o banco libre) si el arte es "cerco". No aplicable (n/a o celda en blanco) por defecto</t>
  </si>
  <si>
    <t>Choose the Sampling Area code of the species (within each stock)</t>
  </si>
  <si>
    <t>Choisir le code de la zone d'échantillonnage de l'espèce (dans chaque stock)</t>
  </si>
  <si>
    <t>Escoger el código del área de muestreo de la especie (dentro de cada stock)</t>
  </si>
  <si>
    <t>Choose the quadrant (ICCAT codes: NE(1); SE(2); SW(3); NW(4))</t>
  </si>
  <si>
    <t>Choisir le quadrant (codes ICCAT: NE(1) ; SE(2) ; SW(3) ; NW(4))</t>
  </si>
  <si>
    <t>Escoger el cuadrante (códigos ICCAT: NE(1); SE(2); SW(3); NW:(4))</t>
  </si>
  <si>
    <t>Latitude of the corner of the square closest to 0º (multiples of the Square Type code)</t>
  </si>
  <si>
    <t>Latitude du coin du carré le plus proche de 0º (multiples du code type de carré)</t>
  </si>
  <si>
    <t>Latitud de la esquina de la cuadrícula más cercana a 0º (múltiplos del código de tipo de cuadrícula)</t>
  </si>
  <si>
    <t>Longitude of the corner of the square closest to 0º (multiples of the Square Type code)</t>
  </si>
  <si>
    <t>Longitude du coin du carré le plus proche de 0º (multiples du code type de carré)</t>
  </si>
  <si>
    <t>Longitud de la esquina de la cuadrícula más cercana a cero (múltiplos del código de tipo de cuadrícula)</t>
  </si>
  <si>
    <t>Enter the Total catch in weight (kg) of the strata</t>
  </si>
  <si>
    <t>Saisir la prise totale en poids (kg) des strates</t>
  </si>
  <si>
    <t>Consignar la captura total en peso (kg) del estrato</t>
  </si>
  <si>
    <t>Total catch in number of fish of the strata</t>
  </si>
  <si>
    <t>Prise totale en nombre de poissons de la strate</t>
  </si>
  <si>
    <t>Captura total en número de ejemplares del estrato</t>
  </si>
  <si>
    <t>Number of samples combined used in each strata</t>
  </si>
  <si>
    <t>Nombre d'échantillons combinés utilisés dans chaque strate</t>
  </si>
  <si>
    <t>Número de muestras combinadas utilizadas en cada estrato</t>
  </si>
  <si>
    <t>Total weight (kg) of the fish sampled in the sampling unit</t>
  </si>
  <si>
    <t>Poids total (kg) des poissons échantillonnés dans l'unité d'échantillonnage</t>
  </si>
  <si>
    <t>Peso total (kg) de los ejemplares muestreados en la unidad de muestreo</t>
  </si>
  <si>
    <t>Total number of fish in the sampling unit</t>
  </si>
  <si>
    <t>Nombre total de poissons dans l'unité d'échantillonnage</t>
  </si>
  <si>
    <t>Número total de ejemplares en la unidad de muestreo</t>
  </si>
  <si>
    <t>The size class of the fish. In each sampling unit, it should start at the lowest size class and continue in multiples of the chosen Interval (header section). It is not necessary to enter size classes for which fish sampled is "zero"</t>
  </si>
  <si>
    <t>Classe de tailles du poisson. Dans chaque unité d'échantillonnage, elle doit commencer par la classe de taille la plus faible et continuer en multiples de l'intervalle choisi (section de l'en-tête). Il n'est pas nécessaire de saisir des classes de tailles pour les échantillons de poissons correspondant à "zéro"</t>
  </si>
  <si>
    <t>Clases de talla de los ejemplares. Cada unidad de muestreo debe comenzar por la clase de talla inferior y continuar en múltiplos del intervalo escogido (sección de cabecera). No es necesario consignar clases de tallas para las que los ejemplares muestrados son "cero"</t>
  </si>
  <si>
    <t>Añadir en cada clase el número de peces capturado (sexo desconocido)</t>
  </si>
  <si>
    <t>Complete as far as possible the Header and Detail sections (don't leave fields empty when information is known)</t>
  </si>
  <si>
    <t>Remplir, dans la mesure du possible, les sections "en-tête" et "information détaillée" (ne pas laisser de champs vides lorsque l'information est connue)</t>
  </si>
  <si>
    <t>Cumplimentar con la mayor información posible las secciones "cabecera" e "información detallada" (no dejar campos vacíos cuando se conoce la información)</t>
  </si>
  <si>
    <t>In Header section, only white cells can be filled (manually or by selecting from the Combo Box the corresponding code)</t>
  </si>
  <si>
    <t>Dans la section d'en-tête, seules les cellules vides peuvent être remplies (manuellement ou en sélectionnant le code correspondant dans le menu déroulant)</t>
  </si>
  <si>
    <t>En la sección de cabecera, sólo pueden cumplimentarse las celdas en blanco (manualmente o seleccionando en la pestaña desplegable el código correspondiente)</t>
  </si>
  <si>
    <t>Always use ICCAT standard codes (when element "OTHERS" of various fields is required it must be explicitly described in "Notes")</t>
  </si>
  <si>
    <t>Toujours utiliser les codes standard ICCAT (si l'élément "AUTRES" de divers champs est requis, celui-ci doit être explicitement décrit dans la rubrique "notes")</t>
  </si>
  <si>
    <t>Utilice siempre los códigos estándar ICCAT (cuando se requiere el elemento "OTROS" de varios campos, éste debe describirse explícitamente en las "Notas")</t>
  </si>
  <si>
    <t>Recommendation for users with databases: To paste an entire dataset into the Detail section (must have the same structure and format) use "Paste special (values)"</t>
  </si>
  <si>
    <t>Recommandation aux utilisateurs de bases de données : pour copier tout un jeu de données dans la section "Information détaillée" (qui doit avoir les mêmes structure et format), utiliser "Paste special (values)"</t>
  </si>
  <si>
    <t>Laisser en blanc les champs pour lesquels vous ne recueillez pas d'informations</t>
  </si>
  <si>
    <t>Deje en blanco los campos para los que no se ha recopilado información</t>
  </si>
  <si>
    <t>Specific</t>
  </si>
  <si>
    <t>Sub-form</t>
  </si>
  <si>
    <t>Sous-formulaire</t>
  </si>
  <si>
    <t>Subformulario</t>
  </si>
  <si>
    <t>Field (format)</t>
  </si>
  <si>
    <t>Champ (format)</t>
  </si>
  <si>
    <t>Campo (formato)</t>
  </si>
  <si>
    <t>Field (name)</t>
  </si>
  <si>
    <t>Champ (nom)</t>
  </si>
  <si>
    <t>Campo (nombre)</t>
  </si>
  <si>
    <t>SC08</t>
  </si>
  <si>
    <t>OrderID</t>
  </si>
  <si>
    <t>FormID</t>
  </si>
  <si>
    <t>SubFormID</t>
  </si>
  <si>
    <t>T03</t>
  </si>
  <si>
    <t>ST05A</t>
  </si>
  <si>
    <t>Only 6 species requiring CAS (in number)</t>
  </si>
  <si>
    <t>{BFT, ALB, BET,YFT,SKJ,SWO}</t>
  </si>
  <si>
    <t>Live (round) weight by default (kg)</t>
  </si>
  <si>
    <t>Peso vivo (bruto) por defecto (kg)</t>
  </si>
  <si>
    <t>Poids vif (brut) par défaut (kg)</t>
  </si>
  <si>
    <t>id</t>
  </si>
  <si>
    <t>FlagCode</t>
  </si>
  <si>
    <t>StatusCPC</t>
  </si>
  <si>
    <t>CZE</t>
  </si>
  <si>
    <t>CZ</t>
  </si>
  <si>
    <t>FIN</t>
  </si>
  <si>
    <t>FI</t>
  </si>
  <si>
    <t>LUX</t>
  </si>
  <si>
    <t>LU</t>
  </si>
  <si>
    <t>SVK</t>
  </si>
  <si>
    <t>SK</t>
  </si>
  <si>
    <t>Bosnia and Herzegovina</t>
  </si>
  <si>
    <t>BIH</t>
  </si>
  <si>
    <t>BA</t>
  </si>
  <si>
    <t>Isle of Man</t>
  </si>
  <si>
    <t>IMN</t>
  </si>
  <si>
    <t>IM</t>
  </si>
  <si>
    <t>Mongolia</t>
  </si>
  <si>
    <t>MNG</t>
  </si>
  <si>
    <t>MN</t>
  </si>
  <si>
    <t>MKD</t>
  </si>
  <si>
    <t>MK</t>
  </si>
  <si>
    <t>SpeciesCode</t>
  </si>
  <si>
    <t>SampAreaCode</t>
  </si>
  <si>
    <t>FreqTypeCode</t>
  </si>
  <si>
    <t>ClassLimitCode</t>
  </si>
  <si>
    <t>CatchTypeCode</t>
  </si>
  <si>
    <t>GearCode</t>
  </si>
  <si>
    <t>Unclassified gears (unknown, not reported, OTH not specified)</t>
  </si>
  <si>
    <t>QuadCode</t>
  </si>
  <si>
    <t>Table. Quadrants</t>
  </si>
  <si>
    <t>ContentCode</t>
  </si>
  <si>
    <t>NF</t>
  </si>
  <si>
    <t>NP</t>
  </si>
  <si>
    <t>RF</t>
  </si>
  <si>
    <t>RP</t>
  </si>
  <si>
    <t>Qatar</t>
  </si>
  <si>
    <t>QAT</t>
  </si>
  <si>
    <t>QA</t>
  </si>
  <si>
    <t>TASK 2 - CATCH AT SIZE ESTIMATIONS (major tunas)</t>
  </si>
  <si>
    <t>TÂCHE 2 - ESTIMATIONS DE PRISE PAR TAILLE (principaux thonidés)</t>
  </si>
  <si>
    <t>TAREA 2 - ESTIMACIONES DE CAPTURA POR TALLA (túnidos principales)</t>
  </si>
  <si>
    <t>EU-Austria</t>
  </si>
  <si>
    <t>EU-AUT</t>
  </si>
  <si>
    <t>EU-Belgium</t>
  </si>
  <si>
    <t>EU-BEL</t>
  </si>
  <si>
    <t>EU-Bulgaria</t>
  </si>
  <si>
    <t>EU-BGR</t>
  </si>
  <si>
    <t>EU-Croatia</t>
  </si>
  <si>
    <t>EU-HRV</t>
  </si>
  <si>
    <t>EU-Cyprus</t>
  </si>
  <si>
    <t>EU-CYP</t>
  </si>
  <si>
    <t>EU-Czechia</t>
  </si>
  <si>
    <t>EU-CZE</t>
  </si>
  <si>
    <t>EU-Denmark</t>
  </si>
  <si>
    <t>EU-DNK</t>
  </si>
  <si>
    <t>EU-España</t>
  </si>
  <si>
    <t>EU-ESP</t>
  </si>
  <si>
    <t>EU-Estonia</t>
  </si>
  <si>
    <t>EU-EST</t>
  </si>
  <si>
    <t>EU-Finland</t>
  </si>
  <si>
    <t>EU-FIN</t>
  </si>
  <si>
    <t>EU-France</t>
  </si>
  <si>
    <t>EU-FRA</t>
  </si>
  <si>
    <t>EU-Germany</t>
  </si>
  <si>
    <t>EU-DEU</t>
  </si>
  <si>
    <t>EU-Greece</t>
  </si>
  <si>
    <t>EU-GRC</t>
  </si>
  <si>
    <t>EU-Hungary</t>
  </si>
  <si>
    <t>EU-HUN</t>
  </si>
  <si>
    <t>EU-Ireland</t>
  </si>
  <si>
    <t>EU-IRL</t>
  </si>
  <si>
    <t>EU-Italy</t>
  </si>
  <si>
    <t>EU-ITA</t>
  </si>
  <si>
    <t>EU-Latvia</t>
  </si>
  <si>
    <t>EU-LVA</t>
  </si>
  <si>
    <t>EU-Lithuania</t>
  </si>
  <si>
    <t>EU-LTU</t>
  </si>
  <si>
    <t>EU-Luxemburg</t>
  </si>
  <si>
    <t>EU-LUX</t>
  </si>
  <si>
    <t>EU-Malta</t>
  </si>
  <si>
    <t>EU-MLT</t>
  </si>
  <si>
    <t>EU-Netherlands</t>
  </si>
  <si>
    <t>EU-NLD</t>
  </si>
  <si>
    <t>EU-Poland</t>
  </si>
  <si>
    <t>EU-POL</t>
  </si>
  <si>
    <t>EU-Portugal</t>
  </si>
  <si>
    <t>EU-PRT</t>
  </si>
  <si>
    <t>EU-Rumania</t>
  </si>
  <si>
    <t>EU-ROU</t>
  </si>
  <si>
    <t>EU-Slovakia</t>
  </si>
  <si>
    <t>EU-SVK</t>
  </si>
  <si>
    <t>EU-Slovenia</t>
  </si>
  <si>
    <t>EU-SVN</t>
  </si>
  <si>
    <t>EU-Sweden</t>
  </si>
  <si>
    <t>EU-SWE</t>
  </si>
  <si>
    <t>England</t>
  </si>
  <si>
    <t>GB-ENG</t>
  </si>
  <si>
    <t>FR-St Pierre et Miquelon</t>
  </si>
  <si>
    <t>FR-SPM</t>
  </si>
  <si>
    <t>Great Britain</t>
  </si>
  <si>
    <t>Guinée Rep</t>
  </si>
  <si>
    <t>Korea Rep</t>
  </si>
  <si>
    <t>Northern Ireland</t>
  </si>
  <si>
    <t>GB-NIR</t>
  </si>
  <si>
    <t>NIR</t>
  </si>
  <si>
    <t>S Tomé e Príncipe</t>
  </si>
  <si>
    <t>Scotland</t>
  </si>
  <si>
    <t>GB-SCT</t>
  </si>
  <si>
    <t>SCT</t>
  </si>
  <si>
    <t>St Vincent and Grenadines</t>
  </si>
  <si>
    <t>UK-Bermuda</t>
  </si>
  <si>
    <t>UK-BMU</t>
  </si>
  <si>
    <t>UK-British Virgin Islands</t>
  </si>
  <si>
    <t>UK-VGB</t>
  </si>
  <si>
    <t>UK-Sta Helena</t>
  </si>
  <si>
    <t>UK-SHN</t>
  </si>
  <si>
    <t>UK-Turks and Caicos</t>
  </si>
  <si>
    <t>UK-TCA</t>
  </si>
  <si>
    <t>Wales</t>
  </si>
  <si>
    <t>GB-WLS</t>
  </si>
  <si>
    <t>WLS</t>
  </si>
  <si>
    <t>Gibraltar</t>
  </si>
  <si>
    <t>GIB</t>
  </si>
  <si>
    <t>GI</t>
  </si>
  <si>
    <t>North Macedonia Rep</t>
  </si>
  <si>
    <t>San Marino</t>
  </si>
  <si>
    <t>SMR</t>
  </si>
  <si>
    <t>SM</t>
  </si>
  <si>
    <t>Sta Lucia</t>
  </si>
  <si>
    <t>BUM-A</t>
  </si>
  <si>
    <t>BUM</t>
  </si>
  <si>
    <t>WHM-A</t>
  </si>
  <si>
    <t>WHM</t>
  </si>
  <si>
    <t>SAI-E</t>
  </si>
  <si>
    <t>SAI</t>
  </si>
  <si>
    <t>SAI-W</t>
  </si>
  <si>
    <t>SPF-E</t>
  </si>
  <si>
    <t>SPF</t>
  </si>
  <si>
    <t>SPF-W</t>
  </si>
  <si>
    <t>AT-NE</t>
  </si>
  <si>
    <t>Rest of ICCAT species</t>
  </si>
  <si>
    <t>AT-NW</t>
  </si>
  <si>
    <t>AT-SE</t>
  </si>
  <si>
    <t>AT-SW</t>
  </si>
  <si>
    <t>Longline: Bottom or Deep longliners</t>
  </si>
  <si>
    <t>Longline: Targetting sharks (BSH &amp; SMA)</t>
  </si>
  <si>
    <t>LLAMS</t>
  </si>
  <si>
    <t>Longline: American style</t>
  </si>
  <si>
    <t>LLMESO</t>
  </si>
  <si>
    <t>Longline: Mesopelagic</t>
  </si>
  <si>
    <t>Trolling lines</t>
  </si>
  <si>
    <t>GNS</t>
  </si>
  <si>
    <t>Gillnet: anchored (set gillnet, FAO)</t>
  </si>
  <si>
    <t>Trammel nets</t>
  </si>
  <si>
    <t>Tended lines</t>
  </si>
  <si>
    <t>FASA</t>
  </si>
  <si>
    <t>Farm (salmon farms)</t>
  </si>
  <si>
    <t>FA</t>
  </si>
  <si>
    <t>SA = ICCAT Sampling Areas (species based)</t>
  </si>
  <si>
    <t>SLJFL</t>
  </si>
  <si>
    <t>Straight lower jaw fork length (old LJFL)</t>
  </si>
  <si>
    <t>Türkiye</t>
  </si>
  <si>
    <t>Table. Sampling Areas (ICCAT Task-2)</t>
  </si>
  <si>
    <t>FleetSuffix</t>
  </si>
  <si>
    <t xml:space="preserve">Fleet suffix </t>
  </si>
  <si>
    <t>Flotte (suffixe)</t>
  </si>
  <si>
    <t>Flota (sufijo)</t>
  </si>
  <si>
    <t>This field should be completed by those CPCs operating various fisheries with an independent data collection system (e.g. Portugal-Azores, Spain-Fuenterrabía, etc.). Additional fleet sufixes (former base ports/zones) can be adopted.</t>
  </si>
  <si>
    <t>Ce champ doit être complété par les CPCs opérant diverses pêcheries avec des systèmes de collecte de données indépendants (p.ex. Portugal-Azores, Espagne-Fuenterrabía, etc.). Des suffixes de flotte supplémentaires (anciens ports/zones de base) peuvent être adoptés.</t>
  </si>
  <si>
    <t xml:space="preserve">Este campo debe ser completado por aquellos CPCs que operan varias pesquerías con sistemas independientes de recopilación de datos (por ejemplo, Portugal-Azores, España-Fuenterrabía, etc.). Se pueden adoptar sufijos de flota adicionales (antiguos puertos/zonas base). </t>
  </si>
  <si>
    <t>LF</t>
  </si>
  <si>
    <t>Landings "Faux poisson"</t>
  </si>
  <si>
    <t>YFT-A</t>
  </si>
  <si>
    <t>ETRO, ETRO-FP</t>
  </si>
  <si>
    <t>Artisanal, Industrial, ETRO, ETRO-FP</t>
  </si>
  <si>
    <t>Artisanal, ETRO, ETRO-FP</t>
  </si>
  <si>
    <t>Canarias, Coruña, Cantabric sea, ETRO, ETRO-FP, MEDI, Recreational (or Sport)</t>
  </si>
  <si>
    <t>Mainland, ETRO, ETRO-FP, MEDI, Recreational (or Sport), Guadeloupe, Martinique</t>
  </si>
  <si>
    <t>ETRO, ETRO-FP, ETRO-ANABAC, ETRO-PANOFI</t>
  </si>
  <si>
    <t>ETRO, ETRO-FP, MEDI</t>
  </si>
  <si>
    <t>Artisanal, ETRO, ETRO-FP, Recreational (or Sport)</t>
  </si>
  <si>
    <t>*   Suffix "a" refers to the sub-version (revisions with minor corrections &amp; no changes in structure) within a year. Sequentially issued (a,b,c,d) if required (i.e.: 2025a, 2025b, ...)</t>
  </si>
  <si>
    <t>ART-VAOS, ART-PVER, Industrial</t>
  </si>
  <si>
    <t>2025b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</si>
</sst>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name val="Arial"/>
    </font>
    <font>
      <sz val="10"/>
      <name val="Arial"/>
      <family val="2"/>
    </font>
    <font>
      <u/>
      <sz val="10"/>
      <color indexed="12"/>
      <name val="Arial"/>
      <family val="2"/>
    </font>
    <font>
      <b/>
      <sz val="9"/>
      <name val="Calibri"/>
      <family val="2"/>
      <scheme val="minor"/>
    </font>
    <font>
      <sz val="9"/>
      <name val="Calibri"/>
      <family val="2"/>
      <scheme val="minor"/>
    </font>
    <font>
      <sz val="9"/>
      <color theme="1"/>
      <name val="Calibri"/>
      <family val="2"/>
      <scheme val="minor"/>
    </font>
    <font>
      <b/>
      <sz val="9"/>
      <color rgb="FF0070C0"/>
      <name val="Calibri"/>
      <family val="2"/>
      <scheme val="minor"/>
    </font>
    <font>
      <u/>
      <sz val="9"/>
      <name val="Calibri"/>
      <family val="2"/>
      <scheme val="minor"/>
    </font>
    <font>
      <b/>
      <sz val="8"/>
      <name val="Calibri"/>
      <family val="2"/>
      <scheme val="minor"/>
    </font>
    <font>
      <sz val="9"/>
      <color indexed="8"/>
      <name val="Calibri"/>
      <family val="2"/>
      <scheme val="minor"/>
    </font>
    <font>
      <sz val="9"/>
      <color rgb="FFFF0000"/>
      <name val="Calibri"/>
      <family val="2"/>
      <scheme val="minor"/>
    </font>
    <font>
      <b/>
      <sz val="9"/>
      <color theme="1"/>
      <name val="Calibri"/>
      <family val="2"/>
      <scheme val="minor"/>
    </font>
    <font>
      <sz val="9"/>
      <color rgb="FF000000"/>
      <name val="Calibri"/>
      <family val="2"/>
      <scheme val="minor"/>
    </font>
    <font>
      <b/>
      <sz val="14"/>
      <color theme="0"/>
      <name val="Cambria"/>
      <family val="1"/>
      <scheme val="major"/>
    </font>
    <font>
      <b/>
      <sz val="9"/>
      <color rgb="FF0070C0"/>
      <name val="Cambria"/>
      <family val="1"/>
      <scheme val="major"/>
    </font>
    <font>
      <sz val="9"/>
      <color rgb="FF0070C0"/>
      <name val="Cambria"/>
      <family val="1"/>
      <scheme val="major"/>
    </font>
    <font>
      <b/>
      <sz val="9"/>
      <color rgb="FF00B050"/>
      <name val="Cambria"/>
      <family val="1"/>
      <scheme val="major"/>
    </font>
    <font>
      <b/>
      <sz val="9"/>
      <color rgb="FFFF0000"/>
      <name val="Cambria"/>
      <family val="1"/>
      <scheme val="major"/>
    </font>
    <font>
      <b/>
      <sz val="16"/>
      <color rgb="FF0070C0"/>
      <name val="Cambria"/>
      <family val="1"/>
      <scheme val="major"/>
    </font>
    <font>
      <b/>
      <sz val="14"/>
      <color rgb="FF0070C0"/>
      <name val="Calibri"/>
      <family val="2"/>
    </font>
    <font>
      <sz val="8"/>
      <name val="Calibri"/>
      <family val="2"/>
      <scheme val="minor"/>
    </font>
    <font>
      <b/>
      <sz val="8"/>
      <color theme="0"/>
      <name val="Calibri"/>
      <family val="2"/>
      <scheme val="minor"/>
    </font>
    <font>
      <sz val="9"/>
      <name val="Times New Roman"/>
      <family val="1"/>
    </font>
    <font>
      <sz val="9"/>
      <color rgb="FFFF0000"/>
      <name val="Times New Roman"/>
      <family val="1"/>
    </font>
    <font>
      <u/>
      <sz val="8"/>
      <color indexed="12"/>
      <name val="Calibri"/>
      <family val="2"/>
      <scheme val="minor"/>
    </font>
    <font>
      <sz val="8"/>
      <color theme="0" tint="-4.9989318521683403E-2"/>
      <name val="Calibri"/>
      <family val="2"/>
      <scheme val="minor"/>
    </font>
    <font>
      <b/>
      <u/>
      <sz val="8"/>
      <name val="Calibri"/>
      <family val="2"/>
      <scheme val="minor"/>
    </font>
    <font>
      <b/>
      <sz val="8"/>
      <color rgb="FF0070C0"/>
      <name val="Calibri"/>
      <family val="2"/>
      <scheme val="minor"/>
    </font>
    <font>
      <u/>
      <sz val="8"/>
      <name val="Calibri"/>
      <family val="2"/>
      <scheme val="minor"/>
    </font>
    <font>
      <b/>
      <sz val="8"/>
      <color rgb="FF00B050"/>
      <name val="Calibri"/>
      <family val="2"/>
      <scheme val="minor"/>
    </font>
    <font>
      <b/>
      <sz val="8"/>
      <color theme="3" tint="0.39997558519241921"/>
      <name val="Calibri"/>
      <family val="2"/>
      <scheme val="minor"/>
    </font>
    <font>
      <i/>
      <sz val="8"/>
      <name val="Calibri"/>
      <family val="2"/>
      <scheme val="minor"/>
    </font>
    <font>
      <sz val="8"/>
      <color rgb="FF00B050"/>
      <name val="Calibri"/>
      <family val="2"/>
      <scheme val="minor"/>
    </font>
    <font>
      <b/>
      <sz val="11"/>
      <name val="Calibri"/>
      <family val="2"/>
      <scheme val="minor"/>
    </font>
    <font>
      <sz val="9"/>
      <color rgb="FF00B0F0"/>
      <name val="Calibri"/>
      <family val="2"/>
      <scheme val="minor"/>
    </font>
    <font>
      <sz val="10"/>
      <color indexed="8"/>
      <name val="Arial"/>
      <family val="2"/>
    </font>
    <font>
      <sz val="9"/>
      <color indexed="8"/>
      <name val="Calibri"/>
      <family val="2"/>
    </font>
    <font>
      <sz val="8"/>
      <name val="Calibri"/>
      <family val="2"/>
      <scheme val="minor"/>
    </font>
    <font>
      <sz val="8"/>
      <color theme="1"/>
      <name val="Calibri"/>
      <family val="2"/>
      <scheme val="minor"/>
    </font>
  </fonts>
  <fills count="1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7"/>
        <bgColor theme="7"/>
      </patternFill>
    </fill>
    <fill>
      <patternFill patternType="solid">
        <fgColor theme="8" tint="0.79998168889431442"/>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6" tint="0.59999389629810485"/>
        <bgColor theme="4" tint="0.79998168889431442"/>
      </patternFill>
    </fill>
    <fill>
      <patternFill patternType="solid">
        <fgColor theme="5" tint="0.79998168889431442"/>
        <bgColor indexed="64"/>
      </patternFill>
    </fill>
    <fill>
      <patternFill patternType="solid">
        <fgColor theme="7" tint="0.79998168889431442"/>
        <bgColor theme="7" tint="0.79998168889431442"/>
      </patternFill>
    </fill>
    <fill>
      <patternFill patternType="solid">
        <fgColor rgb="FF00B0F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7" tint="0.39997558519241921"/>
      </left>
      <right/>
      <top style="thin">
        <color theme="7" tint="0.39997558519241921"/>
      </top>
      <bottom style="thin">
        <color theme="7" tint="0.39997558519241921"/>
      </bottom>
      <diagonal/>
    </border>
    <border>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
      <left/>
      <right style="thin">
        <color indexed="64"/>
      </right>
      <top style="thin">
        <color indexed="64"/>
      </top>
      <bottom style="thin">
        <color indexed="64"/>
      </bottom>
      <diagonal/>
    </border>
    <border>
      <left style="thin">
        <color theme="0"/>
      </left>
      <right style="thin">
        <color indexed="64"/>
      </right>
      <top style="thin">
        <color indexed="64"/>
      </top>
      <bottom/>
      <diagonal/>
    </border>
    <border>
      <left style="thin">
        <color theme="0"/>
      </left>
      <right style="thin">
        <color indexed="64"/>
      </right>
      <top/>
      <bottom/>
      <diagonal/>
    </border>
    <border>
      <left style="thin">
        <color theme="0"/>
      </left>
      <right style="thin">
        <color indexed="64"/>
      </right>
      <top/>
      <bottom style="thin">
        <color indexed="64"/>
      </bottom>
      <diagonal/>
    </border>
    <border>
      <left/>
      <right/>
      <top/>
      <bottom style="medium">
        <color indexed="64"/>
      </bottom>
      <diagonal/>
    </border>
    <border>
      <left style="thin">
        <color theme="8"/>
      </left>
      <right/>
      <top style="thin">
        <color theme="8"/>
      </top>
      <bottom/>
      <diagonal/>
    </border>
    <border>
      <left/>
      <right/>
      <top style="thin">
        <color theme="8"/>
      </top>
      <bottom/>
      <diagonal/>
    </border>
    <border>
      <left style="thin">
        <color theme="8"/>
      </left>
      <right/>
      <top style="thin">
        <color theme="8"/>
      </top>
      <bottom style="thin">
        <color theme="7" tint="0.39997558519241921"/>
      </bottom>
      <diagonal/>
    </border>
    <border>
      <left/>
      <right/>
      <top style="thin">
        <color theme="8"/>
      </top>
      <bottom style="thin">
        <color theme="7" tint="0.39997558519241921"/>
      </bottom>
      <diagonal/>
    </border>
    <border>
      <left/>
      <right style="thin">
        <color theme="8"/>
      </right>
      <top style="thin">
        <color theme="8"/>
      </top>
      <bottom style="thin">
        <color theme="7" tint="0.39997558519241921"/>
      </bottom>
      <diagonal/>
    </border>
    <border>
      <left style="thin">
        <color indexed="64"/>
      </left>
      <right/>
      <top/>
      <bottom style="medium">
        <color indexed="64"/>
      </bottom>
      <diagonal/>
    </border>
    <border>
      <left/>
      <right style="thin">
        <color indexed="64"/>
      </right>
      <top/>
      <bottom style="medium">
        <color indexed="64"/>
      </bottom>
      <diagonal/>
    </border>
  </borders>
  <cellStyleXfs count="5">
    <xf numFmtId="0" fontId="0" fillId="0" borderId="0"/>
    <xf numFmtId="0" fontId="1" fillId="0" borderId="0"/>
    <xf numFmtId="0" fontId="2" fillId="0" borderId="0" applyNumberFormat="0" applyFill="0" applyBorder="0" applyAlignment="0" applyProtection="0">
      <alignment vertical="top"/>
      <protection locked="0"/>
    </xf>
    <xf numFmtId="0" fontId="1" fillId="0" borderId="0"/>
    <xf numFmtId="0" fontId="35" fillId="0" borderId="0"/>
  </cellStyleXfs>
  <cellXfs count="312">
    <xf numFmtId="0" fontId="0" fillId="0" borderId="0" xfId="0"/>
    <xf numFmtId="0" fontId="4" fillId="0" borderId="0" xfId="0" applyFont="1" applyAlignment="1" applyProtection="1">
      <alignment vertical="top" wrapText="1"/>
      <protection hidden="1"/>
    </xf>
    <xf numFmtId="0" fontId="5" fillId="0" borderId="0" xfId="0" applyFont="1" applyAlignment="1" applyProtection="1">
      <alignment wrapText="1"/>
      <protection hidden="1"/>
    </xf>
    <xf numFmtId="0" fontId="4" fillId="0" borderId="0" xfId="0" applyFont="1" applyAlignment="1" applyProtection="1">
      <alignment vertical="top" wrapText="1"/>
      <protection locked="0"/>
    </xf>
    <xf numFmtId="0" fontId="4" fillId="0" borderId="0" xfId="0" applyFont="1" applyAlignment="1" applyProtection="1">
      <alignment vertical="top" wrapText="1" shrinkToFit="1"/>
      <protection locked="0"/>
    </xf>
    <xf numFmtId="0" fontId="4" fillId="0" borderId="6" xfId="0" applyFont="1" applyBorder="1" applyAlignment="1" applyProtection="1">
      <alignment vertical="top" wrapText="1"/>
      <protection hidden="1"/>
    </xf>
    <xf numFmtId="0" fontId="4" fillId="0" borderId="0" xfId="1" applyFont="1" applyAlignment="1" applyProtection="1">
      <alignment wrapText="1"/>
      <protection hidden="1"/>
    </xf>
    <xf numFmtId="0" fontId="4" fillId="0" borderId="0" xfId="3" applyFont="1" applyAlignment="1" applyProtection="1">
      <alignment vertical="top" wrapText="1"/>
      <protection hidden="1"/>
    </xf>
    <xf numFmtId="0" fontId="4" fillId="0" borderId="10" xfId="0" applyFont="1" applyBorder="1" applyAlignment="1" applyProtection="1">
      <alignment vertical="top" wrapText="1"/>
      <protection hidden="1"/>
    </xf>
    <xf numFmtId="0" fontId="4" fillId="0" borderId="4" xfId="0" applyFont="1" applyBorder="1" applyAlignment="1" applyProtection="1">
      <alignment vertical="top" wrapText="1"/>
      <protection hidden="1"/>
    </xf>
    <xf numFmtId="0" fontId="4" fillId="0" borderId="12" xfId="0" applyFont="1" applyBorder="1" applyAlignment="1" applyProtection="1">
      <alignment vertical="top" wrapText="1"/>
      <protection hidden="1"/>
    </xf>
    <xf numFmtId="0" fontId="4" fillId="0" borderId="4" xfId="1" applyFont="1" applyBorder="1" applyAlignment="1" applyProtection="1">
      <alignment vertical="top" wrapText="1"/>
      <protection hidden="1"/>
    </xf>
    <xf numFmtId="0" fontId="4" fillId="0" borderId="12" xfId="1" applyFont="1" applyBorder="1" applyAlignment="1" applyProtection="1">
      <alignment vertical="top" wrapText="1"/>
      <protection hidden="1"/>
    </xf>
    <xf numFmtId="0" fontId="4" fillId="0" borderId="6" xfId="1" applyFont="1" applyBorder="1" applyAlignment="1" applyProtection="1">
      <alignment vertical="top" wrapText="1"/>
      <protection hidden="1"/>
    </xf>
    <xf numFmtId="0" fontId="4" fillId="0" borderId="13" xfId="1" applyFont="1" applyBorder="1" applyAlignment="1" applyProtection="1">
      <alignment vertical="top" wrapText="1"/>
      <protection hidden="1"/>
    </xf>
    <xf numFmtId="0" fontId="4" fillId="0" borderId="9" xfId="1" applyFont="1" applyBorder="1" applyAlignment="1" applyProtection="1">
      <alignment vertical="top" wrapText="1"/>
      <protection hidden="1"/>
    </xf>
    <xf numFmtId="0" fontId="4" fillId="0" borderId="17" xfId="1" applyFont="1" applyBorder="1" applyAlignment="1" applyProtection="1">
      <alignment vertical="top" wrapText="1"/>
      <protection hidden="1"/>
    </xf>
    <xf numFmtId="0" fontId="17" fillId="0" borderId="9" xfId="0" applyFont="1" applyBorder="1" applyAlignment="1" applyProtection="1">
      <alignment horizontal="center" vertical="center" wrapText="1"/>
      <protection locked="0"/>
    </xf>
    <xf numFmtId="0" fontId="3" fillId="13" borderId="10" xfId="0" applyFont="1" applyFill="1" applyBorder="1" applyAlignment="1" applyProtection="1">
      <alignment vertical="top" wrapText="1"/>
      <protection hidden="1"/>
    </xf>
    <xf numFmtId="0" fontId="3" fillId="13" borderId="3" xfId="0" applyFont="1" applyFill="1" applyBorder="1" applyAlignment="1" applyProtection="1">
      <alignment vertical="top" wrapText="1"/>
      <protection hidden="1"/>
    </xf>
    <xf numFmtId="0" fontId="3" fillId="13" borderId="1" xfId="0" applyFont="1" applyFill="1" applyBorder="1" applyAlignment="1" applyProtection="1">
      <alignment vertical="top" wrapText="1"/>
      <protection hidden="1"/>
    </xf>
    <xf numFmtId="0" fontId="4" fillId="0" borderId="0" xfId="3" applyFont="1" applyAlignment="1" applyProtection="1">
      <alignment horizontal="center" vertical="top" wrapText="1"/>
      <protection hidden="1"/>
    </xf>
    <xf numFmtId="0" fontId="3" fillId="13" borderId="10" xfId="0" applyFont="1" applyFill="1" applyBorder="1" applyAlignment="1" applyProtection="1">
      <alignment horizontal="center" vertical="top" wrapText="1"/>
      <protection hidden="1"/>
    </xf>
    <xf numFmtId="0" fontId="4" fillId="0" borderId="10" xfId="0" applyFont="1" applyBorder="1" applyAlignment="1" applyProtection="1">
      <alignment horizontal="center" vertical="top" wrapText="1"/>
      <protection hidden="1"/>
    </xf>
    <xf numFmtId="0" fontId="4" fillId="0" borderId="12" xfId="0" applyFont="1" applyBorder="1" applyAlignment="1" applyProtection="1">
      <alignment horizontal="center" vertical="top" wrapText="1"/>
      <protection hidden="1"/>
    </xf>
    <xf numFmtId="0" fontId="4" fillId="0" borderId="0" xfId="1" applyFont="1" applyAlignment="1" applyProtection="1">
      <alignment horizontal="center" vertical="top" wrapText="1"/>
      <protection hidden="1"/>
    </xf>
    <xf numFmtId="0" fontId="5" fillId="0" borderId="4" xfId="0" applyFont="1" applyBorder="1" applyAlignment="1" applyProtection="1">
      <alignment horizontal="center" vertical="top"/>
      <protection hidden="1"/>
    </xf>
    <xf numFmtId="0" fontId="5" fillId="0" borderId="6" xfId="0" applyFont="1" applyBorder="1" applyAlignment="1" applyProtection="1">
      <alignment horizontal="center" vertical="top"/>
      <protection hidden="1"/>
    </xf>
    <xf numFmtId="0" fontId="20" fillId="0" borderId="0" xfId="1" applyFont="1" applyAlignment="1" applyProtection="1">
      <alignment wrapText="1"/>
      <protection hidden="1"/>
    </xf>
    <xf numFmtId="0" fontId="20" fillId="0" borderId="0" xfId="1" applyFont="1" applyProtection="1">
      <protection hidden="1"/>
    </xf>
    <xf numFmtId="0" fontId="21" fillId="8" borderId="14" xfId="0" applyFont="1" applyFill="1" applyBorder="1" applyAlignment="1" applyProtection="1">
      <alignment vertical="top" wrapText="1"/>
      <protection hidden="1"/>
    </xf>
    <xf numFmtId="0" fontId="21" fillId="8" borderId="15" xfId="0" applyFont="1" applyFill="1" applyBorder="1" applyAlignment="1" applyProtection="1">
      <alignment vertical="top" wrapText="1"/>
      <protection hidden="1"/>
    </xf>
    <xf numFmtId="0" fontId="21" fillId="8" borderId="16" xfId="0" applyFont="1" applyFill="1" applyBorder="1" applyAlignment="1" applyProtection="1">
      <alignment vertical="top" wrapText="1"/>
      <protection hidden="1"/>
    </xf>
    <xf numFmtId="0" fontId="6" fillId="9" borderId="0" xfId="0" applyFont="1" applyFill="1" applyAlignment="1" applyProtection="1">
      <alignment vertical="top" readingOrder="1"/>
      <protection hidden="1"/>
    </xf>
    <xf numFmtId="0" fontId="4" fillId="0" borderId="0" xfId="0" applyFont="1" applyProtection="1">
      <protection hidden="1"/>
    </xf>
    <xf numFmtId="0" fontId="4" fillId="0" borderId="0" xfId="0" applyFont="1" applyAlignment="1" applyProtection="1">
      <alignment vertical="top"/>
      <protection hidden="1"/>
    </xf>
    <xf numFmtId="0" fontId="4" fillId="0" borderId="11" xfId="0" applyFont="1" applyBorder="1" applyAlignment="1" applyProtection="1">
      <alignment horizontal="center" vertical="top"/>
      <protection hidden="1"/>
    </xf>
    <xf numFmtId="0" fontId="12" fillId="0" borderId="11" xfId="0" applyFont="1" applyBorder="1" applyAlignment="1" applyProtection="1">
      <alignment vertical="top" readingOrder="1"/>
      <protection hidden="1"/>
    </xf>
    <xf numFmtId="0" fontId="4" fillId="0" borderId="4" xfId="0" applyFont="1" applyBorder="1" applyAlignment="1" applyProtection="1">
      <alignment horizontal="center" vertical="top"/>
      <protection hidden="1"/>
    </xf>
    <xf numFmtId="0" fontId="4" fillId="0" borderId="10" xfId="0" applyFont="1" applyBorder="1" applyAlignment="1" applyProtection="1">
      <alignment horizontal="center"/>
      <protection hidden="1"/>
    </xf>
    <xf numFmtId="0" fontId="4" fillId="0" borderId="0" xfId="0" applyFont="1" applyAlignment="1" applyProtection="1">
      <alignment horizontal="center" vertical="top"/>
      <protection hidden="1"/>
    </xf>
    <xf numFmtId="0" fontId="12" fillId="0" borderId="0" xfId="0" applyFont="1" applyAlignment="1" applyProtection="1">
      <alignment vertical="top" readingOrder="1"/>
      <protection hidden="1"/>
    </xf>
    <xf numFmtId="0" fontId="4" fillId="0" borderId="6" xfId="0" applyFont="1" applyBorder="1" applyAlignment="1" applyProtection="1">
      <alignment horizontal="center" vertical="top"/>
      <protection hidden="1"/>
    </xf>
    <xf numFmtId="0" fontId="4" fillId="0" borderId="12" xfId="0" applyFont="1" applyBorder="1" applyAlignment="1" applyProtection="1">
      <alignment horizontal="center"/>
      <protection hidden="1"/>
    </xf>
    <xf numFmtId="0" fontId="4" fillId="0" borderId="11" xfId="0" applyFont="1" applyBorder="1" applyAlignment="1" applyProtection="1">
      <alignment horizontal="center"/>
      <protection hidden="1"/>
    </xf>
    <xf numFmtId="0" fontId="5" fillId="0" borderId="11" xfId="0" applyFont="1" applyBorder="1" applyAlignment="1" applyProtection="1">
      <alignment vertical="top" wrapText="1"/>
      <protection hidden="1"/>
    </xf>
    <xf numFmtId="0" fontId="4" fillId="0" borderId="11" xfId="0" applyFont="1" applyBorder="1" applyAlignment="1" applyProtection="1">
      <alignment horizontal="center" vertical="top" readingOrder="1"/>
      <protection hidden="1"/>
    </xf>
    <xf numFmtId="0" fontId="4" fillId="0" borderId="0" xfId="0" applyFont="1" applyAlignment="1" applyProtection="1">
      <alignment horizontal="center"/>
      <protection hidden="1"/>
    </xf>
    <xf numFmtId="0" fontId="4" fillId="0" borderId="0" xfId="0" applyFont="1" applyAlignment="1" applyProtection="1">
      <alignment horizontal="center" vertical="top" readingOrder="1"/>
      <protection hidden="1"/>
    </xf>
    <xf numFmtId="0" fontId="5" fillId="0" borderId="0" xfId="0" applyFont="1" applyAlignment="1" applyProtection="1">
      <alignment vertical="top" wrapText="1"/>
      <protection hidden="1"/>
    </xf>
    <xf numFmtId="0" fontId="10" fillId="0" borderId="6" xfId="0" applyFont="1" applyBorder="1" applyAlignment="1" applyProtection="1">
      <alignment horizontal="center"/>
      <protection hidden="1"/>
    </xf>
    <xf numFmtId="0" fontId="4" fillId="0" borderId="8" xfId="0" applyFont="1" applyBorder="1" applyAlignment="1" applyProtection="1">
      <alignment horizontal="center"/>
      <protection hidden="1"/>
    </xf>
    <xf numFmtId="0" fontId="4" fillId="0" borderId="8" xfId="0" applyFont="1" applyBorder="1" applyAlignment="1" applyProtection="1">
      <alignment vertical="top" wrapText="1"/>
      <protection hidden="1"/>
    </xf>
    <xf numFmtId="0" fontId="4" fillId="0" borderId="8" xfId="0" applyFont="1" applyBorder="1" applyAlignment="1" applyProtection="1">
      <alignment horizontal="center" vertical="top" readingOrder="1"/>
      <protection hidden="1"/>
    </xf>
    <xf numFmtId="0" fontId="10" fillId="0" borderId="9" xfId="0" applyFont="1" applyBorder="1" applyAlignment="1" applyProtection="1">
      <alignment horizontal="center"/>
      <protection hidden="1"/>
    </xf>
    <xf numFmtId="0" fontId="14" fillId="3" borderId="11" xfId="0" applyFont="1" applyFill="1" applyBorder="1" applyAlignment="1" applyProtection="1">
      <alignment horizontal="center" wrapText="1"/>
      <protection hidden="1"/>
    </xf>
    <xf numFmtId="0" fontId="14" fillId="3" borderId="4" xfId="0" applyFont="1" applyFill="1" applyBorder="1" applyAlignment="1" applyProtection="1">
      <alignment horizontal="center" wrapText="1"/>
      <protection hidden="1"/>
    </xf>
    <xf numFmtId="0" fontId="3" fillId="9" borderId="1" xfId="0" applyFont="1" applyFill="1" applyBorder="1" applyAlignment="1" applyProtection="1">
      <alignment vertical="top" wrapText="1"/>
      <protection hidden="1"/>
    </xf>
    <xf numFmtId="0" fontId="3" fillId="9" borderId="1" xfId="0" applyFont="1" applyFill="1" applyBorder="1" applyAlignment="1" applyProtection="1">
      <alignment vertical="top"/>
      <protection hidden="1"/>
    </xf>
    <xf numFmtId="0" fontId="3" fillId="9" borderId="17" xfId="0" applyFont="1" applyFill="1" applyBorder="1" applyAlignment="1" applyProtection="1">
      <alignment vertical="top"/>
      <protection hidden="1"/>
    </xf>
    <xf numFmtId="0" fontId="10" fillId="0" borderId="12" xfId="0" applyFont="1" applyBorder="1" applyAlignment="1" applyProtection="1">
      <alignment horizontal="center"/>
      <protection hidden="1"/>
    </xf>
    <xf numFmtId="0" fontId="10" fillId="0" borderId="13" xfId="0" applyFont="1" applyBorder="1" applyAlignment="1" applyProtection="1">
      <alignment horizontal="center"/>
      <protection hidden="1"/>
    </xf>
    <xf numFmtId="0" fontId="8" fillId="3" borderId="0" xfId="0" applyFont="1" applyFill="1" applyAlignment="1" applyProtection="1">
      <alignment horizontal="left" vertical="center"/>
      <protection hidden="1"/>
    </xf>
    <xf numFmtId="0" fontId="8" fillId="3" borderId="0" xfId="0" applyFont="1" applyFill="1" applyAlignment="1" applyProtection="1">
      <alignment horizontal="left" vertical="top"/>
      <protection hidden="1"/>
    </xf>
    <xf numFmtId="0" fontId="4" fillId="0" borderId="1" xfId="1" applyFont="1" applyBorder="1" applyAlignment="1" applyProtection="1">
      <alignment horizontal="center" vertical="top" wrapText="1"/>
      <protection hidden="1"/>
    </xf>
    <xf numFmtId="0" fontId="22" fillId="0" borderId="0" xfId="1" applyFont="1" applyAlignment="1" applyProtection="1">
      <alignment vertical="top"/>
      <protection hidden="1"/>
    </xf>
    <xf numFmtId="0" fontId="23" fillId="0" borderId="0" xfId="1" applyFont="1" applyAlignment="1" applyProtection="1">
      <alignment vertical="top"/>
      <protection hidden="1"/>
    </xf>
    <xf numFmtId="0" fontId="20" fillId="0" borderId="0" xfId="0" applyFont="1" applyAlignment="1" applyProtection="1">
      <alignment vertical="top" wrapText="1"/>
      <protection hidden="1"/>
    </xf>
    <xf numFmtId="0" fontId="20" fillId="0" borderId="0" xfId="0" applyFont="1" applyAlignment="1" applyProtection="1">
      <alignment horizontal="center" vertical="top" wrapText="1"/>
      <protection hidden="1"/>
    </xf>
    <xf numFmtId="0" fontId="25" fillId="0" borderId="0" xfId="0" applyFont="1" applyAlignment="1" applyProtection="1">
      <alignment horizontal="center" vertical="top"/>
      <protection hidden="1"/>
    </xf>
    <xf numFmtId="0" fontId="20" fillId="0" borderId="0" xfId="0" applyFont="1" applyAlignment="1" applyProtection="1">
      <alignment vertical="top"/>
      <protection hidden="1"/>
    </xf>
    <xf numFmtId="0" fontId="4" fillId="3" borderId="1" xfId="1" applyFont="1" applyFill="1" applyBorder="1" applyAlignment="1" applyProtection="1">
      <alignment vertical="top" wrapText="1"/>
      <protection hidden="1"/>
    </xf>
    <xf numFmtId="0" fontId="4" fillId="3" borderId="10" xfId="1" applyFont="1" applyFill="1" applyBorder="1" applyAlignment="1" applyProtection="1">
      <alignment vertical="top" wrapText="1"/>
      <protection hidden="1"/>
    </xf>
    <xf numFmtId="0" fontId="4" fillId="3" borderId="12" xfId="1" applyFont="1" applyFill="1" applyBorder="1" applyAlignment="1" applyProtection="1">
      <alignment vertical="top" wrapText="1"/>
      <protection hidden="1"/>
    </xf>
    <xf numFmtId="0" fontId="4" fillId="3" borderId="13" xfId="1" applyFont="1" applyFill="1" applyBorder="1" applyAlignment="1" applyProtection="1">
      <alignment vertical="top" wrapText="1"/>
      <protection hidden="1"/>
    </xf>
    <xf numFmtId="0" fontId="4" fillId="3" borderId="4" xfId="1" applyFont="1" applyFill="1" applyBorder="1" applyAlignment="1" applyProtection="1">
      <alignment vertical="top" wrapText="1"/>
      <protection hidden="1"/>
    </xf>
    <xf numFmtId="0" fontId="4" fillId="3" borderId="6" xfId="1" applyFont="1" applyFill="1" applyBorder="1" applyAlignment="1" applyProtection="1">
      <alignment vertical="top" wrapText="1"/>
      <protection hidden="1"/>
    </xf>
    <xf numFmtId="0" fontId="4" fillId="3" borderId="9" xfId="1" applyFont="1" applyFill="1" applyBorder="1" applyAlignment="1" applyProtection="1">
      <alignment vertical="top" wrapText="1"/>
      <protection hidden="1"/>
    </xf>
    <xf numFmtId="0" fontId="27" fillId="3" borderId="11" xfId="0" applyFont="1" applyFill="1" applyBorder="1" applyAlignment="1" applyProtection="1">
      <alignment horizontal="left" vertical="top" wrapText="1" shrinkToFit="1"/>
      <protection hidden="1"/>
    </xf>
    <xf numFmtId="0" fontId="28" fillId="3" borderId="5" xfId="0" applyFont="1" applyFill="1" applyBorder="1" applyAlignment="1" applyProtection="1">
      <alignment horizontal="right" vertical="top" wrapText="1"/>
      <protection hidden="1"/>
    </xf>
    <xf numFmtId="0" fontId="8" fillId="3" borderId="0" xfId="0" applyFont="1" applyFill="1" applyAlignment="1" applyProtection="1">
      <alignment horizontal="center" vertical="top" wrapText="1"/>
      <protection hidden="1"/>
    </xf>
    <xf numFmtId="0" fontId="26" fillId="3" borderId="0" xfId="0" applyFont="1" applyFill="1" applyAlignment="1" applyProtection="1">
      <alignment wrapText="1" shrinkToFit="1"/>
      <protection hidden="1"/>
    </xf>
    <xf numFmtId="0" fontId="20" fillId="3" borderId="0" xfId="0" applyFont="1" applyFill="1" applyAlignment="1" applyProtection="1">
      <alignment shrinkToFit="1"/>
      <protection hidden="1"/>
    </xf>
    <xf numFmtId="0" fontId="20" fillId="3" borderId="0" xfId="0" applyFont="1" applyFill="1" applyAlignment="1" applyProtection="1">
      <alignment horizontal="right" shrinkToFit="1"/>
      <protection hidden="1"/>
    </xf>
    <xf numFmtId="0" fontId="20" fillId="4" borderId="12" xfId="0" applyFont="1" applyFill="1" applyBorder="1" applyAlignment="1" applyProtection="1">
      <alignment horizontal="center" shrinkToFit="1"/>
      <protection locked="0"/>
    </xf>
    <xf numFmtId="0" fontId="8" fillId="3" borderId="0" xfId="0" applyFont="1" applyFill="1" applyAlignment="1" applyProtection="1">
      <alignment vertical="top" wrapText="1"/>
      <protection hidden="1"/>
    </xf>
    <xf numFmtId="0" fontId="24" fillId="3" borderId="0" xfId="2" applyNumberFormat="1" applyFont="1" applyFill="1" applyBorder="1" applyAlignment="1" applyProtection="1">
      <alignment horizontal="right" vertical="top" wrapText="1"/>
      <protection hidden="1"/>
    </xf>
    <xf numFmtId="0" fontId="20" fillId="3" borderId="7" xfId="0" applyFont="1" applyFill="1" applyBorder="1" applyAlignment="1" applyProtection="1">
      <alignment vertical="top" wrapText="1"/>
      <protection hidden="1"/>
    </xf>
    <xf numFmtId="0" fontId="20" fillId="3" borderId="8" xfId="0" applyFont="1" applyFill="1" applyBorder="1" applyAlignment="1" applyProtection="1">
      <alignment vertical="top" wrapText="1"/>
      <protection hidden="1"/>
    </xf>
    <xf numFmtId="0" fontId="20" fillId="3" borderId="8" xfId="0" applyFont="1" applyFill="1" applyBorder="1" applyAlignment="1" applyProtection="1">
      <alignment horizontal="right" shrinkToFit="1"/>
      <protection hidden="1"/>
    </xf>
    <xf numFmtId="0" fontId="27" fillId="3" borderId="0" xfId="0" applyFont="1" applyFill="1" applyAlignment="1" applyProtection="1">
      <alignment horizontal="left" vertical="top" wrapText="1" shrinkToFit="1"/>
      <protection hidden="1"/>
    </xf>
    <xf numFmtId="0" fontId="20" fillId="3" borderId="0" xfId="0" applyFont="1" applyFill="1" applyAlignment="1" applyProtection="1">
      <alignment vertical="top" wrapText="1"/>
      <protection hidden="1"/>
    </xf>
    <xf numFmtId="0" fontId="20" fillId="3" borderId="6" xfId="0" applyFont="1" applyFill="1" applyBorder="1" applyAlignment="1" applyProtection="1">
      <alignment vertical="top" wrapText="1"/>
      <protection hidden="1"/>
    </xf>
    <xf numFmtId="0" fontId="20" fillId="3" borderId="0" xfId="0" applyFont="1" applyFill="1" applyAlignment="1" applyProtection="1">
      <alignment vertical="top" wrapText="1" shrinkToFit="1"/>
      <protection hidden="1"/>
    </xf>
    <xf numFmtId="0" fontId="20" fillId="3" borderId="0" xfId="0" applyFont="1" applyFill="1" applyAlignment="1" applyProtection="1">
      <alignment horizontal="center" vertical="top" wrapText="1"/>
      <protection hidden="1"/>
    </xf>
    <xf numFmtId="0" fontId="30" fillId="3" borderId="0" xfId="0" applyFont="1" applyFill="1" applyAlignment="1" applyProtection="1">
      <alignment vertical="top" wrapText="1"/>
      <protection hidden="1"/>
    </xf>
    <xf numFmtId="0" fontId="20" fillId="3" borderId="9" xfId="0" applyFont="1" applyFill="1" applyBorder="1" applyAlignment="1" applyProtection="1">
      <alignment vertical="top" wrapText="1"/>
      <protection hidden="1"/>
    </xf>
    <xf numFmtId="0" fontId="20" fillId="0" borderId="0" xfId="0" applyFont="1" applyAlignment="1" applyProtection="1">
      <alignment vertical="top" wrapText="1"/>
      <protection locked="0"/>
    </xf>
    <xf numFmtId="0" fontId="20" fillId="3" borderId="12" xfId="0" applyFont="1" applyFill="1" applyBorder="1" applyAlignment="1" applyProtection="1">
      <alignment horizontal="center" shrinkToFit="1"/>
      <protection hidden="1"/>
    </xf>
    <xf numFmtId="0" fontId="20" fillId="3" borderId="13" xfId="0" applyFont="1" applyFill="1" applyBorder="1" applyAlignment="1" applyProtection="1">
      <alignment horizontal="right" shrinkToFit="1"/>
      <protection hidden="1"/>
    </xf>
    <xf numFmtId="0" fontId="20" fillId="3" borderId="2" xfId="0" applyFont="1" applyFill="1" applyBorder="1" applyAlignment="1" applyProtection="1">
      <alignment horizontal="center" shrinkToFit="1"/>
      <protection hidden="1"/>
    </xf>
    <xf numFmtId="0" fontId="20" fillId="3" borderId="17" xfId="0" applyFont="1" applyFill="1" applyBorder="1" applyAlignment="1" applyProtection="1">
      <alignment horizontal="center" shrinkToFit="1"/>
      <protection hidden="1"/>
    </xf>
    <xf numFmtId="0" fontId="4" fillId="11" borderId="11" xfId="0" applyFont="1" applyFill="1" applyBorder="1" applyAlignment="1" applyProtection="1">
      <alignment vertical="top"/>
      <protection hidden="1"/>
    </xf>
    <xf numFmtId="0" fontId="4" fillId="11" borderId="3" xfId="0" applyFont="1" applyFill="1" applyBorder="1" applyAlignment="1" applyProtection="1">
      <alignment vertical="top"/>
      <protection hidden="1"/>
    </xf>
    <xf numFmtId="0" fontId="4" fillId="11" borderId="4" xfId="0" applyFont="1" applyFill="1" applyBorder="1" applyAlignment="1" applyProtection="1">
      <alignment vertical="top"/>
      <protection hidden="1"/>
    </xf>
    <xf numFmtId="0" fontId="4" fillId="0" borderId="5" xfId="0" applyFont="1" applyBorder="1" applyProtection="1">
      <protection hidden="1"/>
    </xf>
    <xf numFmtId="0" fontId="4" fillId="0" borderId="6" xfId="0" applyFont="1" applyBorder="1" applyProtection="1">
      <protection hidden="1"/>
    </xf>
    <xf numFmtId="0" fontId="4" fillId="0" borderId="7" xfId="0" applyFont="1" applyBorder="1" applyProtection="1">
      <protection hidden="1"/>
    </xf>
    <xf numFmtId="0" fontId="4" fillId="0" borderId="9" xfId="0" applyFont="1" applyBorder="1" applyProtection="1">
      <protection hidden="1"/>
    </xf>
    <xf numFmtId="0" fontId="8" fillId="5" borderId="0" xfId="0" applyFont="1" applyFill="1" applyAlignment="1" applyProtection="1">
      <alignment vertical="top"/>
      <protection hidden="1"/>
    </xf>
    <xf numFmtId="0" fontId="20" fillId="0" borderId="22" xfId="0" applyFont="1" applyBorder="1" applyAlignment="1">
      <alignment vertical="top"/>
    </xf>
    <xf numFmtId="0" fontId="20" fillId="0" borderId="23" xfId="0" applyFont="1" applyBorder="1" applyAlignment="1">
      <alignment vertical="top"/>
    </xf>
    <xf numFmtId="0" fontId="20" fillId="0" borderId="23" xfId="1" applyFont="1" applyBorder="1" applyAlignment="1">
      <alignment vertical="top"/>
    </xf>
    <xf numFmtId="0" fontId="20" fillId="0" borderId="23" xfId="0" applyFont="1" applyBorder="1" applyAlignment="1">
      <alignment vertical="top" wrapText="1"/>
    </xf>
    <xf numFmtId="0" fontId="20" fillId="0" borderId="22" xfId="0" applyFont="1" applyBorder="1" applyAlignment="1">
      <alignment vertical="top" shrinkToFit="1"/>
    </xf>
    <xf numFmtId="0" fontId="20" fillId="0" borderId="23" xfId="1" applyFont="1" applyBorder="1" applyAlignment="1">
      <alignment vertical="top" wrapText="1"/>
    </xf>
    <xf numFmtId="0" fontId="20" fillId="0" borderId="22" xfId="1" applyFont="1" applyBorder="1" applyAlignment="1">
      <alignment vertical="top"/>
    </xf>
    <xf numFmtId="0" fontId="32" fillId="3" borderId="0" xfId="0" applyFont="1" applyFill="1" applyAlignment="1" applyProtection="1">
      <alignment vertical="top"/>
      <protection hidden="1"/>
    </xf>
    <xf numFmtId="0" fontId="20" fillId="4" borderId="0" xfId="0" applyFont="1" applyFill="1" applyAlignment="1" applyProtection="1">
      <alignment shrinkToFit="1"/>
      <protection locked="0"/>
    </xf>
    <xf numFmtId="0" fontId="20" fillId="0" borderId="0" xfId="0" applyFont="1" applyAlignment="1" applyProtection="1">
      <alignment horizontal="left" vertical="center" shrinkToFit="1"/>
      <protection locked="0"/>
    </xf>
    <xf numFmtId="0" fontId="20" fillId="0" borderId="5" xfId="0" applyFont="1" applyBorder="1" applyAlignment="1" applyProtection="1">
      <alignment horizontal="left" vertical="center" shrinkToFit="1"/>
      <protection locked="0"/>
    </xf>
    <xf numFmtId="0" fontId="20" fillId="0" borderId="0" xfId="0" applyFont="1" applyAlignment="1" applyProtection="1">
      <alignment horizontal="left" vertical="top" shrinkToFit="1"/>
      <protection locked="0"/>
    </xf>
    <xf numFmtId="49" fontId="20" fillId="0" borderId="0" xfId="0" applyNumberFormat="1" applyFont="1" applyAlignment="1" applyProtection="1">
      <alignment vertical="top" shrinkToFit="1"/>
      <protection locked="0"/>
    </xf>
    <xf numFmtId="0" fontId="20" fillId="0" borderId="5" xfId="0" applyFont="1" applyBorder="1" applyAlignment="1" applyProtection="1">
      <alignment vertical="top" shrinkToFit="1"/>
      <protection locked="0"/>
    </xf>
    <xf numFmtId="0" fontId="20" fillId="0" borderId="0" xfId="0" applyFont="1" applyAlignment="1" applyProtection="1">
      <alignment vertical="top" shrinkToFit="1"/>
      <protection locked="0"/>
    </xf>
    <xf numFmtId="49" fontId="20" fillId="0" borderId="5" xfId="0" applyNumberFormat="1" applyFont="1" applyBorder="1" applyAlignment="1" applyProtection="1">
      <alignment vertical="top" shrinkToFit="1"/>
      <protection locked="0"/>
    </xf>
    <xf numFmtId="1" fontId="20" fillId="0" borderId="0" xfId="0" applyNumberFormat="1" applyFont="1" applyAlignment="1" applyProtection="1">
      <alignment vertical="top" shrinkToFit="1"/>
      <protection locked="0"/>
    </xf>
    <xf numFmtId="0" fontId="20" fillId="0" borderId="0" xfId="3" applyFont="1" applyAlignment="1" applyProtection="1">
      <alignment vertical="top" wrapText="1"/>
      <protection hidden="1"/>
    </xf>
    <xf numFmtId="0" fontId="20" fillId="0" borderId="0" xfId="3" applyFont="1" applyAlignment="1" applyProtection="1">
      <alignment horizontal="center" vertical="top" wrapText="1"/>
      <protection hidden="1"/>
    </xf>
    <xf numFmtId="0" fontId="20" fillId="3" borderId="5" xfId="0" applyFont="1" applyFill="1" applyBorder="1" applyAlignment="1" applyProtection="1">
      <alignment vertical="top" wrapText="1"/>
      <protection hidden="1"/>
    </xf>
    <xf numFmtId="0" fontId="20" fillId="3" borderId="1" xfId="0" applyFont="1" applyFill="1" applyBorder="1" applyAlignment="1" applyProtection="1">
      <alignment horizontal="left" vertical="top" wrapText="1"/>
      <protection hidden="1"/>
    </xf>
    <xf numFmtId="0" fontId="28" fillId="3" borderId="0" xfId="0" applyFont="1" applyFill="1" applyAlignment="1" applyProtection="1">
      <alignment vertical="top" wrapText="1"/>
      <protection hidden="1"/>
    </xf>
    <xf numFmtId="0" fontId="31" fillId="3" borderId="0" xfId="2" applyFont="1" applyFill="1" applyBorder="1" applyAlignment="1" applyProtection="1">
      <alignment vertical="top" wrapText="1"/>
      <protection hidden="1"/>
    </xf>
    <xf numFmtId="0" fontId="20" fillId="3" borderId="0" xfId="0" applyFont="1" applyFill="1" applyAlignment="1" applyProtection="1">
      <alignment horizontal="right" vertical="top" wrapText="1"/>
      <protection hidden="1"/>
    </xf>
    <xf numFmtId="0" fontId="26" fillId="3" borderId="11" xfId="0" applyFont="1" applyFill="1" applyBorder="1" applyAlignment="1" applyProtection="1">
      <alignment wrapText="1" shrinkToFit="1"/>
      <protection hidden="1"/>
    </xf>
    <xf numFmtId="0" fontId="24" fillId="3" borderId="1" xfId="2" applyFont="1" applyFill="1" applyBorder="1" applyAlignment="1" applyProtection="1">
      <alignment horizontal="left" vertical="top" wrapText="1"/>
      <protection hidden="1"/>
    </xf>
    <xf numFmtId="0" fontId="9" fillId="0" borderId="0" xfId="1" applyFont="1" applyAlignment="1" applyProtection="1">
      <alignment vertical="top"/>
      <protection hidden="1"/>
    </xf>
    <xf numFmtId="0" fontId="20" fillId="0" borderId="0" xfId="0" applyFont="1" applyProtection="1">
      <protection hidden="1"/>
    </xf>
    <xf numFmtId="0" fontId="5" fillId="0" borderId="0" xfId="0" applyFont="1" applyProtection="1">
      <protection hidden="1"/>
    </xf>
    <xf numFmtId="0" fontId="4" fillId="0" borderId="12" xfId="1" applyFont="1" applyBorder="1" applyAlignment="1" applyProtection="1">
      <alignment horizontal="center" vertical="top" wrapText="1"/>
      <protection hidden="1"/>
    </xf>
    <xf numFmtId="0" fontId="4" fillId="0" borderId="13" xfId="1" applyFont="1" applyBorder="1" applyAlignment="1" applyProtection="1">
      <alignment horizontal="center" vertical="top" wrapText="1"/>
      <protection hidden="1"/>
    </xf>
    <xf numFmtId="0" fontId="4" fillId="0" borderId="10" xfId="1" applyFont="1" applyBorder="1" applyAlignment="1" applyProtection="1">
      <alignment horizontal="center" vertical="top" wrapText="1"/>
      <protection hidden="1"/>
    </xf>
    <xf numFmtId="0" fontId="4" fillId="0" borderId="10" xfId="1" applyFont="1" applyBorder="1" applyAlignment="1" applyProtection="1">
      <alignment vertical="top" wrapText="1"/>
      <protection hidden="1"/>
    </xf>
    <xf numFmtId="0" fontId="4" fillId="12" borderId="3" xfId="0" applyFont="1" applyFill="1" applyBorder="1" applyProtection="1">
      <protection hidden="1"/>
    </xf>
    <xf numFmtId="0" fontId="4" fillId="12" borderId="11" xfId="0" applyFont="1" applyFill="1" applyBorder="1" applyProtection="1">
      <protection hidden="1"/>
    </xf>
    <xf numFmtId="0" fontId="9" fillId="12" borderId="3" xfId="0" applyFont="1" applyFill="1" applyBorder="1" applyAlignment="1" applyProtection="1">
      <alignment vertical="top"/>
      <protection hidden="1"/>
    </xf>
    <xf numFmtId="0" fontId="9" fillId="12" borderId="11" xfId="0" applyFont="1" applyFill="1" applyBorder="1" applyAlignment="1" applyProtection="1">
      <alignment vertical="top"/>
      <protection hidden="1"/>
    </xf>
    <xf numFmtId="0" fontId="9" fillId="12" borderId="4" xfId="0" applyFont="1" applyFill="1" applyBorder="1" applyAlignment="1" applyProtection="1">
      <alignment vertical="top"/>
      <protection hidden="1"/>
    </xf>
    <xf numFmtId="0" fontId="9" fillId="0" borderId="5" xfId="0" applyFont="1" applyBorder="1" applyAlignment="1" applyProtection="1">
      <alignment vertical="top"/>
      <protection hidden="1"/>
    </xf>
    <xf numFmtId="0" fontId="9" fillId="0" borderId="6" xfId="0" applyFont="1" applyBorder="1" applyAlignment="1" applyProtection="1">
      <alignment horizontal="center" vertical="top"/>
      <protection hidden="1"/>
    </xf>
    <xf numFmtId="0" fontId="9" fillId="0" borderId="0" xfId="0" applyFont="1" applyAlignment="1" applyProtection="1">
      <alignment vertical="top"/>
      <protection hidden="1"/>
    </xf>
    <xf numFmtId="0" fontId="9" fillId="0" borderId="7" xfId="0" applyFont="1" applyBorder="1" applyAlignment="1" applyProtection="1">
      <alignment vertical="top"/>
      <protection hidden="1"/>
    </xf>
    <xf numFmtId="0" fontId="9" fillId="0" borderId="8" xfId="0" applyFont="1" applyBorder="1" applyAlignment="1" applyProtection="1">
      <alignment vertical="top"/>
      <protection hidden="1"/>
    </xf>
    <xf numFmtId="0" fontId="9" fillId="0" borderId="9" xfId="0" applyFont="1" applyBorder="1" applyAlignment="1" applyProtection="1">
      <alignment horizontal="center" vertical="top"/>
      <protection hidden="1"/>
    </xf>
    <xf numFmtId="0" fontId="4" fillId="0" borderId="8" xfId="0" applyFont="1" applyBorder="1" applyProtection="1">
      <protection hidden="1"/>
    </xf>
    <xf numFmtId="0" fontId="3" fillId="0" borderId="0" xfId="0" applyFont="1" applyProtection="1">
      <protection hidden="1"/>
    </xf>
    <xf numFmtId="0" fontId="5" fillId="12" borderId="3" xfId="0" applyFont="1" applyFill="1" applyBorder="1" applyProtection="1">
      <protection hidden="1"/>
    </xf>
    <xf numFmtId="0" fontId="5" fillId="12" borderId="11" xfId="0" applyFont="1" applyFill="1" applyBorder="1" applyAlignment="1" applyProtection="1">
      <alignment horizontal="center"/>
      <protection hidden="1"/>
    </xf>
    <xf numFmtId="0" fontId="5" fillId="12" borderId="11" xfId="0" applyFont="1" applyFill="1" applyBorder="1" applyAlignment="1" applyProtection="1">
      <alignment horizontal="center" vertical="top"/>
      <protection hidden="1"/>
    </xf>
    <xf numFmtId="0" fontId="5" fillId="12" borderId="4" xfId="0" applyFont="1" applyFill="1" applyBorder="1" applyAlignment="1" applyProtection="1">
      <alignment horizontal="center" vertical="top"/>
      <protection hidden="1"/>
    </xf>
    <xf numFmtId="0" fontId="12" fillId="0" borderId="3" xfId="0" applyFont="1" applyBorder="1" applyAlignment="1" applyProtection="1">
      <alignment vertical="center"/>
      <protection hidden="1"/>
    </xf>
    <xf numFmtId="0" fontId="5" fillId="0" borderId="11" xfId="0" applyFont="1" applyBorder="1" applyProtection="1">
      <protection hidden="1"/>
    </xf>
    <xf numFmtId="0" fontId="12" fillId="0" borderId="5" xfId="0" applyFont="1" applyBorder="1" applyAlignment="1" applyProtection="1">
      <alignment vertical="center"/>
      <protection hidden="1"/>
    </xf>
    <xf numFmtId="0" fontId="12" fillId="0" borderId="7" xfId="0" applyFont="1" applyBorder="1" applyAlignment="1" applyProtection="1">
      <alignment vertical="center"/>
      <protection hidden="1"/>
    </xf>
    <xf numFmtId="0" fontId="5" fillId="5" borderId="8" xfId="0" applyFont="1" applyFill="1" applyBorder="1" applyProtection="1">
      <protection hidden="1"/>
    </xf>
    <xf numFmtId="0" fontId="5" fillId="5" borderId="0" xfId="0" applyFont="1" applyFill="1" applyProtection="1">
      <protection hidden="1"/>
    </xf>
    <xf numFmtId="0" fontId="5" fillId="0" borderId="8" xfId="0" applyFont="1" applyBorder="1" applyProtection="1">
      <protection hidden="1"/>
    </xf>
    <xf numFmtId="0" fontId="9" fillId="0" borderId="6" xfId="0" applyFont="1" applyBorder="1" applyAlignment="1" applyProtection="1">
      <alignment vertical="top"/>
      <protection hidden="1"/>
    </xf>
    <xf numFmtId="0" fontId="9" fillId="0" borderId="9" xfId="0" applyFont="1" applyBorder="1" applyAlignment="1" applyProtection="1">
      <alignment vertical="top"/>
      <protection hidden="1"/>
    </xf>
    <xf numFmtId="0" fontId="9" fillId="0" borderId="6" xfId="1" applyFont="1" applyBorder="1" applyAlignment="1" applyProtection="1">
      <alignment vertical="top"/>
      <protection hidden="1"/>
    </xf>
    <xf numFmtId="0" fontId="4" fillId="12" borderId="3" xfId="0" applyFont="1" applyFill="1" applyBorder="1" applyAlignment="1" applyProtection="1">
      <alignment vertical="top"/>
      <protection hidden="1"/>
    </xf>
    <xf numFmtId="0" fontId="4" fillId="12" borderId="4" xfId="0" applyFont="1" applyFill="1" applyBorder="1" applyAlignment="1" applyProtection="1">
      <alignment vertical="top"/>
      <protection hidden="1"/>
    </xf>
    <xf numFmtId="0" fontId="16" fillId="3" borderId="8" xfId="0" applyFont="1" applyFill="1" applyBorder="1" applyAlignment="1" applyProtection="1">
      <alignment horizontal="center" vertical="top"/>
      <protection hidden="1"/>
    </xf>
    <xf numFmtId="0" fontId="12" fillId="0" borderId="1" xfId="0" applyFont="1" applyBorder="1" applyAlignment="1" applyProtection="1">
      <alignment horizontal="center" vertical="center"/>
      <protection hidden="1"/>
    </xf>
    <xf numFmtId="0" fontId="5" fillId="0" borderId="0" xfId="0" applyFont="1"/>
    <xf numFmtId="0" fontId="4" fillId="0" borderId="0" xfId="0" applyFont="1"/>
    <xf numFmtId="0" fontId="34" fillId="0" borderId="0" xfId="0" applyFont="1"/>
    <xf numFmtId="0" fontId="5" fillId="0" borderId="21" xfId="0" applyFont="1" applyBorder="1"/>
    <xf numFmtId="0" fontId="36" fillId="0" borderId="0" xfId="4" applyFont="1" applyAlignment="1">
      <alignment wrapText="1"/>
    </xf>
    <xf numFmtId="0" fontId="10" fillId="6" borderId="0" xfId="0" applyFont="1" applyFill="1"/>
    <xf numFmtId="0" fontId="5" fillId="6" borderId="0" xfId="0" applyFont="1" applyFill="1"/>
    <xf numFmtId="0" fontId="25" fillId="0" borderId="12" xfId="0" applyFont="1" applyBorder="1" applyAlignment="1" applyProtection="1">
      <alignment horizontal="center" vertical="center"/>
      <protection hidden="1"/>
    </xf>
    <xf numFmtId="0" fontId="4" fillId="0" borderId="5" xfId="1" applyFont="1" applyBorder="1" applyProtection="1">
      <protection hidden="1"/>
    </xf>
    <xf numFmtId="0" fontId="4" fillId="0" borderId="6" xfId="1" applyFont="1" applyBorder="1" applyProtection="1">
      <protection hidden="1"/>
    </xf>
    <xf numFmtId="49" fontId="37" fillId="0" borderId="0" xfId="0" applyNumberFormat="1" applyFont="1" applyAlignment="1" applyProtection="1">
      <alignment vertical="top" shrinkToFit="1"/>
      <protection locked="0"/>
    </xf>
    <xf numFmtId="0" fontId="37" fillId="0" borderId="5" xfId="0" applyFont="1" applyBorder="1" applyAlignment="1" applyProtection="1">
      <alignment vertical="top" shrinkToFit="1"/>
      <protection locked="0"/>
    </xf>
    <xf numFmtId="0" fontId="37" fillId="0" borderId="0" xfId="0" applyFont="1" applyAlignment="1" applyProtection="1">
      <alignment vertical="top" shrinkToFit="1"/>
      <protection locked="0"/>
    </xf>
    <xf numFmtId="49" fontId="37" fillId="0" borderId="5" xfId="0" applyNumberFormat="1" applyFont="1" applyBorder="1" applyAlignment="1" applyProtection="1">
      <alignment vertical="top" shrinkToFit="1"/>
      <protection locked="0"/>
    </xf>
    <xf numFmtId="1" fontId="37" fillId="0" borderId="0" xfId="0" applyNumberFormat="1" applyFont="1" applyAlignment="1" applyProtection="1">
      <alignment vertical="top" shrinkToFit="1"/>
      <protection locked="0"/>
    </xf>
    <xf numFmtId="0" fontId="38" fillId="15" borderId="24" xfId="0" applyFont="1" applyFill="1" applyBorder="1" applyAlignment="1">
      <alignment vertical="top"/>
    </xf>
    <xf numFmtId="0" fontId="38" fillId="6" borderId="25" xfId="1" applyFont="1" applyFill="1" applyBorder="1" applyAlignment="1">
      <alignment vertical="top" wrapText="1"/>
    </xf>
    <xf numFmtId="0" fontId="38" fillId="14" borderId="25" xfId="0" applyFont="1" applyFill="1" applyBorder="1" applyAlignment="1">
      <alignment vertical="top" wrapText="1"/>
    </xf>
    <xf numFmtId="0" fontId="38" fillId="6" borderId="26" xfId="0" applyFont="1" applyFill="1" applyBorder="1" applyAlignment="1">
      <alignment vertical="top" wrapText="1"/>
    </xf>
    <xf numFmtId="0" fontId="38" fillId="0" borderId="25" xfId="1" applyFont="1" applyBorder="1" applyAlignment="1">
      <alignment vertical="top" wrapText="1"/>
    </xf>
    <xf numFmtId="0" fontId="5" fillId="11" borderId="3" xfId="0" applyFont="1" applyFill="1" applyBorder="1"/>
    <xf numFmtId="0" fontId="5" fillId="11" borderId="11" xfId="0" applyFont="1" applyFill="1" applyBorder="1"/>
    <xf numFmtId="0" fontId="5" fillId="11" borderId="4" xfId="0" applyFont="1" applyFill="1" applyBorder="1"/>
    <xf numFmtId="0" fontId="4" fillId="0" borderId="21" xfId="0" applyFont="1" applyBorder="1"/>
    <xf numFmtId="0" fontId="20" fillId="0" borderId="0" xfId="0" applyFont="1" applyAlignment="1" applyProtection="1">
      <alignment horizontal="center" vertical="top"/>
      <protection hidden="1"/>
    </xf>
    <xf numFmtId="0" fontId="4" fillId="0" borderId="5" xfId="0" applyFont="1" applyBorder="1"/>
    <xf numFmtId="0" fontId="5" fillId="0" borderId="6" xfId="0" applyFont="1" applyBorder="1"/>
    <xf numFmtId="0" fontId="4" fillId="0" borderId="27" xfId="0" applyFont="1" applyBorder="1"/>
    <xf numFmtId="0" fontId="5" fillId="0" borderId="28" xfId="0" applyFont="1" applyBorder="1"/>
    <xf numFmtId="0" fontId="4" fillId="0" borderId="21" xfId="0" applyFont="1" applyBorder="1" applyProtection="1">
      <protection hidden="1"/>
    </xf>
    <xf numFmtId="0" fontId="4" fillId="0" borderId="7" xfId="0" applyFont="1" applyBorder="1"/>
    <xf numFmtId="0" fontId="5" fillId="0" borderId="8" xfId="0" applyFont="1" applyBorder="1"/>
    <xf numFmtId="0" fontId="4" fillId="0" borderId="8" xfId="0" applyFont="1" applyBorder="1"/>
    <xf numFmtId="0" fontId="5" fillId="0" borderId="9" xfId="0" applyFont="1" applyBorder="1"/>
    <xf numFmtId="0" fontId="20" fillId="0" borderId="0" xfId="0" applyFont="1" applyAlignment="1" applyProtection="1">
      <alignment vertical="top" wrapText="1"/>
      <protection locked="0"/>
    </xf>
    <xf numFmtId="0" fontId="20" fillId="0" borderId="0" xfId="0" applyFont="1" applyAlignment="1" applyProtection="1">
      <alignment vertical="top"/>
      <protection locked="0"/>
    </xf>
    <xf numFmtId="0" fontId="24" fillId="0" borderId="0" xfId="2" applyFont="1" applyFill="1" applyBorder="1" applyAlignment="1" applyProtection="1">
      <alignment vertical="top" wrapText="1"/>
      <protection locked="0"/>
    </xf>
    <xf numFmtId="0" fontId="8" fillId="3" borderId="3" xfId="0" applyFont="1" applyFill="1" applyBorder="1" applyAlignment="1" applyProtection="1">
      <alignment vertical="top" wrapText="1"/>
      <protection hidden="1"/>
    </xf>
    <xf numFmtId="0" fontId="8" fillId="3" borderId="4" xfId="0" applyFont="1" applyFill="1" applyBorder="1" applyAlignment="1" applyProtection="1">
      <alignment vertical="top" wrapText="1"/>
      <protection hidden="1"/>
    </xf>
    <xf numFmtId="0" fontId="20" fillId="3" borderId="5" xfId="0" applyFont="1" applyFill="1" applyBorder="1" applyAlignment="1" applyProtection="1">
      <alignment horizontal="right" vertical="top" wrapText="1" shrinkToFit="1"/>
      <protection hidden="1"/>
    </xf>
    <xf numFmtId="0" fontId="20" fillId="3" borderId="0" xfId="0" applyFont="1" applyFill="1" applyAlignment="1" applyProtection="1">
      <alignment horizontal="right" vertical="top" wrapText="1" shrinkToFit="1"/>
      <protection hidden="1"/>
    </xf>
    <xf numFmtId="0" fontId="20" fillId="3" borderId="5" xfId="0" applyFont="1" applyFill="1" applyBorder="1" applyAlignment="1" applyProtection="1">
      <alignment vertical="top" wrapText="1"/>
      <protection hidden="1"/>
    </xf>
    <xf numFmtId="0" fontId="20" fillId="3" borderId="0" xfId="0" applyFont="1" applyFill="1" applyAlignment="1" applyProtection="1">
      <alignment vertical="top" wrapText="1"/>
      <protection hidden="1"/>
    </xf>
    <xf numFmtId="49" fontId="20" fillId="0" borderId="0" xfId="0" applyNumberFormat="1" applyFont="1" applyAlignment="1" applyProtection="1">
      <alignment horizontal="center" vertical="top" wrapText="1"/>
      <protection locked="0"/>
    </xf>
    <xf numFmtId="14" fontId="21" fillId="7" borderId="5" xfId="0" applyNumberFormat="1" applyFont="1" applyFill="1" applyBorder="1" applyAlignment="1" applyProtection="1">
      <alignment vertical="top" wrapText="1" shrinkToFit="1"/>
      <protection hidden="1"/>
    </xf>
    <xf numFmtId="14" fontId="21" fillId="7" borderId="0" xfId="0" applyNumberFormat="1" applyFont="1" applyFill="1" applyAlignment="1" applyProtection="1">
      <alignment vertical="top" wrapText="1" shrinkToFit="1"/>
      <protection hidden="1"/>
    </xf>
    <xf numFmtId="0" fontId="20" fillId="0" borderId="0" xfId="0" applyFont="1" applyAlignment="1" applyProtection="1">
      <alignment horizontal="center" vertical="top" wrapText="1"/>
      <protection locked="0"/>
    </xf>
    <xf numFmtId="14" fontId="20" fillId="4" borderId="0" xfId="0" applyNumberFormat="1" applyFont="1" applyFill="1" applyAlignment="1" applyProtection="1">
      <alignment horizontal="center" vertical="top" wrapText="1" shrinkToFit="1"/>
      <protection locked="0"/>
    </xf>
    <xf numFmtId="0" fontId="20" fillId="4" borderId="0" xfId="0" applyFont="1" applyFill="1" applyAlignment="1" applyProtection="1">
      <alignment horizontal="center" vertical="top" wrapText="1" shrinkToFit="1"/>
      <protection locked="0"/>
    </xf>
    <xf numFmtId="0" fontId="20" fillId="3" borderId="1" xfId="0" applyFont="1" applyFill="1" applyBorder="1" applyAlignment="1" applyProtection="1">
      <alignment horizontal="left" vertical="top" wrapText="1"/>
      <protection hidden="1"/>
    </xf>
    <xf numFmtId="0" fontId="24" fillId="3" borderId="0" xfId="2" applyFont="1" applyFill="1" applyBorder="1" applyAlignment="1" applyProtection="1">
      <alignment horizontal="right" vertical="top" wrapText="1"/>
      <protection hidden="1"/>
    </xf>
    <xf numFmtId="0" fontId="28" fillId="3" borderId="0" xfId="0" applyFont="1" applyFill="1" applyAlignment="1" applyProtection="1">
      <alignment vertical="top" wrapText="1"/>
      <protection hidden="1"/>
    </xf>
    <xf numFmtId="0" fontId="20" fillId="3" borderId="0" xfId="0" applyFont="1" applyFill="1" applyAlignment="1" applyProtection="1">
      <alignment horizontal="right" wrapText="1"/>
      <protection hidden="1"/>
    </xf>
    <xf numFmtId="0" fontId="32" fillId="3" borderId="7" xfId="0" applyFont="1" applyFill="1" applyBorder="1" applyAlignment="1" applyProtection="1">
      <alignment horizontal="center" vertical="top"/>
      <protection hidden="1"/>
    </xf>
    <xf numFmtId="0" fontId="32" fillId="3" borderId="9" xfId="0" applyFont="1" applyFill="1" applyBorder="1" applyAlignment="1" applyProtection="1">
      <alignment horizontal="center" vertical="top"/>
      <protection hidden="1"/>
    </xf>
    <xf numFmtId="0" fontId="31" fillId="3" borderId="0" xfId="2" applyFont="1" applyFill="1" applyBorder="1" applyAlignment="1" applyProtection="1">
      <alignment vertical="top" wrapText="1"/>
      <protection hidden="1"/>
    </xf>
    <xf numFmtId="0" fontId="20" fillId="3" borderId="8" xfId="0" applyFont="1" applyFill="1" applyBorder="1" applyAlignment="1" applyProtection="1">
      <alignment vertical="top"/>
      <protection hidden="1"/>
    </xf>
    <xf numFmtId="0" fontId="20" fillId="3" borderId="1" xfId="0" applyFont="1" applyFill="1" applyBorder="1" applyAlignment="1">
      <alignment horizontal="left" vertical="top" wrapText="1"/>
    </xf>
    <xf numFmtId="0" fontId="26" fillId="3" borderId="3" xfId="0" applyFont="1" applyFill="1" applyBorder="1" applyAlignment="1" applyProtection="1">
      <alignment vertical="top" wrapText="1"/>
      <protection hidden="1"/>
    </xf>
    <xf numFmtId="0" fontId="26" fillId="3" borderId="11" xfId="0" applyFont="1" applyFill="1" applyBorder="1" applyAlignment="1" applyProtection="1">
      <alignment vertical="top" wrapText="1"/>
      <protection hidden="1"/>
    </xf>
    <xf numFmtId="0" fontId="20" fillId="3" borderId="0" xfId="0" applyFont="1" applyFill="1" applyAlignment="1" applyProtection="1">
      <alignment horizontal="right" vertical="top" wrapText="1"/>
      <protection hidden="1"/>
    </xf>
    <xf numFmtId="0" fontId="24" fillId="3" borderId="0" xfId="2" applyFont="1" applyFill="1" applyBorder="1" applyAlignment="1" applyProtection="1">
      <alignment horizontal="right" wrapText="1"/>
      <protection hidden="1"/>
    </xf>
    <xf numFmtId="0" fontId="24" fillId="3" borderId="5" xfId="2" applyFont="1" applyFill="1" applyBorder="1" applyAlignment="1" applyProtection="1">
      <alignment horizontal="right" vertical="top" wrapText="1"/>
      <protection hidden="1"/>
    </xf>
    <xf numFmtId="0" fontId="24" fillId="3" borderId="5" xfId="2" applyFont="1" applyFill="1" applyBorder="1" applyAlignment="1" applyProtection="1">
      <alignment horizontal="right" wrapText="1"/>
      <protection hidden="1"/>
    </xf>
    <xf numFmtId="0" fontId="20" fillId="3" borderId="5" xfId="0" applyFont="1" applyFill="1" applyBorder="1" applyAlignment="1" applyProtection="1">
      <alignment horizontal="right" vertical="top" wrapText="1"/>
      <protection hidden="1"/>
    </xf>
    <xf numFmtId="0" fontId="24" fillId="3" borderId="0" xfId="2" applyFont="1" applyFill="1" applyBorder="1" applyAlignment="1" applyProtection="1">
      <alignment horizontal="right" vertical="top" shrinkToFit="1"/>
      <protection hidden="1"/>
    </xf>
    <xf numFmtId="0" fontId="29" fillId="0" borderId="0" xfId="0" applyFont="1" applyAlignment="1" applyProtection="1">
      <alignment horizontal="center" vertical="top" shrinkToFit="1"/>
      <protection locked="0"/>
    </xf>
    <xf numFmtId="0" fontId="20" fillId="0" borderId="6" xfId="0" applyFont="1" applyBorder="1" applyAlignment="1" applyProtection="1">
      <alignment vertical="top" wrapText="1"/>
      <protection locked="0"/>
    </xf>
    <xf numFmtId="0" fontId="13" fillId="10" borderId="3" xfId="0" applyFont="1" applyFill="1" applyBorder="1" applyAlignment="1" applyProtection="1">
      <alignment horizontal="center" vertical="center" wrapText="1"/>
      <protection hidden="1"/>
    </xf>
    <xf numFmtId="0" fontId="13" fillId="10" borderId="11" xfId="0" applyFont="1" applyFill="1" applyBorder="1" applyAlignment="1" applyProtection="1">
      <alignment horizontal="center" vertical="center" wrapText="1"/>
      <protection hidden="1"/>
    </xf>
    <xf numFmtId="0" fontId="13" fillId="10" borderId="7" xfId="0" applyFont="1" applyFill="1" applyBorder="1" applyAlignment="1" applyProtection="1">
      <alignment horizontal="center" vertical="center" wrapText="1"/>
      <protection hidden="1"/>
    </xf>
    <xf numFmtId="0" fontId="13" fillId="10" borderId="8" xfId="0" applyFont="1" applyFill="1" applyBorder="1" applyAlignment="1" applyProtection="1">
      <alignment horizontal="center" vertical="center" wrapText="1"/>
      <protection hidden="1"/>
    </xf>
    <xf numFmtId="0" fontId="18" fillId="3" borderId="11" xfId="0" applyFont="1" applyFill="1" applyBorder="1" applyAlignment="1" applyProtection="1">
      <alignment horizontal="center" vertical="top" wrapText="1"/>
      <protection hidden="1"/>
    </xf>
    <xf numFmtId="0" fontId="15" fillId="3" borderId="8" xfId="0" applyFont="1" applyFill="1" applyBorder="1" applyAlignment="1" applyProtection="1">
      <alignment horizontal="center" vertical="center" wrapText="1"/>
      <protection hidden="1"/>
    </xf>
    <xf numFmtId="0" fontId="26" fillId="3" borderId="3" xfId="0" applyFont="1" applyFill="1" applyBorder="1" applyAlignment="1" applyProtection="1">
      <alignment wrapText="1" shrinkToFit="1"/>
      <protection hidden="1"/>
    </xf>
    <xf numFmtId="0" fontId="26" fillId="3" borderId="11" xfId="0" applyFont="1" applyFill="1" applyBorder="1" applyAlignment="1" applyProtection="1">
      <alignment wrapText="1" shrinkToFit="1"/>
      <protection hidden="1"/>
    </xf>
    <xf numFmtId="0" fontId="24" fillId="3" borderId="11" xfId="2" applyFont="1" applyFill="1" applyBorder="1" applyAlignment="1" applyProtection="1">
      <alignment horizontal="center" shrinkToFit="1"/>
      <protection hidden="1"/>
    </xf>
    <xf numFmtId="0" fontId="24" fillId="3" borderId="4" xfId="2" applyFont="1" applyFill="1" applyBorder="1" applyAlignment="1" applyProtection="1">
      <alignment horizontal="center" shrinkToFit="1"/>
      <protection hidden="1"/>
    </xf>
    <xf numFmtId="0" fontId="8" fillId="3" borderId="1" xfId="0" applyFont="1" applyFill="1" applyBorder="1" applyAlignment="1" applyProtection="1">
      <alignment horizontal="left" vertical="top" wrapText="1"/>
      <protection hidden="1"/>
    </xf>
    <xf numFmtId="0" fontId="24" fillId="3" borderId="1" xfId="2" applyFont="1" applyFill="1" applyBorder="1" applyAlignment="1" applyProtection="1">
      <alignment horizontal="left" vertical="top" wrapText="1"/>
      <protection hidden="1"/>
    </xf>
    <xf numFmtId="0" fontId="12"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12" fillId="0" borderId="10" xfId="0" applyFont="1" applyBorder="1" applyAlignment="1" applyProtection="1">
      <alignment horizontal="center" vertical="center"/>
      <protection hidden="1"/>
    </xf>
    <xf numFmtId="0" fontId="12" fillId="0" borderId="12" xfId="0" applyFont="1" applyBorder="1" applyAlignment="1" applyProtection="1">
      <alignment horizontal="center" vertical="center"/>
      <protection hidden="1"/>
    </xf>
    <xf numFmtId="0" fontId="12" fillId="0" borderId="13" xfId="0" applyFont="1" applyBorder="1" applyAlignment="1" applyProtection="1">
      <alignment horizontal="center" vertical="center"/>
      <protection hidden="1"/>
    </xf>
    <xf numFmtId="0" fontId="3" fillId="2" borderId="0" xfId="0" applyFont="1" applyFill="1" applyAlignment="1" applyProtection="1">
      <alignment vertical="top"/>
      <protection hidden="1"/>
    </xf>
    <xf numFmtId="0" fontId="3" fillId="0" borderId="0" xfId="0" applyFont="1" applyAlignment="1" applyProtection="1">
      <alignment vertical="top"/>
      <protection hidden="1"/>
    </xf>
    <xf numFmtId="0" fontId="3" fillId="0" borderId="0" xfId="0" applyFont="1" applyProtection="1">
      <protection hidden="1"/>
    </xf>
    <xf numFmtId="0" fontId="3" fillId="0" borderId="8" xfId="0" applyFont="1" applyBorder="1" applyProtection="1">
      <protection hidden="1"/>
    </xf>
    <xf numFmtId="0" fontId="20" fillId="0" borderId="0" xfId="0" applyFont="1" applyAlignment="1" applyProtection="1">
      <alignment vertical="top" wrapText="1"/>
      <protection hidden="1"/>
    </xf>
    <xf numFmtId="0" fontId="11" fillId="0" borderId="10" xfId="1" applyFont="1" applyBorder="1" applyAlignment="1" applyProtection="1">
      <alignment horizontal="center" vertical="center" textRotation="90" wrapText="1"/>
      <protection hidden="1"/>
    </xf>
    <xf numFmtId="0" fontId="11" fillId="0" borderId="12" xfId="1" applyFont="1" applyBorder="1" applyAlignment="1" applyProtection="1">
      <alignment horizontal="center" vertical="center" textRotation="90" wrapText="1"/>
      <protection hidden="1"/>
    </xf>
    <xf numFmtId="0" fontId="11" fillId="0" borderId="13" xfId="1" applyFont="1" applyBorder="1" applyAlignment="1" applyProtection="1">
      <alignment horizontal="center" vertical="center" textRotation="90" wrapText="1"/>
      <protection hidden="1"/>
    </xf>
    <xf numFmtId="0" fontId="4" fillId="3" borderId="10" xfId="1" applyFont="1" applyFill="1" applyBorder="1" applyAlignment="1" applyProtection="1">
      <alignment horizontal="center" vertical="top" wrapText="1"/>
      <protection hidden="1"/>
    </xf>
    <xf numFmtId="0" fontId="4" fillId="3" borderId="12" xfId="1" applyFont="1" applyFill="1" applyBorder="1" applyAlignment="1" applyProtection="1">
      <alignment horizontal="center" vertical="top" wrapText="1"/>
      <protection hidden="1"/>
    </xf>
    <xf numFmtId="0" fontId="4" fillId="3" borderId="13" xfId="1" applyFont="1" applyFill="1" applyBorder="1" applyAlignment="1" applyProtection="1">
      <alignment horizontal="center" vertical="top" wrapText="1"/>
      <protection hidden="1"/>
    </xf>
    <xf numFmtId="0" fontId="11" fillId="3" borderId="13" xfId="1" applyFont="1" applyFill="1" applyBorder="1" applyAlignment="1" applyProtection="1">
      <alignment horizontal="center" vertical="center" textRotation="90" wrapText="1"/>
      <protection hidden="1"/>
    </xf>
    <xf numFmtId="0" fontId="11" fillId="3" borderId="1" xfId="1" applyFont="1" applyFill="1" applyBorder="1" applyAlignment="1" applyProtection="1">
      <alignment horizontal="center" vertical="center" textRotation="90" wrapText="1"/>
      <protection hidden="1"/>
    </xf>
    <xf numFmtId="0" fontId="11" fillId="3" borderId="2" xfId="1" applyFont="1" applyFill="1" applyBorder="1" applyAlignment="1" applyProtection="1">
      <alignment horizontal="center" vertical="center" textRotation="90" wrapText="1"/>
      <protection hidden="1"/>
    </xf>
    <xf numFmtId="0" fontId="4" fillId="3" borderId="1" xfId="1" applyFont="1" applyFill="1" applyBorder="1" applyAlignment="1" applyProtection="1">
      <alignment horizontal="center" vertical="top" wrapText="1"/>
      <protection hidden="1"/>
    </xf>
    <xf numFmtId="0" fontId="4" fillId="3" borderId="2" xfId="1" applyFont="1" applyFill="1" applyBorder="1" applyAlignment="1" applyProtection="1">
      <alignment horizontal="center" vertical="top" wrapText="1"/>
      <protection hidden="1"/>
    </xf>
    <xf numFmtId="0" fontId="4" fillId="3" borderId="3" xfId="1" applyFont="1" applyFill="1" applyBorder="1" applyAlignment="1" applyProtection="1">
      <alignment horizontal="center" vertical="top" wrapText="1"/>
      <protection hidden="1"/>
    </xf>
    <xf numFmtId="0" fontId="4" fillId="0" borderId="10" xfId="1" applyFont="1" applyBorder="1" applyAlignment="1" applyProtection="1">
      <alignment horizontal="center" vertical="top" wrapText="1"/>
      <protection hidden="1"/>
    </xf>
    <xf numFmtId="0" fontId="4" fillId="0" borderId="12" xfId="1" applyFont="1" applyBorder="1" applyAlignment="1" applyProtection="1">
      <alignment horizontal="center" vertical="top" wrapText="1"/>
      <protection hidden="1"/>
    </xf>
    <xf numFmtId="0" fontId="4" fillId="0" borderId="13" xfId="1" applyFont="1" applyBorder="1" applyAlignment="1" applyProtection="1">
      <alignment horizontal="center" vertical="top" wrapText="1"/>
      <protection hidden="1"/>
    </xf>
    <xf numFmtId="0" fontId="7" fillId="3" borderId="12" xfId="1" applyFont="1" applyFill="1" applyBorder="1" applyAlignment="1" applyProtection="1">
      <alignment horizontal="right" vertical="top" wrapText="1"/>
      <protection hidden="1"/>
    </xf>
    <xf numFmtId="0" fontId="3" fillId="0" borderId="8" xfId="0" applyFont="1" applyBorder="1" applyAlignment="1" applyProtection="1">
      <alignment vertical="top" wrapText="1"/>
      <protection hidden="1"/>
    </xf>
    <xf numFmtId="0" fontId="3" fillId="0" borderId="1" xfId="0" applyFont="1" applyBorder="1" applyAlignment="1" applyProtection="1">
      <alignment vertical="top" wrapText="1"/>
      <protection hidden="1"/>
    </xf>
    <xf numFmtId="0" fontId="3" fillId="0" borderId="2" xfId="0" applyFont="1" applyBorder="1" applyAlignment="1" applyProtection="1">
      <alignment vertical="top" wrapText="1"/>
      <protection hidden="1"/>
    </xf>
    <xf numFmtId="0" fontId="3" fillId="0" borderId="10" xfId="0" applyFont="1" applyBorder="1" applyAlignment="1" applyProtection="1">
      <alignment vertical="top" wrapText="1"/>
      <protection hidden="1"/>
    </xf>
    <xf numFmtId="0" fontId="3" fillId="0" borderId="3" xfId="0" applyFont="1" applyBorder="1" applyAlignment="1" applyProtection="1">
      <alignment vertical="top" wrapText="1"/>
      <protection hidden="1"/>
    </xf>
    <xf numFmtId="0" fontId="4" fillId="0" borderId="1" xfId="1" applyFont="1" applyBorder="1" applyAlignment="1" applyProtection="1">
      <alignment vertical="top" wrapText="1"/>
      <protection hidden="1"/>
    </xf>
    <xf numFmtId="0" fontId="4" fillId="0" borderId="10" xfId="1" applyFont="1" applyBorder="1" applyAlignment="1" applyProtection="1">
      <alignment vertical="top" wrapText="1"/>
      <protection hidden="1"/>
    </xf>
    <xf numFmtId="0" fontId="11" fillId="0" borderId="1" xfId="1" applyFont="1" applyBorder="1" applyAlignment="1" applyProtection="1">
      <alignment horizontal="center" vertical="center" textRotation="90" wrapText="1"/>
      <protection hidden="1"/>
    </xf>
    <xf numFmtId="0" fontId="11" fillId="0" borderId="2" xfId="1" applyFont="1" applyBorder="1" applyAlignment="1" applyProtection="1">
      <alignment horizontal="center" vertical="center" textRotation="90" wrapText="1"/>
      <protection hidden="1"/>
    </xf>
    <xf numFmtId="0" fontId="33" fillId="13" borderId="0" xfId="0" applyFont="1" applyFill="1" applyAlignment="1" applyProtection="1">
      <alignment vertical="top" wrapText="1"/>
      <protection hidden="1"/>
    </xf>
    <xf numFmtId="0" fontId="8" fillId="0" borderId="0" xfId="0" applyFont="1" applyAlignment="1" applyProtection="1">
      <alignment vertical="top" wrapText="1"/>
      <protection hidden="1"/>
    </xf>
    <xf numFmtId="0" fontId="4" fillId="0" borderId="2" xfId="1" applyFont="1" applyBorder="1" applyAlignment="1" applyProtection="1">
      <alignment horizontal="center" vertical="top" wrapText="1"/>
      <protection hidden="1"/>
    </xf>
    <xf numFmtId="0" fontId="4" fillId="0" borderId="3" xfId="1" applyFont="1" applyBorder="1" applyAlignment="1" applyProtection="1">
      <alignment horizontal="center" vertical="top" wrapText="1"/>
      <protection hidden="1"/>
    </xf>
    <xf numFmtId="0" fontId="4" fillId="0" borderId="5" xfId="1" applyFont="1" applyBorder="1" applyAlignment="1" applyProtection="1">
      <alignment horizontal="center" vertical="top" wrapText="1"/>
      <protection hidden="1"/>
    </xf>
    <xf numFmtId="0" fontId="4" fillId="0" borderId="7" xfId="1" applyFont="1" applyBorder="1" applyAlignment="1" applyProtection="1">
      <alignment horizontal="center" vertical="top" wrapText="1"/>
      <protection hidden="1"/>
    </xf>
    <xf numFmtId="0" fontId="4" fillId="0" borderId="8" xfId="1" applyFont="1" applyBorder="1" applyAlignment="1" applyProtection="1">
      <alignment horizontal="center" vertical="top" wrapText="1"/>
      <protection hidden="1"/>
    </xf>
    <xf numFmtId="0" fontId="4" fillId="0" borderId="18" xfId="1" applyFont="1" applyBorder="1" applyAlignment="1" applyProtection="1">
      <alignment horizontal="center" wrapText="1"/>
      <protection hidden="1"/>
    </xf>
    <xf numFmtId="0" fontId="4" fillId="0" borderId="19" xfId="1" applyFont="1" applyBorder="1" applyAlignment="1" applyProtection="1">
      <alignment horizontal="center" wrapText="1"/>
      <protection hidden="1"/>
    </xf>
    <xf numFmtId="0" fontId="4" fillId="0" borderId="20" xfId="1" applyFont="1" applyBorder="1" applyAlignment="1" applyProtection="1">
      <alignment horizontal="center" wrapText="1"/>
      <protection hidden="1"/>
    </xf>
    <xf numFmtId="0" fontId="4" fillId="3" borderId="5" xfId="1" applyFont="1" applyFill="1" applyBorder="1" applyAlignment="1" applyProtection="1">
      <alignment horizontal="center" vertical="top" wrapText="1"/>
      <protection hidden="1"/>
    </xf>
    <xf numFmtId="0" fontId="4" fillId="3" borderId="7" xfId="1" applyFont="1" applyFill="1" applyBorder="1" applyAlignment="1" applyProtection="1">
      <alignment horizontal="center" vertical="top" wrapText="1"/>
      <protection hidden="1"/>
    </xf>
    <xf numFmtId="0" fontId="5" fillId="0" borderId="0" xfId="0" applyFont="1" applyAlignment="1" applyProtection="1">
      <alignment vertical="top"/>
      <protection hidden="1"/>
    </xf>
    <xf numFmtId="0" fontId="19" fillId="9" borderId="0" xfId="0" applyFont="1" applyFill="1" applyAlignment="1" applyProtection="1">
      <alignment vertical="center" readingOrder="1"/>
      <protection hidden="1"/>
    </xf>
    <xf numFmtId="0" fontId="3" fillId="0" borderId="10" xfId="0" applyFont="1" applyBorder="1" applyAlignment="1" applyProtection="1">
      <alignment horizontal="center" vertical="center" textRotation="90"/>
      <protection hidden="1"/>
    </xf>
    <xf numFmtId="0" fontId="3" fillId="0" borderId="12" xfId="0" applyFont="1" applyBorder="1" applyAlignment="1" applyProtection="1">
      <alignment horizontal="center" vertical="center" textRotation="90"/>
      <protection hidden="1"/>
    </xf>
    <xf numFmtId="0" fontId="3" fillId="0" borderId="13" xfId="0" applyFont="1" applyBorder="1" applyAlignment="1" applyProtection="1">
      <alignment horizontal="center" vertical="center" textRotation="90"/>
      <protection hidden="1"/>
    </xf>
    <xf numFmtId="0" fontId="4" fillId="0" borderId="10" xfId="0" applyFont="1" applyBorder="1" applyAlignment="1" applyProtection="1">
      <alignment horizontal="center" vertical="top"/>
      <protection hidden="1"/>
    </xf>
    <xf numFmtId="0" fontId="4" fillId="0" borderId="12" xfId="0" applyFont="1" applyBorder="1" applyAlignment="1" applyProtection="1">
      <alignment horizontal="center" vertical="top"/>
      <protection hidden="1"/>
    </xf>
    <xf numFmtId="0" fontId="4" fillId="0" borderId="13" xfId="0" applyFont="1" applyBorder="1" applyAlignment="1" applyProtection="1">
      <alignment horizontal="center" vertical="top"/>
      <protection hidden="1"/>
    </xf>
    <xf numFmtId="0" fontId="4" fillId="0" borderId="0" xfId="0" applyFont="1" applyProtection="1">
      <protection hidden="1"/>
    </xf>
    <xf numFmtId="0" fontId="8" fillId="5" borderId="0" xfId="0" applyFont="1" applyFill="1" applyAlignment="1" applyProtection="1">
      <alignment vertical="top"/>
      <protection hidden="1"/>
    </xf>
  </cellXfs>
  <cellStyles count="5">
    <cellStyle name="Hyperlink" xfId="2" builtinId="8"/>
    <cellStyle name="Normal" xfId="0" builtinId="0"/>
    <cellStyle name="Normal 2" xfId="1" xr:uid="{00000000-0005-0000-0000-000002000000}"/>
    <cellStyle name="Normal 2 2" xfId="3" xr:uid="{00000000-0005-0000-0000-000003000000}"/>
    <cellStyle name="Normal_tablesOfCodes" xfId="4" xr:uid="{AB1803BA-F64F-4626-97FB-06224014D098}"/>
  </cellStyles>
  <dxfs count="72">
    <dxf>
      <fill>
        <patternFill>
          <bgColor rgb="FFFFFF99"/>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patternType="solid">
          <bgColor rgb="FFFFFF00"/>
        </patternFill>
      </fill>
    </dxf>
    <dxf>
      <fill>
        <patternFill patternType="none">
          <bgColor auto="1"/>
        </patternFill>
      </fill>
    </dxf>
    <dxf>
      <font>
        <color rgb="FFC00000"/>
      </font>
      <fill>
        <patternFill patternType="solid">
          <bgColor rgb="FFFFFF00"/>
        </patternFill>
      </fill>
    </dxf>
    <dxf>
      <font>
        <color auto="1"/>
      </font>
      <fill>
        <patternFill patternType="solid">
          <bgColor theme="6"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solid">
          <bgColor rgb="FFFFFF00"/>
        </patternFill>
      </fill>
    </dxf>
    <dxf>
      <font>
        <color auto="1"/>
      </font>
      <fill>
        <patternFill patternType="solid">
          <bgColor theme="6" tint="0.59996337778862885"/>
        </patternFill>
      </fill>
    </dxf>
    <dxf>
      <font>
        <color rgb="FFC00000"/>
      </font>
      <fill>
        <patternFill patternType="solid">
          <bgColor rgb="FFFFFF00"/>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solid">
          <bgColor rgb="FFFFFF00"/>
        </patternFill>
      </fill>
    </dxf>
    <dxf>
      <font>
        <color rgb="FFC00000"/>
      </font>
      <fill>
        <patternFill patternType="solid">
          <bgColor rgb="FFFFFF00"/>
        </patternFill>
      </fill>
    </dxf>
    <dxf>
      <font>
        <color auto="1"/>
      </font>
      <fill>
        <patternFill patternType="solid">
          <bgColor theme="6" tint="0.59996337778862885"/>
        </patternFill>
      </fill>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style="thin">
          <color theme="8"/>
        </top>
        <bottom/>
        <vertical/>
        <horizontal/>
      </border>
      <protection locked="1" hidden="1"/>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style="thin">
          <color theme="8"/>
        </top>
        <bottom/>
        <vertical/>
        <horizontal/>
      </border>
      <protection locked="1" hidden="1"/>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style="thin">
          <color theme="8"/>
        </top>
        <bottom/>
        <vertical/>
        <horizontal/>
      </border>
      <protection locked="1" hidden="1"/>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style="thin">
          <color theme="8"/>
        </top>
        <bottom/>
        <vertical/>
        <horizontal/>
      </border>
      <protection locked="1" hidden="1"/>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style="thin">
          <color theme="8"/>
        </top>
        <bottom/>
        <vertical/>
        <horizontal/>
      </border>
      <protection locked="1" hidden="1"/>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style="thin">
          <color theme="8"/>
        </top>
        <bottom/>
        <vertical/>
        <horizontal/>
      </border>
      <protection locked="1" hidden="1"/>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right/>
        <top style="thin">
          <color theme="8"/>
        </top>
        <bottom/>
        <vertical/>
        <horizontal/>
      </border>
      <protection locked="1" hidden="1"/>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right/>
        <top style="thin">
          <color theme="8"/>
        </top>
        <bottom/>
        <vertical/>
        <horizontal/>
      </border>
      <protection locked="1" hidden="1"/>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right/>
        <top style="thin">
          <color theme="8"/>
        </top>
        <bottom/>
        <vertical/>
        <horizontal/>
      </border>
      <protection locked="1" hidden="1"/>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right/>
        <top style="thin">
          <color theme="8"/>
        </top>
        <bottom/>
        <vertical/>
        <horizontal/>
      </border>
      <protection locked="1" hidden="1"/>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right/>
        <top style="thin">
          <color theme="8"/>
        </top>
        <bottom/>
        <vertical/>
        <horizontal/>
      </border>
      <protection locked="1" hidden="1"/>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right/>
        <top style="thin">
          <color theme="8"/>
        </top>
        <bottom/>
        <vertical/>
        <horizontal/>
      </border>
      <protection locked="1" hidden="1"/>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style="thin">
          <color theme="8"/>
        </left>
        <right/>
        <top style="thin">
          <color theme="8"/>
        </top>
        <bottom/>
        <vertical/>
        <horizontal/>
      </border>
      <protection locked="1" hidden="1"/>
    </dxf>
    <dxf>
      <border outline="0">
        <left style="thin">
          <color theme="7" tint="0.39997558519241921"/>
        </left>
        <right style="thin">
          <color theme="7" tint="0.39997558519241921"/>
        </right>
        <top style="thin">
          <color theme="4"/>
        </top>
        <bottom style="thin">
          <color theme="4"/>
        </bottom>
      </border>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8"/>
        <color auto="1"/>
        <name val="Calibri"/>
        <scheme val="minor"/>
      </font>
      <fill>
        <patternFill patternType="none">
          <fgColor theme="7"/>
          <bgColor auto="1"/>
        </patternFill>
      </fill>
      <alignment horizontal="general" vertical="top"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top" textRotation="0" wrapText="0" indent="0" justifyLastLine="0" shrinkToFit="1" readingOrder="0"/>
      <border diagonalUp="0" diagonalDown="0">
        <left style="thin">
          <color indexed="64"/>
        </left>
        <right/>
        <top/>
        <bottom/>
      </border>
      <protection locked="0" hidden="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top" textRotation="0" wrapText="0" indent="0" justifyLastLine="0" shrinkToFit="1" readingOrder="0"/>
      <border diagonalUp="0" diagonalDown="0">
        <left style="thin">
          <color indexed="64"/>
        </left>
        <right/>
        <top/>
        <bottom/>
      </border>
      <protection locked="0" hidden="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scheme val="minor"/>
      </font>
      <numFmt numFmtId="1" formatCode="0"/>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scheme val="minor"/>
      </font>
      <numFmt numFmtId="1" formatCode="0"/>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scheme val="minor"/>
      </font>
      <numFmt numFmtId="30" formatCode="@"/>
      <fill>
        <patternFill patternType="none">
          <fgColor indexed="64"/>
          <bgColor auto="1"/>
        </patternFill>
      </fill>
      <alignment horizontal="general" vertical="top" textRotation="0" wrapText="0" indent="0" justifyLastLine="0" shrinkToFit="1" readingOrder="0"/>
      <border diagonalUp="0" diagonalDown="0">
        <left style="thin">
          <color indexed="64"/>
        </left>
        <right/>
        <top/>
        <bottom/>
      </border>
      <protection locked="0" hidden="0"/>
    </dxf>
    <dxf>
      <font>
        <b val="0"/>
        <i val="0"/>
        <strike val="0"/>
        <condense val="0"/>
        <extend val="0"/>
        <outline val="0"/>
        <shadow val="0"/>
        <u val="none"/>
        <vertAlign val="baseline"/>
        <sz val="8"/>
        <color auto="1"/>
        <name val="Calibri"/>
        <scheme val="minor"/>
      </font>
      <numFmt numFmtId="30" formatCode="@"/>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scheme val="minor"/>
      </font>
      <numFmt numFmtId="30" formatCode="@"/>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scheme val="minor"/>
      </font>
      <numFmt numFmtId="30" formatCode="@"/>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scheme val="minor"/>
      </font>
      <numFmt numFmtId="30" formatCode="@"/>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scheme val="minor"/>
      </font>
      <numFmt numFmtId="0" formatCode="General"/>
      <fill>
        <patternFill patternType="none">
          <fgColor indexed="64"/>
          <bgColor auto="1"/>
        </patternFill>
      </fill>
      <alignment horizontal="general" vertical="top" textRotation="0" wrapText="0" indent="0" justifyLastLine="0" shrinkToFit="1" readingOrder="0"/>
      <border diagonalUp="0" diagonalDown="0">
        <left style="thin">
          <color indexed="64"/>
        </left>
        <right/>
        <top/>
        <bottom/>
      </border>
      <protection locked="0" hidden="0"/>
    </dxf>
    <dxf>
      <font>
        <b val="0"/>
        <i val="0"/>
        <strike val="0"/>
        <condense val="0"/>
        <extend val="0"/>
        <outline val="0"/>
        <shadow val="0"/>
        <u val="none"/>
        <vertAlign val="baseline"/>
        <sz val="8"/>
        <color auto="1"/>
        <name val="Calibri"/>
        <scheme val="minor"/>
      </font>
      <numFmt numFmtId="30" formatCode="@"/>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scheme val="minor"/>
      </font>
      <numFmt numFmtId="30" formatCode="@"/>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top" textRotation="0" wrapText="0" indent="0" justifyLastLine="0" shrinkToFit="1" readingOrder="0"/>
      <protection locked="0" hidden="0"/>
    </dxf>
    <dxf>
      <font>
        <b/>
        <i val="0"/>
        <strike val="0"/>
        <condense val="0"/>
        <extend val="0"/>
        <outline val="0"/>
        <shadow val="0"/>
        <u val="none"/>
        <vertAlign val="baseline"/>
        <sz val="8"/>
        <color auto="1"/>
        <name val="Calibri"/>
        <family val="2"/>
        <scheme val="minor"/>
      </font>
      <fill>
        <patternFill patternType="solid">
          <fgColor indexed="64"/>
          <bgColor theme="0" tint="-0.14999847407452621"/>
        </patternFill>
      </fill>
      <alignment horizontal="left" vertical="center" textRotation="0" wrapText="0" indent="0" justifyLastLine="0" shrinkToFit="0" readingOrder="0"/>
      <protection locked="1" hidden="1"/>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1</xdr:row>
      <xdr:rowOff>240323</xdr:rowOff>
    </xdr:to>
    <xdr:pic>
      <xdr:nvPicPr>
        <xdr:cNvPr id="2" name="Picture 17" descr="LOGOTIPO" hidden="1">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0"/>
          <a:ext cx="0" cy="43082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blST05" displayName="tblST05" ref="A26:U50" totalsRowShown="0" headerRowDxfId="71" dataDxfId="70">
  <autoFilter ref="A26:U50" xr:uid="{00000000-0009-0000-0100-000003000000}"/>
  <tableColumns count="21">
    <tableColumn id="2" xr3:uid="{00000000-0010-0000-0000-000002000000}" name="FlagVesCd" dataDxfId="69"/>
    <tableColumn id="3" xr3:uid="{00000000-0010-0000-0000-000003000000}" name="FleetSuffix" dataDxfId="68"/>
    <tableColumn id="1" xr3:uid="{00000000-0010-0000-0000-000001000000}" name="YearC" dataDxfId="67"/>
    <tableColumn id="5" xr3:uid="{00000000-0010-0000-0000-000005000000}" name="Month" dataDxfId="66"/>
    <tableColumn id="6" xr3:uid="{00000000-0010-0000-0000-000006000000}" name="GearCd" dataDxfId="65"/>
    <tableColumn id="4" xr3:uid="{00000000-0010-0000-0000-000004000000}" name="CatchTypeCd" dataDxfId="64"/>
    <tableColumn id="7" xr3:uid="{00000000-0010-0000-0000-000007000000}" name="SchooltypCd" dataDxfId="63"/>
    <tableColumn id="8" xr3:uid="{00000000-0010-0000-0000-000008000000}" name="SaAreaCd" dataDxfId="62"/>
    <tableColumn id="9" xr3:uid="{00000000-0010-0000-0000-000009000000}" name="QuadCd" dataDxfId="61"/>
    <tableColumn id="10" xr3:uid="{00000000-0010-0000-0000-00000A000000}" name="Lat" dataDxfId="60"/>
    <tableColumn id="11" xr3:uid="{00000000-0010-0000-0000-00000B000000}" name="Lon" dataDxfId="59"/>
    <tableColumn id="12" xr3:uid="{00000000-0010-0000-0000-00000C000000}" name="TotCatchW" dataDxfId="58"/>
    <tableColumn id="13" xr3:uid="{00000000-0010-0000-0000-00000D000000}" name="TotCatchN" dataDxfId="57"/>
    <tableColumn id="14" xr3:uid="{00000000-0010-0000-0000-00000E000000}" name="NrSamples" dataDxfId="56"/>
    <tableColumn id="15" xr3:uid="{00000000-0010-0000-0000-00000F000000}" name="FishSampW" dataDxfId="55"/>
    <tableColumn id="16" xr3:uid="{00000000-0010-0000-0000-000010000000}" name="FishSampN" dataDxfId="54"/>
    <tableColumn id="17" xr3:uid="{00000000-0010-0000-0000-000011000000}" name="szClass" dataDxfId="53"/>
    <tableColumn id="18" xr3:uid="{00000000-0010-0000-0000-000012000000}" name="NoUc" dataDxfId="52"/>
    <tableColumn id="19" xr3:uid="{00000000-0010-0000-0000-000013000000}" name="NoMc" dataDxfId="51"/>
    <tableColumn id="20" xr3:uid="{00000000-0010-0000-0000-000014000000}" name="NoFc" dataDxfId="50"/>
    <tableColumn id="21" xr3:uid="{00000000-0010-0000-0000-000015000000}" name="NoIc" dataDxfId="49"/>
  </tableColumns>
  <tableStyleInfo name="TableStyleLight1" showFirstColumn="0" showLastColumn="0" showRowStripes="0"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blTrans3Langs" displayName="tblTrans3Langs" ref="A4:M89" totalsRowShown="0" headerRowDxfId="48" dataDxfId="47" tableBorderDxfId="46" dataCellStyle="Normal 2">
  <autoFilter ref="A4:M89" xr:uid="{20FFDF34-15CF-4C7E-99B8-F375841550D7}"/>
  <tableColumns count="13">
    <tableColumn id="1" xr3:uid="{00000000-0010-0000-0100-000001000000}" name="FieldID" dataDxfId="45" dataCellStyle="Normal 2"/>
    <tableColumn id="2" xr3:uid="{00000000-0010-0000-0100-000002000000}" name="OrderID" dataDxfId="44" dataCellStyle="Normal 2"/>
    <tableColumn id="3" xr3:uid="{00000000-0010-0000-0100-000003000000}" name="FormID" dataDxfId="43" dataCellStyle="Normal 2"/>
    <tableColumn id="13" xr3:uid="{DE6965D5-D22C-4726-A7E8-E254774344C6}" name="SubFormID" dataDxfId="42" dataCellStyle="Normal 2"/>
    <tableColumn id="4" xr3:uid="{00000000-0010-0000-0100-000004000000}" name="Section" dataDxfId="41" dataCellStyle="Normal 2"/>
    <tableColumn id="5" xr3:uid="{00000000-0010-0000-0100-000005000000}" name="Item" dataDxfId="40" dataCellStyle="Normal 2"/>
    <tableColumn id="6" xr3:uid="{00000000-0010-0000-0100-000006000000}" name="FieldType" dataDxfId="39" dataCellStyle="Normal 2"/>
    <tableColumn id="7" xr3:uid="{00000000-0010-0000-0100-000007000000}" name="FldNameEN" dataDxfId="38" dataCellStyle="Normal 2"/>
    <tableColumn id="8" xr3:uid="{00000000-0010-0000-0100-000008000000}" name="FldNameFR" dataDxfId="37" dataCellStyle="Normal 2"/>
    <tableColumn id="9" xr3:uid="{00000000-0010-0000-0100-000009000000}" name="FldNameES" dataDxfId="36" dataCellStyle="Normal 2"/>
    <tableColumn id="10" xr3:uid="{00000000-0010-0000-0100-00000A000000}" name="FldInstructEN" dataDxfId="35" dataCellStyle="Normal 2"/>
    <tableColumn id="11" xr3:uid="{00000000-0010-0000-0100-00000B000000}" name="FldInstructFR" dataDxfId="34" dataCellStyle="Normal 2"/>
    <tableColumn id="12" xr3:uid="{00000000-0010-0000-0100-00000C000000}" name="FldInstructES" dataDxfId="33" dataCellStyle="Normal 2"/>
  </tableColumns>
  <tableStyleInfo name="TableStyleMedium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pageSetUpPr autoPageBreaks="0"/>
  </sheetPr>
  <dimension ref="A1:U50"/>
  <sheetViews>
    <sheetView tabSelected="1" showOutlineSymbols="0" zoomScale="115" zoomScaleNormal="115" zoomScaleSheetLayoutView="100" workbookViewId="0">
      <selection activeCell="A27" sqref="A27"/>
    </sheetView>
  </sheetViews>
  <sheetFormatPr defaultColWidth="10.5" defaultRowHeight="11.55" x14ac:dyDescent="0.2"/>
  <cols>
    <col min="1" max="1" width="10.25" style="3" customWidth="1"/>
    <col min="2" max="2" width="16.5" style="3" bestFit="1" customWidth="1"/>
    <col min="3" max="3" width="9" style="4" customWidth="1"/>
    <col min="4" max="5" width="9" style="3" customWidth="1"/>
    <col min="6" max="6" width="10.5" style="3" customWidth="1"/>
    <col min="7" max="7" width="9.5" style="3" customWidth="1"/>
    <col min="8" max="8" width="12.75" style="3" customWidth="1"/>
    <col min="9" max="9" width="11.125" style="3" bestFit="1" customWidth="1"/>
    <col min="10" max="11" width="7.875" style="3" bestFit="1" customWidth="1"/>
    <col min="12" max="12" width="13.5" style="3" bestFit="1" customWidth="1"/>
    <col min="13" max="13" width="9.25" style="3" bestFit="1" customWidth="1"/>
    <col min="14" max="14" width="12.5" style="3" bestFit="1" customWidth="1"/>
    <col min="15" max="15" width="11" style="3" customWidth="1"/>
    <col min="16" max="16" width="9.5" style="3" customWidth="1"/>
    <col min="17" max="17" width="7.5" style="3" bestFit="1" customWidth="1"/>
    <col min="18" max="18" width="8.25" style="3" bestFit="1" customWidth="1"/>
    <col min="19" max="19" width="7.25" style="3" bestFit="1" customWidth="1"/>
    <col min="20" max="20" width="6.5" style="3" bestFit="1" customWidth="1"/>
    <col min="21" max="21" width="6.25" style="3" bestFit="1" customWidth="1"/>
    <col min="22" max="16384" width="10.5" style="3"/>
  </cols>
  <sheetData>
    <row r="1" spans="1:19" s="1" customFormat="1" ht="20.399999999999999" x14ac:dyDescent="0.2">
      <c r="A1" s="242" t="str">
        <f>VLOOKUP("T00",tblTrans3Langs[],LangFieldID,FALSE)</f>
        <v>ST05-T2CS</v>
      </c>
      <c r="B1" s="243"/>
      <c r="C1" s="246" t="str">
        <f>VLOOKUP("T00",tblTrans3Langs[],LangNameID,FALSE)</f>
        <v>TASK 2 - CATCH AT SIZE ESTIMATIONS (major tunas)</v>
      </c>
      <c r="D1" s="246"/>
      <c r="E1" s="246"/>
      <c r="F1" s="246"/>
      <c r="G1" s="246"/>
      <c r="H1" s="246"/>
      <c r="I1" s="246"/>
      <c r="J1" s="246"/>
      <c r="K1" s="246"/>
      <c r="L1" s="246"/>
      <c r="M1" s="246"/>
      <c r="N1" s="246"/>
      <c r="O1" s="246"/>
      <c r="P1" s="246"/>
      <c r="Q1" s="55" t="str">
        <f>VLOOKUP("tVersion",tblTrans3Langs[],LangFieldID,FALSE)</f>
        <v>Version</v>
      </c>
      <c r="R1" s="56" t="str">
        <f>VLOOKUP("tLang",tblTrans3Langs[],LangFieldID,FALSE)</f>
        <v>Language</v>
      </c>
    </row>
    <row r="2" spans="1:19" s="1" customFormat="1" x14ac:dyDescent="0.2">
      <c r="A2" s="244"/>
      <c r="B2" s="245"/>
      <c r="C2" s="247" t="str">
        <f>VLOOKUP("T01",tblTrans3Langs[],LangFieldID,FALSE)&amp;": "&amp; VLOOKUP("T01",tblTrans3Langs[],LangNameID,FALSE)</f>
        <v>ICCAT: INTERNATIONAL COMMISSION FOR THE CONSERVATION OF ATLANTIC TUNAS</v>
      </c>
      <c r="D2" s="247"/>
      <c r="E2" s="247"/>
      <c r="F2" s="247"/>
      <c r="G2" s="247"/>
      <c r="H2" s="247"/>
      <c r="I2" s="247"/>
      <c r="J2" s="247"/>
      <c r="K2" s="247"/>
      <c r="L2" s="247"/>
      <c r="M2" s="247"/>
      <c r="N2" s="247"/>
      <c r="O2" s="247"/>
      <c r="P2" s="247"/>
      <c r="Q2" s="172" t="s">
        <v>1406</v>
      </c>
      <c r="R2" s="17" t="s">
        <v>1048</v>
      </c>
    </row>
    <row r="3" spans="1:19" s="1" customFormat="1" x14ac:dyDescent="0.2">
      <c r="A3" s="2"/>
      <c r="B3" s="2"/>
      <c r="C3" s="2"/>
      <c r="D3" s="2"/>
      <c r="E3" s="2"/>
      <c r="F3" s="2"/>
      <c r="G3" s="2"/>
      <c r="H3" s="2"/>
      <c r="I3" s="2"/>
      <c r="J3" s="2"/>
      <c r="K3" s="2"/>
      <c r="L3" s="2"/>
      <c r="M3" s="2"/>
      <c r="N3" s="2"/>
      <c r="O3" s="2"/>
      <c r="P3" s="2"/>
      <c r="Q3" s="2"/>
      <c r="R3" s="2"/>
      <c r="S3" s="2"/>
    </row>
    <row r="4" spans="1:19" s="67" customFormat="1" ht="11.25" customHeight="1" x14ac:dyDescent="0.2">
      <c r="A4" s="232" t="str">
        <f>VLOOKUP("H10",tblTrans3Langs[],LangFieldID,FALSE)</f>
        <v>Statistical correspondent</v>
      </c>
      <c r="B4" s="233"/>
      <c r="C4" s="233"/>
      <c r="D4" s="233"/>
      <c r="E4" s="233"/>
      <c r="F4" s="233"/>
      <c r="G4" s="233"/>
      <c r="H4" s="233"/>
      <c r="I4" s="233"/>
      <c r="J4" s="78" t="str">
        <f>IF(AND(C5&gt;0,C6&gt;0,G6&gt;0,C7&gt;0,C8&gt;0,C9&gt;0,G9&gt;0),"ok","inc")</f>
        <v>inc</v>
      </c>
      <c r="K4" s="248" t="str">
        <f>VLOOKUP("H20",tblTrans3Langs[],LangFieldID,FALSE)</f>
        <v>Secretariat use only</v>
      </c>
      <c r="L4" s="249"/>
      <c r="M4" s="249"/>
      <c r="N4" s="249"/>
      <c r="O4" s="134"/>
      <c r="P4" s="250" t="str">
        <f>VLOOKUP("H21",tblTrans3Langs[],LangFieldID,FALSE)</f>
        <v>Filtering criteria</v>
      </c>
      <c r="Q4" s="250"/>
      <c r="R4" s="251"/>
    </row>
    <row r="5" spans="1:19" s="67" customFormat="1" ht="12.4" customHeight="1" x14ac:dyDescent="0.2">
      <c r="A5" s="79" t="str">
        <f>VLOOKUP("H11",tblTrans3Langs[],LangFieldID,FALSE)</f>
        <v>Identification</v>
      </c>
      <c r="B5" s="133" t="str">
        <f>VLOOKUP("hName",tblTrans3Langs[],LangFieldID,FALSE)</f>
        <v>Name</v>
      </c>
      <c r="C5" s="208"/>
      <c r="D5" s="208"/>
      <c r="E5" s="208"/>
      <c r="F5" s="208"/>
      <c r="G5" s="208"/>
      <c r="H5" s="208"/>
      <c r="I5" s="208"/>
      <c r="J5" s="80"/>
      <c r="K5" s="213" t="str">
        <f>VLOOKUP("hDaterep",tblTrans3Langs[],LangFieldID,FALSE)</f>
        <v>Date reported</v>
      </c>
      <c r="L5" s="214"/>
      <c r="M5" s="221"/>
      <c r="N5" s="221"/>
      <c r="O5" s="81"/>
      <c r="P5" s="82"/>
      <c r="Q5" s="100" t="str">
        <f>VLOOKUP("hFilter1",tblTrans3Langs[],LangFieldID,FALSE)</f>
        <v>Filter 1</v>
      </c>
      <c r="R5" s="101" t="str">
        <f>VLOOKUP("hFilter2",tblTrans3Langs[],LangFieldID,FALSE)</f>
        <v>Filter 2</v>
      </c>
    </row>
    <row r="6" spans="1:19" s="67" customFormat="1" ht="12.4" customHeight="1" x14ac:dyDescent="0.2">
      <c r="A6" s="129"/>
      <c r="B6" s="133" t="str">
        <f>VLOOKUP("hEmail",tblTrans3Langs[],LangFieldID,FALSE)</f>
        <v>E-mail</v>
      </c>
      <c r="C6" s="210"/>
      <c r="D6" s="210"/>
      <c r="E6" s="210"/>
      <c r="F6" s="133" t="str">
        <f>VLOOKUP("hPhone",tblTrans3Langs[],LangFieldID,FALSE)</f>
        <v>Phone</v>
      </c>
      <c r="G6" s="217"/>
      <c r="H6" s="217"/>
      <c r="I6" s="217"/>
      <c r="J6" s="80"/>
      <c r="K6" s="213" t="str">
        <f>VLOOKUP("hRef",tblTrans3Langs[],LangFieldID,FALSE)</f>
        <v>Reference Nº</v>
      </c>
      <c r="L6" s="214"/>
      <c r="M6" s="222"/>
      <c r="N6" s="222"/>
      <c r="O6" s="81"/>
      <c r="P6" s="83" t="s">
        <v>435</v>
      </c>
      <c r="Q6" s="84">
        <v>0</v>
      </c>
      <c r="R6" s="84">
        <v>0</v>
      </c>
    </row>
    <row r="7" spans="1:19" s="67" customFormat="1" ht="10.9" x14ac:dyDescent="0.2">
      <c r="A7" s="79" t="str">
        <f>VLOOKUP("H12",tblTrans3Langs[],LangFieldID,FALSE)</f>
        <v>Affiliation</v>
      </c>
      <c r="B7" s="133" t="str">
        <f>VLOOKUP("hInstit",tblTrans3Langs[],LangFieldID,FALSE)</f>
        <v>Institution</v>
      </c>
      <c r="C7" s="209"/>
      <c r="D7" s="209"/>
      <c r="E7" s="209"/>
      <c r="F7" s="209"/>
      <c r="G7" s="91"/>
      <c r="H7" s="85"/>
      <c r="I7" s="80"/>
      <c r="J7" s="80"/>
      <c r="K7" s="129"/>
      <c r="L7" s="133" t="s">
        <v>1222</v>
      </c>
      <c r="M7" s="118"/>
      <c r="N7" s="91"/>
      <c r="O7" s="81"/>
      <c r="P7" s="83" t="s">
        <v>436</v>
      </c>
      <c r="Q7" s="84">
        <v>0</v>
      </c>
      <c r="R7" s="84">
        <v>0</v>
      </c>
    </row>
    <row r="8" spans="1:19" s="67" customFormat="1" ht="12.75" customHeight="1" x14ac:dyDescent="0.2">
      <c r="A8" s="129"/>
      <c r="B8" s="133" t="str">
        <f>VLOOKUP("hDepart",tblTrans3Langs[],LangFieldID,FALSE)</f>
        <v>Department</v>
      </c>
      <c r="C8" s="208"/>
      <c r="D8" s="208"/>
      <c r="E8" s="208"/>
      <c r="F8" s="208"/>
      <c r="G8" s="91"/>
      <c r="H8" s="91"/>
      <c r="I8" s="91"/>
      <c r="J8" s="80"/>
      <c r="K8" s="215" t="str">
        <f>VLOOKUP("hFname",tblTrans3Langs[],LangFieldID,FALSE)</f>
        <v>File name (proposed)</v>
      </c>
      <c r="L8" s="216"/>
      <c r="M8" s="216"/>
      <c r="N8" s="216"/>
      <c r="O8" s="91"/>
      <c r="P8" s="83" t="s">
        <v>437</v>
      </c>
      <c r="Q8" s="84">
        <v>0</v>
      </c>
      <c r="R8" s="84">
        <v>0</v>
      </c>
    </row>
    <row r="9" spans="1:19" s="67" customFormat="1" ht="10.9" x14ac:dyDescent="0.2">
      <c r="A9" s="129"/>
      <c r="B9" s="133" t="str">
        <f>VLOOKUP("hAddress",tblTrans3Langs[],LangFieldID,FALSE)</f>
        <v>Address</v>
      </c>
      <c r="C9" s="208"/>
      <c r="D9" s="208"/>
      <c r="E9" s="208"/>
      <c r="F9" s="86" t="str">
        <f>VLOOKUP("hCountry",tblTrans3Langs[],LangFieldID,FALSE)</f>
        <v>Country</v>
      </c>
      <c r="G9" s="220"/>
      <c r="H9" s="220"/>
      <c r="I9" s="220"/>
      <c r="J9" s="91"/>
      <c r="K9" s="218" t="str">
        <f>IF(AND(J4="ok",J11="ok"),"ST05_"&amp;E12&amp;"-"&amp;C14&amp;C13&amp;"-"&amp;RIGHT(E13,2)&amp;LEFT(C17,1)&amp;"-"&amp;LEFT(C19,2)&amp;"#"&amp;M6&amp;".xlsx","")</f>
        <v/>
      </c>
      <c r="L9" s="219"/>
      <c r="M9" s="219"/>
      <c r="N9" s="219"/>
      <c r="O9" s="91"/>
      <c r="P9" s="83" t="s">
        <v>438</v>
      </c>
      <c r="Q9" s="98"/>
      <c r="R9" s="98"/>
    </row>
    <row r="10" spans="1:19" s="67" customFormat="1" ht="10.9" x14ac:dyDescent="0.2">
      <c r="A10" s="87"/>
      <c r="B10" s="88"/>
      <c r="C10" s="88"/>
      <c r="D10" s="88"/>
      <c r="E10" s="88"/>
      <c r="F10" s="88"/>
      <c r="G10" s="88"/>
      <c r="H10" s="88"/>
      <c r="I10" s="88"/>
      <c r="J10" s="88"/>
      <c r="K10" s="87"/>
      <c r="L10" s="88"/>
      <c r="M10" s="88"/>
      <c r="N10" s="88"/>
      <c r="O10" s="88"/>
      <c r="P10" s="89"/>
      <c r="Q10" s="99"/>
      <c r="R10" s="99"/>
    </row>
    <row r="11" spans="1:19" s="67" customFormat="1" ht="11.25" customHeight="1" x14ac:dyDescent="0.2">
      <c r="A11" s="232" t="str">
        <f>VLOOKUP("H30",tblTrans3Langs[],LangFieldID,FALSE)</f>
        <v>Data set characteristics</v>
      </c>
      <c r="B11" s="233"/>
      <c r="C11" s="233"/>
      <c r="D11" s="233"/>
      <c r="E11" s="233"/>
      <c r="F11" s="233"/>
      <c r="G11" s="233"/>
      <c r="H11" s="233"/>
      <c r="I11" s="233"/>
      <c r="J11" s="90" t="str">
        <f>IF(E12="","inc",IF(AND(C13&gt;0,C14&gt;0,C17&gt;0,C18&gt;0,E13&gt;0,H16&gt;0,H17&gt;0,H18&gt;0),"ok","inc"))</f>
        <v>inc</v>
      </c>
      <c r="K11" s="91" t="str">
        <f>VLOOKUP("hNotes",tblTrans3Langs[],LangFieldID,FALSE)</f>
        <v>Notes</v>
      </c>
      <c r="L11" s="91"/>
      <c r="M11" s="91"/>
      <c r="N11" s="91"/>
      <c r="O11" s="91"/>
      <c r="P11" s="91"/>
      <c r="Q11" s="91"/>
      <c r="R11" s="92"/>
    </row>
    <row r="12" spans="1:19" s="67" customFormat="1" ht="12.75" customHeight="1" x14ac:dyDescent="0.2">
      <c r="A12" s="237" t="str">
        <f>VLOOKUP("hFlagrep",tblTrans3Langs[],LangFieldID,FALSE)</f>
        <v>Reporting Flag</v>
      </c>
      <c r="B12" s="235"/>
      <c r="C12" s="208"/>
      <c r="D12" s="208"/>
      <c r="E12" s="93" t="str">
        <f>IFERROR(IF(C12&gt;0,VLOOKUP(C12,Codes!A3:B175,2,FALSE),""),"")</f>
        <v/>
      </c>
      <c r="F12" s="225" t="str">
        <f>VLOOKUP("H31",tblTrans3Langs[],LangFieldID,FALSE)</f>
        <v>Catch attributes</v>
      </c>
      <c r="G12" s="225"/>
      <c r="H12" s="225"/>
      <c r="I12" s="225"/>
      <c r="J12" s="131"/>
      <c r="K12" s="208"/>
      <c r="L12" s="208"/>
      <c r="M12" s="208"/>
      <c r="N12" s="208"/>
      <c r="O12" s="208"/>
      <c r="P12" s="208"/>
      <c r="Q12" s="208"/>
      <c r="R12" s="241"/>
    </row>
    <row r="13" spans="1:19" s="67" customFormat="1" ht="10.9" x14ac:dyDescent="0.2">
      <c r="A13" s="238" t="str">
        <f>VLOOKUP("hYearFrom",tblTrans3Langs[#Data],LangFieldID,FALSE)</f>
        <v>Years covered (from)</v>
      </c>
      <c r="B13" s="234"/>
      <c r="C13" s="97"/>
      <c r="D13" s="94" t="str">
        <f>VLOOKUP("hYearTo",tblTrans3Langs[#Data],LangFieldID,FALSE)</f>
        <v>(to)</v>
      </c>
      <c r="E13" s="97"/>
      <c r="F13" s="226" t="str">
        <f>VLOOKUP("hProdtypeLW",tblTrans3Langs[],LangFieldID,FALSE)</f>
        <v>Product type</v>
      </c>
      <c r="G13" s="226"/>
      <c r="H13" s="211" t="s">
        <v>1049</v>
      </c>
      <c r="I13" s="212"/>
      <c r="J13" s="95"/>
      <c r="K13" s="208"/>
      <c r="L13" s="208"/>
      <c r="M13" s="208"/>
      <c r="N13" s="208"/>
      <c r="O13" s="208"/>
      <c r="P13" s="208"/>
      <c r="Q13" s="208"/>
      <c r="R13" s="241"/>
    </row>
    <row r="14" spans="1:19" s="67" customFormat="1" ht="10.9" x14ac:dyDescent="0.2">
      <c r="A14" s="237" t="str">
        <f>VLOOKUP("hSpeciesCd",tblTrans3Langs[],LangFieldID,FALSE)</f>
        <v>Species (cod)</v>
      </c>
      <c r="B14" s="235"/>
      <c r="C14" s="97"/>
      <c r="D14" s="229" t="str">
        <f>IF(C14&gt;0,VLOOKUP(C14,Codes!$H$2:$J$8,2,FALSE),"")</f>
        <v/>
      </c>
      <c r="E14" s="229"/>
      <c r="F14" s="132"/>
      <c r="G14" s="91"/>
      <c r="H14" s="227" t="str">
        <f>VLOOKUP("hProdtypeLW",tblTrans3Langs[],LangNameID,FALSE)</f>
        <v>Live (round) weight by default (kg)</v>
      </c>
      <c r="I14" s="228"/>
      <c r="J14" s="117"/>
      <c r="K14" s="208"/>
      <c r="L14" s="208"/>
      <c r="M14" s="208"/>
      <c r="N14" s="208"/>
      <c r="O14" s="208"/>
      <c r="P14" s="208"/>
      <c r="Q14" s="208"/>
      <c r="R14" s="241"/>
    </row>
    <row r="15" spans="1:19" s="67" customFormat="1" ht="12.4" customHeight="1" x14ac:dyDescent="0.2">
      <c r="A15" s="129"/>
      <c r="B15" s="91"/>
      <c r="C15" s="91"/>
      <c r="D15" s="91"/>
      <c r="E15" s="91"/>
      <c r="F15" s="225" t="str">
        <f>VLOOKUP("H32",tblTrans3Langs[],LangFieldID,FALSE)</f>
        <v>Size frequencies attributes</v>
      </c>
      <c r="G15" s="225"/>
      <c r="H15" s="225"/>
      <c r="I15" s="225"/>
      <c r="J15" s="131"/>
      <c r="K15" s="208"/>
      <c r="L15" s="208"/>
      <c r="M15" s="208"/>
      <c r="N15" s="208"/>
      <c r="O15" s="208"/>
      <c r="P15" s="208"/>
      <c r="Q15" s="208"/>
      <c r="R15" s="241"/>
    </row>
    <row r="16" spans="1:19" s="67" customFormat="1" ht="12.75" customHeight="1" x14ac:dyDescent="0.2">
      <c r="A16" s="91"/>
      <c r="B16" s="91"/>
      <c r="C16" s="91"/>
      <c r="D16" s="91"/>
      <c r="E16" s="91"/>
      <c r="F16" s="235" t="str">
        <f>VLOOKUP("hSzclassfreq",tblTrans3Langs[],LangFieldID,FALSE)</f>
        <v>Size class type</v>
      </c>
      <c r="G16" s="235"/>
      <c r="H16" s="97"/>
      <c r="I16" s="216" t="str">
        <f>IF(H16&gt;0,VLOOKUP(H16,Codes!$O$70:$P$71,2,FALSE),"")</f>
        <v/>
      </c>
      <c r="J16" s="216"/>
      <c r="K16" s="208"/>
      <c r="L16" s="208"/>
      <c r="M16" s="208"/>
      <c r="N16" s="208"/>
      <c r="O16" s="208"/>
      <c r="P16" s="208"/>
      <c r="Q16" s="208"/>
      <c r="R16" s="241"/>
    </row>
    <row r="17" spans="1:21" s="67" customFormat="1" ht="10.9" x14ac:dyDescent="0.2">
      <c r="A17" s="236" t="str">
        <f>VLOOKUP("hVersion",tblTrans3Langs[],LangFieldID,FALSE)</f>
        <v>Version reported</v>
      </c>
      <c r="B17" s="224"/>
      <c r="C17" s="208"/>
      <c r="D17" s="208"/>
      <c r="E17" s="91"/>
      <c r="F17" s="234" t="str">
        <f>VLOOKUP("hSzinterval",tblTrans3Langs[],LangFieldID,FALSE)</f>
        <v>Interval</v>
      </c>
      <c r="G17" s="234"/>
      <c r="H17" s="97"/>
      <c r="I17" s="216" t="str">
        <f>IF(H16="WGT","kg",IF(H16&gt;0,"cm",""))</f>
        <v/>
      </c>
      <c r="J17" s="216"/>
      <c r="K17" s="208"/>
      <c r="L17" s="208"/>
      <c r="M17" s="208"/>
      <c r="N17" s="208"/>
      <c r="O17" s="208"/>
      <c r="P17" s="208"/>
      <c r="Q17" s="208"/>
      <c r="R17" s="241"/>
    </row>
    <row r="18" spans="1:21" s="67" customFormat="1" ht="10.9" x14ac:dyDescent="0.2">
      <c r="A18" s="239" t="str">
        <f>VLOOKUP("hContent",tblTrans3Langs[],LangFieldID,FALSE)</f>
        <v>Content (data)</v>
      </c>
      <c r="B18" s="239"/>
      <c r="C18" s="240"/>
      <c r="D18" s="240"/>
      <c r="E18" s="91"/>
      <c r="F18" s="224" t="str">
        <f>VLOOKUP("hSzclasslim",tblTrans3Langs[],LangFieldID,FALSE)</f>
        <v>Class limit</v>
      </c>
      <c r="G18" s="224"/>
      <c r="H18" s="97"/>
      <c r="I18" s="216" t="str">
        <f>IF(H18&gt;0,VLOOKUP(H18,Codes!O76:P78,2,FALSE),"")</f>
        <v/>
      </c>
      <c r="J18" s="216"/>
      <c r="K18" s="208"/>
      <c r="L18" s="208"/>
      <c r="M18" s="208"/>
      <c r="N18" s="208"/>
      <c r="O18" s="208"/>
      <c r="P18" s="208"/>
      <c r="Q18" s="208"/>
      <c r="R18" s="241"/>
    </row>
    <row r="19" spans="1:21" s="67" customFormat="1" ht="10.9" x14ac:dyDescent="0.2">
      <c r="A19" s="87"/>
      <c r="B19" s="88"/>
      <c r="C19" s="230" t="str">
        <f>IF(C18&gt;0,VLOOKUP(C18,Codes!$O$98:$Q$101,3,FALSE) &amp; ": "&amp; VLOOKUP(C18,Codes!$O$98:$Q$101,2,FALSE),"")</f>
        <v/>
      </c>
      <c r="D19" s="230"/>
      <c r="E19" s="230"/>
      <c r="F19" s="230"/>
      <c r="G19" s="230"/>
      <c r="H19" s="88"/>
      <c r="I19" s="88"/>
      <c r="J19" s="88"/>
      <c r="K19" s="88"/>
      <c r="L19" s="88"/>
      <c r="M19" s="88"/>
      <c r="N19" s="88"/>
      <c r="O19" s="88"/>
      <c r="P19" s="88"/>
      <c r="Q19" s="88"/>
      <c r="R19" s="96"/>
    </row>
    <row r="20" spans="1:21" s="67" customFormat="1" ht="10.9" x14ac:dyDescent="0.2"/>
    <row r="21" spans="1:21" s="67" customFormat="1" ht="10.9" x14ac:dyDescent="0.2">
      <c r="A21" s="252" t="str">
        <f>VLOOKUP("D10",tblTrans3Langs[],LangFieldID,FALSE)</f>
        <v>CAS attributes</v>
      </c>
      <c r="B21" s="252"/>
      <c r="C21" s="252"/>
      <c r="D21" s="252"/>
      <c r="E21" s="252"/>
      <c r="F21" s="252"/>
      <c r="G21" s="252"/>
      <c r="H21" s="252"/>
      <c r="I21" s="252"/>
      <c r="J21" s="252"/>
      <c r="K21" s="252"/>
      <c r="L21" s="252"/>
      <c r="M21" s="252"/>
      <c r="N21" s="252"/>
      <c r="O21" s="252"/>
      <c r="P21" s="252"/>
      <c r="Q21" s="252" t="str">
        <f>VLOOKUP("D20",tblTrans3Langs[],LangFieldID,FALSE)</f>
        <v>CAS details</v>
      </c>
      <c r="R21" s="252"/>
      <c r="S21" s="252"/>
      <c r="T21" s="252"/>
      <c r="U21" s="252"/>
    </row>
    <row r="22" spans="1:21" s="68" customFormat="1" ht="12.4" customHeight="1" x14ac:dyDescent="0.2">
      <c r="A22" s="223" t="str">
        <f>IF(LEN(E12)&gt;0, VLOOKUP("D11",tblTrans3Langs[],LangFieldID,FALSE)&amp; " (" &amp; E12 &amp;")", VLOOKUP("D11",tblTrans3Langs[],LangFieldID,FALSE))</f>
        <v>Fleet ID</v>
      </c>
      <c r="B22" s="223"/>
      <c r="C22" s="223" t="str">
        <f>VLOOKUP("D12",tblTrans3Langs[],LangFieldID,FALSE)</f>
        <v>Catch strata associated to samples</v>
      </c>
      <c r="D22" s="223"/>
      <c r="E22" s="223"/>
      <c r="F22" s="223"/>
      <c r="G22" s="223"/>
      <c r="H22" s="223"/>
      <c r="I22" s="223"/>
      <c r="J22" s="223"/>
      <c r="K22" s="223"/>
      <c r="L22" s="223"/>
      <c r="M22" s="223"/>
      <c r="N22" s="223" t="str">
        <f>VLOOKUP("D13",tblTrans3Langs[],LangFieldID,FALSE)</f>
        <v>Sampling details</v>
      </c>
      <c r="O22" s="223"/>
      <c r="P22" s="223"/>
      <c r="Q22" s="252"/>
      <c r="R22" s="252"/>
      <c r="S22" s="252"/>
      <c r="T22" s="252"/>
      <c r="U22" s="252"/>
    </row>
    <row r="23" spans="1:21" s="68" customFormat="1" ht="12.75" customHeight="1" x14ac:dyDescent="0.2">
      <c r="A23" s="253" t="str">
        <f>VLOOKUP(A$26,tblTrans3Langs[],LangFieldID,FALSE)</f>
        <v>Flag of Vessel (cod)</v>
      </c>
      <c r="B23" s="253" t="str">
        <f>VLOOKUP(B$26,tblTrans3Langs[],LangFieldID,FALSE)</f>
        <v xml:space="preserve">Fleet suffix </v>
      </c>
      <c r="C23" s="231" t="str">
        <f>VLOOKUP(C$26,tblTrans3Langs[],LangFieldID,FALSE)</f>
        <v>Year (calendar)</v>
      </c>
      <c r="D23" s="231" t="str">
        <f>VLOOKUP(D$26,tblTrans3Langs[],LangFieldID,FALSE)</f>
        <v>Month</v>
      </c>
      <c r="E23" s="253" t="str">
        <f>VLOOKUP(E$26,tblTrans3Langs[],LangFieldID,FALSE)</f>
        <v>Gear (cod)</v>
      </c>
      <c r="F23" s="253" t="str">
        <f>VLOOKUP(F$26,tblTrans3Langs[],LangFieldID,FALSE)</f>
        <v>Catch type (cod)</v>
      </c>
      <c r="G23" s="253" t="str">
        <f>VLOOKUP(G$26,tblTrans3Langs[],LangFieldID,FALSE)</f>
        <v>School t. (cod)</v>
      </c>
      <c r="H23" s="253" t="str">
        <f>VLOOKUP(H$26,tblTrans3Langs[],LangFieldID,FALSE)</f>
        <v>Sampling area (cod)</v>
      </c>
      <c r="I23" s="223" t="str">
        <f>VLOOKUP("D12a",tblTrans3Langs[],LangFieldID,FALSE)</f>
        <v>Geo Strata (5x5 squares)</v>
      </c>
      <c r="J23" s="223"/>
      <c r="K23" s="223"/>
      <c r="L23" s="223" t="str">
        <f>VLOOKUP("D12b",tblTrans3Langs[],LangFieldID,FALSE)</f>
        <v>Total catch</v>
      </c>
      <c r="M23" s="223"/>
      <c r="N23" s="223" t="str">
        <f>VLOOKUP(N$26,tblTrans3Langs[],LangFieldID,FALSE)</f>
        <v>Number of samples</v>
      </c>
      <c r="O23" s="223" t="str">
        <f>VLOOKUP(O$26,tblTrans3Langs[],LangFieldID,FALSE)</f>
        <v>Weight (kg)</v>
      </c>
      <c r="P23" s="223" t="str">
        <f>VLOOKUP(P$26,tblTrans3Langs[],LangFieldID,FALSE)</f>
        <v>Number of fish</v>
      </c>
      <c r="Q23" s="223" t="str">
        <f>VLOOKUP(Q$26,tblTrans3Langs[],LangFieldID,FALSE)</f>
        <v>Size class</v>
      </c>
      <c r="R23" s="223" t="str">
        <f>VLOOKUP("D21",tblTrans3Langs[],LangFieldID,FALSE)</f>
        <v>Number &amp; Gender</v>
      </c>
      <c r="S23" s="223"/>
      <c r="T23" s="223"/>
      <c r="U23" s="223"/>
    </row>
    <row r="24" spans="1:21" s="68" customFormat="1" ht="10.9" x14ac:dyDescent="0.2">
      <c r="A24" s="253"/>
      <c r="B24" s="253"/>
      <c r="C24" s="231"/>
      <c r="D24" s="231"/>
      <c r="E24" s="253"/>
      <c r="F24" s="253"/>
      <c r="G24" s="253"/>
      <c r="H24" s="253"/>
      <c r="I24" s="135" t="str">
        <f>VLOOKUP(I$26,tblTrans3Langs[],LangFieldID,FALSE)</f>
        <v>Quad (cod)</v>
      </c>
      <c r="J24" s="130" t="str">
        <f>VLOOKUP(J$26,tblTrans3Langs[],LangFieldID,FALSE)</f>
        <v>Lat</v>
      </c>
      <c r="K24" s="130" t="str">
        <f>VLOOKUP(K$26,tblTrans3Langs[],LangFieldID,FALSE)</f>
        <v>Lon</v>
      </c>
      <c r="L24" s="130" t="str">
        <f>VLOOKUP(L$26,tblTrans3Langs[],LangFieldID,FALSE)</f>
        <v>Weight (kg)</v>
      </c>
      <c r="M24" s="130" t="str">
        <f>VLOOKUP(M$26,tblTrans3Langs[],LangFieldID,FALSE)</f>
        <v>Number</v>
      </c>
      <c r="N24" s="223"/>
      <c r="O24" s="223"/>
      <c r="P24" s="223"/>
      <c r="Q24" s="223"/>
      <c r="R24" s="130" t="str">
        <f>VLOOKUP(R$26,tblTrans3Langs[],LangFieldID,FALSE)</f>
        <v xml:space="preserve">U </v>
      </c>
      <c r="S24" s="130" t="str">
        <f>VLOOKUP(S$26,tblTrans3Langs[],LangFieldID,FALSE)</f>
        <v>M</v>
      </c>
      <c r="T24" s="130" t="str">
        <f>VLOOKUP(T$26,tblTrans3Langs[],LangFieldID,FALSE)</f>
        <v>F</v>
      </c>
      <c r="U24" s="130" t="str">
        <f>VLOOKUP(U$26,tblTrans3Langs[],LangFieldID,FALSE)</f>
        <v>I</v>
      </c>
    </row>
    <row r="25" spans="1:21" s="70" customFormat="1" ht="10.9" x14ac:dyDescent="0.2">
      <c r="A25" s="69" t="str" cm="1">
        <f t="array" ref="A25">IF(SUMPRODUCT(MAX(($A27:S50&lt;&gt;"")*ROW($A27:S50)))=0,"",IF(SUMPRODUCT(MAX(($A27:A50&lt;&gt;"")*ROW($A27:A50))+1)&lt;&gt;SUMPRODUCT(MAX(($C27:$S50&lt;&gt;"")*ROW($C27:$S50))+1),"error",IF(COUNTA($A27:A50)&lt;&gt;IFERROR(MATCH(REPT("z",255),$A27:A50),0),"error","ok")))</f>
        <v/>
      </c>
      <c r="B25" s="69"/>
      <c r="C25" s="181" t="str" cm="1">
        <f t="array" aca="1" ref="C25" ca="1">IF(SUMPRODUCT(MAX(($A27:$U50&lt;&gt;"")*ROW($A27:$U50)))=0,"",IF(COUNTA(C27:C50)&lt;&gt;IFERROR(MATCH(REPT("z",255),$A27:$A50),0),"error",IF(COUNTA(C27:C50)&lt;IFERROR(MATCH(RANDBETWEEN($C13,$E13),C27:C50,1),"error"),"ok",IF(SUMPRODUCT(MAX(($A27:$A50&lt;&gt;"")*ROW($A27:$A50))+1)&lt;&gt;SUMPRODUCT(MAX(($C27:$U50&lt;&gt;"")*ROW($C27:$U50))+1),"error","ok"))))</f>
        <v/>
      </c>
      <c r="D25" s="181" t="str" cm="1">
        <f t="array" aca="1" ref="D25" ca="1">IF(SUMPRODUCT(MAX(($A27:$U50&lt;&gt;"")*ROW($A27:$U50)))=0,"",IF(COUNTA(D27:D50)&lt;&gt;IFERROR(MATCH(REPT("z",255),$A27:$A50),0),"error",IF(COUNTA(D27:D50)&lt;IFERROR(MATCH(RANDBETWEEN($C13,$E13),D27:D50,1),"error"),"ok",IF(SUMPRODUCT(MAX(($A27:$A50&lt;&gt;"")*ROW($A27:$A50))+1)&lt;&gt;SUMPRODUCT(MAX(($C27:$U50&lt;&gt;"")*ROW($C27:$U50))+1),"error","ok"))))</f>
        <v/>
      </c>
      <c r="E25" s="181" t="str" cm="1">
        <f t="array" ref="E25">IF(SUMPRODUCT(MAX(($A27:$U50&lt;&gt;"")*ROW($A27:$U50)))=0,"",IF(COUNTA(E27:E50)&lt;&gt;IFERROR(MATCH(REPT("z",255),$A27:$A50),0),"error",IF(COUNTA(E27:E50)&lt;IFERROR(MATCH(REPT("z",255),E27:E50,1),"error"),"ok",IF(SUMPRODUCT(MAX(($A27:$A50&lt;&gt;"")*ROW($A27:$A50))+1)&lt;&gt;SUMPRODUCT(MAX(($C27:$U50&lt;&gt;"")*ROW($C27:$U50))+1),"error","ok"))))</f>
        <v/>
      </c>
      <c r="F25" s="181" t="str" cm="1">
        <f t="array" ref="F25">IF(SUMPRODUCT(MAX(($A27:$U50&lt;&gt;"")*ROW($A27:$U50)))=0,"",IF(COUNTA(F27:F50)&lt;&gt;IFERROR(MATCH(REPT("z",255),$A27:$A50),0),"error",IF(COUNTA(F27:F50)&lt;IFERROR(MATCH(REPT("z",255),F27:F50,1),"error"),"ok",IF(SUMPRODUCT(MAX(($A27:$A50&lt;&gt;"")*ROW($A27:$A50))+1)&lt;&gt;SUMPRODUCT(MAX(($C27:$U50&lt;&gt;"")*ROW($C27:$U50))+1),"error","ok"))))</f>
        <v/>
      </c>
      <c r="G25" s="181" t="str" cm="1">
        <f t="array" ref="G25">IF(SUMPRODUCT(MAX(($A27:$U50&lt;&gt;"")*ROW($A27:$U50)))=0,"",IF(COUNTA(G27:G50)&lt;&gt;IFERROR(MATCH(REPT("z",255),$A27:$A50),0),"error",IF(COUNTA(G27:G50)&lt;IFERROR(MATCH(REPT("z",255),G27:G50,1),"error"),"ok",IF(SUMPRODUCT(MAX(($A27:$A50&lt;&gt;"")*ROW($A27:$A50))+1)&lt;&gt;SUMPRODUCT(MAX(($C27:$U50&lt;&gt;"")*ROW($C27:$U50))+1),"error","ok"))))</f>
        <v/>
      </c>
      <c r="H25" s="181" t="str" cm="1">
        <f t="array" ref="H25">IF(SUMPRODUCT(MAX(($A27:$U50&lt;&gt;"")*ROW($A27:$U50)))=0,"",IF(COUNTA(H27:H50)&lt;&gt;IFERROR(MATCH(REPT("z",255),$A27:$A50),0),"error",IF(COUNTA(H27:H50)&lt;IFERROR(MATCH(REPT("z",255),H27:H50,1),"error"),"ok",IF(SUMPRODUCT(MAX(($A27:$A50&lt;&gt;"")*ROW($A27:$A50))+1)&lt;&gt;SUMPRODUCT(MAX(($C27:$U50&lt;&gt;"")*ROW($C27:$U50))+1),"error","ok"))))</f>
        <v/>
      </c>
      <c r="I25" s="181" t="str" cm="1">
        <f t="array" ref="I25">IF(SUMPRODUCT(MAX(($A27:$U50&lt;&gt;"")*ROW($A27:$U50)))=0,"",IF(COUNTA(I27:I50)&lt;&gt;IFERROR(MATCH(REPT("z",255),$A27:$A50),0),"error",IF(COUNTA(I27:I50)&lt;IFERROR(MATCH(REPT("z",255),I27:I50,1),"error"),"ok",IF(SUMPRODUCT(MAX(($A27:$A50&lt;&gt;"")*ROW($A27:$A50))+1)&lt;&gt;SUMPRODUCT(MAX(($C27:$U50&lt;&gt;"")*ROW($C27:$U50))+1),"error","ok"))))</f>
        <v/>
      </c>
      <c r="J25" s="181" t="str" cm="1">
        <f t="array" ref="J25">IF(SUMPRODUCT(MAX(($A27:$U50&lt;&gt;"")*ROW($A27:$U50)))=0,"",IF(COUNTA(J27:J50)&lt;&gt;IFERROR(MATCH(REPT("z",255),$A27:$A50),0),"error",IF(COUNTA(J27:J50)&lt;IFERROR(MATCH(REPT("z",255),J27:J50,1),"error"),"ok",IF(SUMPRODUCT(MAX(($A27:$A50&lt;&gt;"")*ROW($A27:$A50))+1)&lt;&gt;SUMPRODUCT(MAX(($C27:$U50&lt;&gt;"")*ROW($C27:$U50))+1),"error","ok"))))</f>
        <v/>
      </c>
      <c r="K25" s="181" t="str" cm="1">
        <f t="array" aca="1" ref="K25" ca="1">IF(SUMPRODUCT(MAX(($A27:$U50&lt;&gt;"")*ROW($A27:$U50)))=0,"",IF(COUNTA(K27:K50)&lt;&gt;IFERROR(MATCH(REPT("z",255),$A27:$A50),0),"error",IF(COUNTA(K27:K50)&lt;IFERROR(MATCH(RANDBETWEEN($C13,$E13),K27:K50,1),"error"),"ok",IF(SUMPRODUCT(MAX(($A27:$A50&lt;&gt;"")*ROW($A27:$A50))+1)&lt;&gt;SUMPRODUCT(MAX(($C27:$U50&lt;&gt;"")*ROW($C27:$U50))+1),"error","ok"))))</f>
        <v/>
      </c>
      <c r="L25" s="181"/>
      <c r="M25" s="69"/>
      <c r="N25" s="181" t="str" cm="1">
        <f t="array" ref="N25">IF(SUMPRODUCT(MAX(($A27:$U50&lt;&gt;"")*ROW($A27:$U50)))=0,"",IF(COUNTA(N27:N50)&lt;&gt;IFERROR(MATCH(REPT("z",255),$A27:$A50),0),"error",IF(COUNTA(N27:N50)&lt;IFERROR(MATCH(REPT("z",255),N27:N50,1),"error"),"ok",IF(SUMPRODUCT(MAX(($A27:$A50&lt;&gt;"")*ROW($A27:$A50))+1)&lt;&gt;SUMPRODUCT(MAX(($C27:$U50&lt;&gt;"")*ROW($C27:$U50))+1),"error","ok"))))</f>
        <v/>
      </c>
      <c r="O25" s="181" t="str" cm="1">
        <f t="array" ref="O25">IF(SUMPRODUCT(MAX(($A27:$U50&lt;&gt;"")*ROW($A27:$U50)))=0,"",IF(COUNTA(O27:O50)&lt;&gt;IFERROR(MATCH(REPT("z",255),$A27:$A50),0),"error",IF(COUNTA(O27:O50)&lt;IFERROR(MATCH(REPT("z",255),O27:O50,1),"error"),"ok",IF(SUMPRODUCT(MAX(($A27:$A50&lt;&gt;"")*ROW($A27:$A50))+1)&lt;&gt;SUMPRODUCT(MAX(($C27:$U50&lt;&gt;"")*ROW($C27:$U50))+1),"error","ok"))))</f>
        <v/>
      </c>
      <c r="P25" s="181" t="str" cm="1">
        <f t="array" ref="P25">IF(SUMPRODUCT(MAX(($A27:$U50&lt;&gt;"")*ROW($A27:$U50)))=0,"",IF(COUNTA(P27:P50)&lt;&gt;IFERROR(MATCH(REPT("z",255),$A27:$A50),0),"error",IF(COUNTA(P27:P50)&lt;IFERROR(MATCH(REPT("z",255),P27:P50,1),"error"),"ok",IF(SUMPRODUCT(MAX(($A27:$A50&lt;&gt;"")*ROW($A27:$A50))+1)&lt;&gt;SUMPRODUCT(MAX(($C27:$U50&lt;&gt;"")*ROW($C27:$U50))+1),"error","ok"))))</f>
        <v/>
      </c>
      <c r="Q25" s="181" t="str" cm="1">
        <f t="array" aca="1" ref="Q25" ca="1">IF(SUMPRODUCT(MAX(($A27:$U50&lt;&gt;"")*ROW($A27:$U50)))=0,"",IF(COUNTA(Q27:Q50)&lt;&gt;IFERROR(MATCH(REPT("z",255),$A27:$A50),0),"error",IF(COUNTA(Q27:Q50)&lt;IFERROR(MATCH(RANDBETWEEN($C13,$E13),Q27:Q50,1),"error"),"ok",IF(SUMPRODUCT(MAX(($A27:$A50&lt;&gt;"")*ROW($A27:$A50))+1)&lt;&gt;SUMPRODUCT(MAX(($C27:$U50&lt;&gt;"")*ROW($C27:$U50))+1),"error","ok"))))</f>
        <v/>
      </c>
      <c r="R25" s="198"/>
      <c r="S25" s="69"/>
      <c r="T25" s="69"/>
      <c r="U25" s="69"/>
    </row>
    <row r="26" spans="1:21" s="67" customFormat="1" ht="10.9" x14ac:dyDescent="0.2">
      <c r="A26" s="62" t="s">
        <v>770</v>
      </c>
      <c r="B26" s="62" t="s">
        <v>1386</v>
      </c>
      <c r="C26" s="62" t="s">
        <v>1026</v>
      </c>
      <c r="D26" s="62" t="s">
        <v>1027</v>
      </c>
      <c r="E26" s="62" t="s">
        <v>774</v>
      </c>
      <c r="F26" s="62" t="s">
        <v>778</v>
      </c>
      <c r="G26" s="62" t="s">
        <v>824</v>
      </c>
      <c r="H26" s="62" t="s">
        <v>785</v>
      </c>
      <c r="I26" s="62" t="s">
        <v>789</v>
      </c>
      <c r="J26" s="62" t="s">
        <v>16</v>
      </c>
      <c r="K26" s="62" t="s">
        <v>325</v>
      </c>
      <c r="L26" s="62" t="s">
        <v>464</v>
      </c>
      <c r="M26" s="62" t="s">
        <v>465</v>
      </c>
      <c r="N26" s="62" t="s">
        <v>461</v>
      </c>
      <c r="O26" s="62" t="s">
        <v>462</v>
      </c>
      <c r="P26" s="62" t="s">
        <v>463</v>
      </c>
      <c r="Q26" s="62" t="s">
        <v>460</v>
      </c>
      <c r="R26" s="63" t="s">
        <v>795</v>
      </c>
      <c r="S26" s="63" t="s">
        <v>799</v>
      </c>
      <c r="T26" s="63" t="s">
        <v>803</v>
      </c>
      <c r="U26" s="63" t="s">
        <v>807</v>
      </c>
    </row>
    <row r="27" spans="1:21" s="97" customFormat="1" ht="10.9" x14ac:dyDescent="0.2">
      <c r="A27" s="119"/>
      <c r="B27" s="119"/>
      <c r="C27" s="120"/>
      <c r="D27" s="119"/>
      <c r="E27" s="119"/>
      <c r="F27" s="119"/>
      <c r="G27" s="119"/>
      <c r="H27" s="119"/>
      <c r="I27" s="120"/>
      <c r="J27" s="119"/>
      <c r="K27" s="119"/>
      <c r="L27" s="119"/>
      <c r="M27" s="119"/>
      <c r="N27" s="120"/>
      <c r="O27" s="119"/>
      <c r="P27" s="119"/>
      <c r="Q27" s="120"/>
      <c r="R27" s="121"/>
      <c r="S27" s="121"/>
      <c r="T27" s="121"/>
      <c r="U27" s="121"/>
    </row>
    <row r="28" spans="1:21" s="97" customFormat="1" ht="10.9" x14ac:dyDescent="0.2">
      <c r="A28" s="119"/>
      <c r="B28" s="119"/>
      <c r="C28" s="120"/>
      <c r="D28" s="119"/>
      <c r="E28" s="119"/>
      <c r="F28" s="119"/>
      <c r="G28" s="119"/>
      <c r="H28" s="119"/>
      <c r="I28" s="120"/>
      <c r="J28" s="119"/>
      <c r="K28" s="119"/>
      <c r="L28" s="119"/>
      <c r="M28" s="119"/>
      <c r="N28" s="120"/>
      <c r="O28" s="119"/>
      <c r="P28" s="119"/>
      <c r="Q28" s="120"/>
      <c r="R28" s="121"/>
      <c r="S28" s="121"/>
      <c r="T28" s="121"/>
      <c r="U28" s="121"/>
    </row>
    <row r="29" spans="1:21" s="97" customFormat="1" ht="10.9" x14ac:dyDescent="0.2">
      <c r="A29" s="119"/>
      <c r="B29" s="119"/>
      <c r="C29" s="120"/>
      <c r="D29" s="119"/>
      <c r="E29" s="119"/>
      <c r="F29" s="119"/>
      <c r="G29" s="119"/>
      <c r="H29" s="119"/>
      <c r="I29" s="120"/>
      <c r="J29" s="119"/>
      <c r="K29" s="119"/>
      <c r="L29" s="119"/>
      <c r="M29" s="119"/>
      <c r="N29" s="120"/>
      <c r="O29" s="119"/>
      <c r="P29" s="119"/>
      <c r="Q29" s="120"/>
      <c r="R29" s="121"/>
      <c r="S29" s="121"/>
      <c r="T29" s="121"/>
      <c r="U29" s="121"/>
    </row>
    <row r="30" spans="1:21" s="97" customFormat="1" ht="10.9" x14ac:dyDescent="0.2">
      <c r="A30" s="119"/>
      <c r="B30" s="119"/>
      <c r="C30" s="120"/>
      <c r="D30" s="119"/>
      <c r="E30" s="119"/>
      <c r="F30" s="119"/>
      <c r="G30" s="119"/>
      <c r="H30" s="119"/>
      <c r="I30" s="120"/>
      <c r="J30" s="119"/>
      <c r="K30" s="119"/>
      <c r="L30" s="119"/>
      <c r="M30" s="119"/>
      <c r="N30" s="120"/>
      <c r="O30" s="119"/>
      <c r="P30" s="119"/>
      <c r="Q30" s="120"/>
      <c r="R30" s="121"/>
      <c r="S30" s="121"/>
      <c r="T30" s="121"/>
      <c r="U30" s="121"/>
    </row>
    <row r="31" spans="1:21" s="97" customFormat="1" ht="10.9" x14ac:dyDescent="0.2">
      <c r="A31" s="119"/>
      <c r="B31" s="119"/>
      <c r="C31" s="120"/>
      <c r="D31" s="119"/>
      <c r="E31" s="119"/>
      <c r="F31" s="119"/>
      <c r="G31" s="119"/>
      <c r="H31" s="119"/>
      <c r="I31" s="120"/>
      <c r="J31" s="119"/>
      <c r="K31" s="119"/>
      <c r="L31" s="119"/>
      <c r="M31" s="119"/>
      <c r="N31" s="120"/>
      <c r="O31" s="119"/>
      <c r="P31" s="119"/>
      <c r="Q31" s="120"/>
      <c r="R31" s="121"/>
      <c r="S31" s="121"/>
      <c r="T31" s="121"/>
      <c r="U31" s="121"/>
    </row>
    <row r="32" spans="1:21" s="97" customFormat="1" ht="10.9" x14ac:dyDescent="0.2">
      <c r="A32" s="119"/>
      <c r="B32" s="119"/>
      <c r="C32" s="120"/>
      <c r="D32" s="119"/>
      <c r="E32" s="119"/>
      <c r="F32" s="119"/>
      <c r="G32" s="119"/>
      <c r="H32" s="119"/>
      <c r="I32" s="120"/>
      <c r="J32" s="119"/>
      <c r="K32" s="119"/>
      <c r="L32" s="119"/>
      <c r="M32" s="119"/>
      <c r="N32" s="120"/>
      <c r="O32" s="119"/>
      <c r="P32" s="119"/>
      <c r="Q32" s="120"/>
      <c r="R32" s="121"/>
      <c r="S32" s="121"/>
      <c r="T32" s="121"/>
      <c r="U32" s="121"/>
    </row>
    <row r="33" spans="1:21" s="97" customFormat="1" ht="10.9" x14ac:dyDescent="0.2">
      <c r="A33" s="119"/>
      <c r="B33" s="119"/>
      <c r="C33" s="120"/>
      <c r="D33" s="119"/>
      <c r="E33" s="119"/>
      <c r="F33" s="119"/>
      <c r="G33" s="119"/>
      <c r="H33" s="119"/>
      <c r="I33" s="120"/>
      <c r="J33" s="119"/>
      <c r="K33" s="119"/>
      <c r="L33" s="119"/>
      <c r="M33" s="119"/>
      <c r="N33" s="120"/>
      <c r="O33" s="119"/>
      <c r="P33" s="119"/>
      <c r="Q33" s="120"/>
      <c r="R33" s="121"/>
      <c r="S33" s="121"/>
      <c r="T33" s="121"/>
      <c r="U33" s="121"/>
    </row>
    <row r="34" spans="1:21" s="97" customFormat="1" ht="10.9" x14ac:dyDescent="0.2">
      <c r="A34" s="119"/>
      <c r="B34" s="119"/>
      <c r="C34" s="120"/>
      <c r="D34" s="119"/>
      <c r="E34" s="119"/>
      <c r="F34" s="119"/>
      <c r="G34" s="119"/>
      <c r="H34" s="119"/>
      <c r="I34" s="120"/>
      <c r="J34" s="119"/>
      <c r="K34" s="119"/>
      <c r="L34" s="119"/>
      <c r="M34" s="119"/>
      <c r="N34" s="120"/>
      <c r="O34" s="119"/>
      <c r="P34" s="119"/>
      <c r="Q34" s="120"/>
      <c r="R34" s="121"/>
      <c r="S34" s="121"/>
      <c r="T34" s="121"/>
      <c r="U34" s="121"/>
    </row>
    <row r="35" spans="1:21" s="97" customFormat="1" ht="10.9" x14ac:dyDescent="0.2">
      <c r="A35" s="119"/>
      <c r="B35" s="119"/>
      <c r="C35" s="120"/>
      <c r="D35" s="119"/>
      <c r="E35" s="119"/>
      <c r="F35" s="119"/>
      <c r="G35" s="119"/>
      <c r="H35" s="119"/>
      <c r="I35" s="120"/>
      <c r="J35" s="119"/>
      <c r="K35" s="119"/>
      <c r="L35" s="119"/>
      <c r="M35" s="119"/>
      <c r="N35" s="120"/>
      <c r="O35" s="119"/>
      <c r="P35" s="119"/>
      <c r="Q35" s="120"/>
      <c r="R35" s="121"/>
      <c r="S35" s="121"/>
      <c r="T35" s="121"/>
      <c r="U35" s="121"/>
    </row>
    <row r="36" spans="1:21" s="97" customFormat="1" ht="10.9" x14ac:dyDescent="0.2">
      <c r="A36" s="119"/>
      <c r="B36" s="119"/>
      <c r="C36" s="120"/>
      <c r="D36" s="119"/>
      <c r="E36" s="119"/>
      <c r="F36" s="119"/>
      <c r="G36" s="119"/>
      <c r="H36" s="119"/>
      <c r="I36" s="120"/>
      <c r="J36" s="119"/>
      <c r="K36" s="119"/>
      <c r="L36" s="119"/>
      <c r="M36" s="119"/>
      <c r="N36" s="120"/>
      <c r="O36" s="119"/>
      <c r="P36" s="119"/>
      <c r="Q36" s="120"/>
      <c r="R36" s="121"/>
      <c r="S36" s="121"/>
      <c r="T36" s="121"/>
      <c r="U36" s="121"/>
    </row>
    <row r="37" spans="1:21" s="97" customFormat="1" ht="10.9" x14ac:dyDescent="0.2">
      <c r="A37" s="119"/>
      <c r="B37" s="119"/>
      <c r="C37" s="120"/>
      <c r="D37" s="119"/>
      <c r="E37" s="119"/>
      <c r="F37" s="119"/>
      <c r="G37" s="119"/>
      <c r="H37" s="119"/>
      <c r="I37" s="120"/>
      <c r="J37" s="119"/>
      <c r="K37" s="119"/>
      <c r="L37" s="119"/>
      <c r="M37" s="119"/>
      <c r="N37" s="120"/>
      <c r="O37" s="119"/>
      <c r="P37" s="119"/>
      <c r="Q37" s="120"/>
      <c r="R37" s="121"/>
      <c r="S37" s="121"/>
      <c r="T37" s="121"/>
      <c r="U37" s="121"/>
    </row>
    <row r="38" spans="1:21" s="97" customFormat="1" ht="10.9" x14ac:dyDescent="0.2">
      <c r="A38" s="119"/>
      <c r="B38" s="119"/>
      <c r="C38" s="120"/>
      <c r="D38" s="119"/>
      <c r="E38" s="119"/>
      <c r="F38" s="119"/>
      <c r="G38" s="119"/>
      <c r="H38" s="119"/>
      <c r="I38" s="120"/>
      <c r="J38" s="119"/>
      <c r="K38" s="119"/>
      <c r="L38" s="119"/>
      <c r="M38" s="119"/>
      <c r="N38" s="120"/>
      <c r="O38" s="119"/>
      <c r="P38" s="119"/>
      <c r="Q38" s="120"/>
      <c r="R38" s="121"/>
      <c r="S38" s="121"/>
      <c r="T38" s="121"/>
      <c r="U38" s="121"/>
    </row>
    <row r="39" spans="1:21" s="97" customFormat="1" ht="10.9" x14ac:dyDescent="0.2">
      <c r="A39" s="119"/>
      <c r="B39" s="119"/>
      <c r="C39" s="120"/>
      <c r="D39" s="119"/>
      <c r="E39" s="119"/>
      <c r="F39" s="119"/>
      <c r="G39" s="119"/>
      <c r="H39" s="119"/>
      <c r="I39" s="120"/>
      <c r="J39" s="119"/>
      <c r="K39" s="119"/>
      <c r="L39" s="119"/>
      <c r="M39" s="119"/>
      <c r="N39" s="120"/>
      <c r="O39" s="119"/>
      <c r="P39" s="119"/>
      <c r="Q39" s="120"/>
      <c r="R39" s="121"/>
      <c r="S39" s="121"/>
      <c r="T39" s="121"/>
      <c r="U39" s="121"/>
    </row>
    <row r="40" spans="1:21" s="97" customFormat="1" ht="10.9" x14ac:dyDescent="0.2">
      <c r="A40" s="119"/>
      <c r="B40" s="119"/>
      <c r="C40" s="120"/>
      <c r="D40" s="119"/>
      <c r="E40" s="119"/>
      <c r="F40" s="119"/>
      <c r="G40" s="119"/>
      <c r="H40" s="119"/>
      <c r="I40" s="120"/>
      <c r="J40" s="119"/>
      <c r="K40" s="119"/>
      <c r="L40" s="119"/>
      <c r="M40" s="119"/>
      <c r="N40" s="120"/>
      <c r="O40" s="119"/>
      <c r="P40" s="119"/>
      <c r="Q40" s="120"/>
      <c r="R40" s="121"/>
      <c r="S40" s="121"/>
      <c r="T40" s="121"/>
      <c r="U40" s="121"/>
    </row>
    <row r="41" spans="1:21" s="97" customFormat="1" ht="10.9" x14ac:dyDescent="0.2">
      <c r="A41" s="119"/>
      <c r="B41" s="119"/>
      <c r="C41" s="120"/>
      <c r="D41" s="119"/>
      <c r="E41" s="119"/>
      <c r="F41" s="119"/>
      <c r="G41" s="119"/>
      <c r="H41" s="119"/>
      <c r="I41" s="120"/>
      <c r="J41" s="119"/>
      <c r="K41" s="119"/>
      <c r="L41" s="119"/>
      <c r="M41" s="119"/>
      <c r="N41" s="120"/>
      <c r="O41" s="119"/>
      <c r="P41" s="119"/>
      <c r="Q41" s="120"/>
      <c r="R41" s="121"/>
      <c r="S41" s="121"/>
      <c r="T41" s="121"/>
      <c r="U41" s="121"/>
    </row>
    <row r="42" spans="1:21" s="97" customFormat="1" ht="10.9" x14ac:dyDescent="0.2">
      <c r="A42" s="119"/>
      <c r="B42" s="119"/>
      <c r="C42" s="120"/>
      <c r="D42" s="119"/>
      <c r="E42" s="119"/>
      <c r="F42" s="119"/>
      <c r="G42" s="119"/>
      <c r="H42" s="119"/>
      <c r="I42" s="120"/>
      <c r="J42" s="119"/>
      <c r="K42" s="119"/>
      <c r="L42" s="119"/>
      <c r="M42" s="119"/>
      <c r="N42" s="120"/>
      <c r="O42" s="119"/>
      <c r="P42" s="119"/>
      <c r="Q42" s="120"/>
      <c r="R42" s="121"/>
      <c r="S42" s="121"/>
      <c r="T42" s="121"/>
      <c r="U42" s="121"/>
    </row>
    <row r="43" spans="1:21" s="97" customFormat="1" ht="10.9" x14ac:dyDescent="0.2">
      <c r="A43" s="119"/>
      <c r="B43" s="119"/>
      <c r="C43" s="120"/>
      <c r="D43" s="119"/>
      <c r="E43" s="119"/>
      <c r="F43" s="119"/>
      <c r="G43" s="119"/>
      <c r="H43" s="119"/>
      <c r="I43" s="120"/>
      <c r="J43" s="119"/>
      <c r="K43" s="119"/>
      <c r="L43" s="119"/>
      <c r="M43" s="119"/>
      <c r="N43" s="120"/>
      <c r="O43" s="119"/>
      <c r="P43" s="119"/>
      <c r="Q43" s="120"/>
      <c r="R43" s="121"/>
      <c r="S43" s="121"/>
      <c r="T43" s="121"/>
      <c r="U43" s="121"/>
    </row>
    <row r="44" spans="1:21" s="97" customFormat="1" ht="10.9" x14ac:dyDescent="0.2">
      <c r="A44" s="122"/>
      <c r="B44" s="122"/>
      <c r="C44" s="123"/>
      <c r="D44" s="124"/>
      <c r="E44" s="122"/>
      <c r="F44" s="122"/>
      <c r="G44" s="122"/>
      <c r="H44" s="122"/>
      <c r="I44" s="125"/>
      <c r="J44" s="126"/>
      <c r="K44" s="126"/>
      <c r="L44" s="124"/>
      <c r="M44" s="124"/>
      <c r="N44" s="123"/>
      <c r="O44" s="124"/>
      <c r="P44" s="124"/>
      <c r="Q44" s="123"/>
      <c r="R44" s="124"/>
      <c r="S44" s="124"/>
      <c r="T44" s="124"/>
      <c r="U44" s="124"/>
    </row>
    <row r="45" spans="1:21" s="97" customFormat="1" ht="10.9" x14ac:dyDescent="0.2">
      <c r="A45" s="122"/>
      <c r="B45" s="122"/>
      <c r="C45" s="123"/>
      <c r="D45" s="124"/>
      <c r="E45" s="122"/>
      <c r="F45" s="122"/>
      <c r="G45" s="122"/>
      <c r="H45" s="122"/>
      <c r="I45" s="125"/>
      <c r="J45" s="126"/>
      <c r="K45" s="126"/>
      <c r="L45" s="124"/>
      <c r="M45" s="124"/>
      <c r="N45" s="123"/>
      <c r="O45" s="124"/>
      <c r="P45" s="124"/>
      <c r="Q45" s="123"/>
      <c r="R45" s="124"/>
      <c r="S45" s="124"/>
      <c r="T45" s="124"/>
      <c r="U45" s="124"/>
    </row>
    <row r="46" spans="1:21" s="97" customFormat="1" ht="10.9" x14ac:dyDescent="0.2">
      <c r="A46" s="122"/>
      <c r="B46" s="122"/>
      <c r="C46" s="123"/>
      <c r="D46" s="124"/>
      <c r="E46" s="122"/>
      <c r="F46" s="122"/>
      <c r="G46" s="122"/>
      <c r="H46" s="122"/>
      <c r="I46" s="125"/>
      <c r="J46" s="126"/>
      <c r="K46" s="126"/>
      <c r="L46" s="124"/>
      <c r="M46" s="124"/>
      <c r="N46" s="123"/>
      <c r="O46" s="124"/>
      <c r="P46" s="124"/>
      <c r="Q46" s="123"/>
      <c r="R46" s="124"/>
      <c r="S46" s="124"/>
      <c r="T46" s="124"/>
      <c r="U46" s="124"/>
    </row>
    <row r="47" spans="1:21" s="97" customFormat="1" ht="10.9" x14ac:dyDescent="0.2">
      <c r="A47" s="122"/>
      <c r="B47" s="122"/>
      <c r="C47" s="123"/>
      <c r="D47" s="124"/>
      <c r="E47" s="122"/>
      <c r="F47" s="122"/>
      <c r="G47" s="122"/>
      <c r="H47" s="122"/>
      <c r="I47" s="125"/>
      <c r="J47" s="126"/>
      <c r="K47" s="126"/>
      <c r="L47" s="124"/>
      <c r="M47" s="124"/>
      <c r="N47" s="123"/>
      <c r="O47" s="124"/>
      <c r="P47" s="124"/>
      <c r="Q47" s="123"/>
      <c r="R47" s="124"/>
      <c r="S47" s="124"/>
      <c r="T47" s="124"/>
      <c r="U47" s="124"/>
    </row>
    <row r="48" spans="1:21" s="97" customFormat="1" ht="10.9" x14ac:dyDescent="0.2">
      <c r="A48" s="122"/>
      <c r="B48" s="122"/>
      <c r="C48" s="123"/>
      <c r="D48" s="124"/>
      <c r="E48" s="122"/>
      <c r="F48" s="122"/>
      <c r="G48" s="122"/>
      <c r="H48" s="122"/>
      <c r="I48" s="125"/>
      <c r="J48" s="126"/>
      <c r="K48" s="126"/>
      <c r="L48" s="124"/>
      <c r="M48" s="124"/>
      <c r="N48" s="123"/>
      <c r="O48" s="124"/>
      <c r="P48" s="124"/>
      <c r="Q48" s="123"/>
      <c r="R48" s="124"/>
      <c r="S48" s="124"/>
      <c r="T48" s="124"/>
      <c r="U48" s="124"/>
    </row>
    <row r="49" spans="1:21" s="97" customFormat="1" ht="10.9" x14ac:dyDescent="0.2">
      <c r="A49" s="122"/>
      <c r="B49" s="122"/>
      <c r="C49" s="123"/>
      <c r="D49" s="124"/>
      <c r="E49" s="122"/>
      <c r="F49" s="122"/>
      <c r="G49" s="122"/>
      <c r="H49" s="122"/>
      <c r="I49" s="125"/>
      <c r="J49" s="126"/>
      <c r="K49" s="126"/>
      <c r="L49" s="124"/>
      <c r="M49" s="124"/>
      <c r="N49" s="123"/>
      <c r="O49" s="124"/>
      <c r="P49" s="124"/>
      <c r="Q49" s="123"/>
      <c r="R49" s="124"/>
      <c r="S49" s="124"/>
      <c r="T49" s="124"/>
      <c r="U49" s="124"/>
    </row>
    <row r="50" spans="1:21" x14ac:dyDescent="0.2">
      <c r="A50" s="184"/>
      <c r="B50" s="184"/>
      <c r="C50" s="185"/>
      <c r="D50" s="186"/>
      <c r="E50" s="184"/>
      <c r="F50" s="184"/>
      <c r="G50" s="184"/>
      <c r="H50" s="184"/>
      <c r="I50" s="187"/>
      <c r="J50" s="188"/>
      <c r="K50" s="188"/>
      <c r="L50" s="186"/>
      <c r="M50" s="186"/>
      <c r="N50" s="185"/>
      <c r="O50" s="186"/>
      <c r="P50" s="186"/>
      <c r="Q50" s="185"/>
      <c r="R50" s="186"/>
      <c r="S50" s="186"/>
      <c r="T50" s="186"/>
      <c r="U50" s="124"/>
    </row>
  </sheetData>
  <sheetProtection algorithmName="SHA-512" hashValue="zEWV1Oh0E2UV/HxUEQpXSA+biZ2ny+oBp6FNWAhsPKaDC3RGNgZTN9ybspCBY7xGJgPEXiQje9MP45jPg/7vHw==" saltValue="PC0lCb4sdtIVGvfuJDMFIQ==" spinCount="100000" sheet="1" scenarios="1" formatCells="0" formatRows="0" insertRows="0" deleteRows="0" autoFilter="0"/>
  <mergeCells count="62">
    <mergeCell ref="Q21:U22"/>
    <mergeCell ref="G23:G24"/>
    <mergeCell ref="N23:N24"/>
    <mergeCell ref="A22:B22"/>
    <mergeCell ref="A23:A24"/>
    <mergeCell ref="B23:B24"/>
    <mergeCell ref="E23:E24"/>
    <mergeCell ref="D23:D24"/>
    <mergeCell ref="F23:F24"/>
    <mergeCell ref="Q23:Q24"/>
    <mergeCell ref="H23:H24"/>
    <mergeCell ref="O23:O24"/>
    <mergeCell ref="P23:P24"/>
    <mergeCell ref="R23:U23"/>
    <mergeCell ref="N22:P22"/>
    <mergeCell ref="A21:P21"/>
    <mergeCell ref="A1:B2"/>
    <mergeCell ref="C1:P1"/>
    <mergeCell ref="C2:P2"/>
    <mergeCell ref="K4:N4"/>
    <mergeCell ref="P4:R4"/>
    <mergeCell ref="A4:I4"/>
    <mergeCell ref="L23:M23"/>
    <mergeCell ref="I23:K23"/>
    <mergeCell ref="C23:C24"/>
    <mergeCell ref="A11:I11"/>
    <mergeCell ref="F17:G17"/>
    <mergeCell ref="F16:G16"/>
    <mergeCell ref="I16:J16"/>
    <mergeCell ref="I17:J17"/>
    <mergeCell ref="A17:B17"/>
    <mergeCell ref="C17:D17"/>
    <mergeCell ref="A14:B14"/>
    <mergeCell ref="A12:B12"/>
    <mergeCell ref="A13:B13"/>
    <mergeCell ref="A18:B18"/>
    <mergeCell ref="C18:D18"/>
    <mergeCell ref="K12:R18"/>
    <mergeCell ref="C22:M22"/>
    <mergeCell ref="F18:G18"/>
    <mergeCell ref="I18:J18"/>
    <mergeCell ref="F12:I12"/>
    <mergeCell ref="F13:G13"/>
    <mergeCell ref="H14:I14"/>
    <mergeCell ref="F15:I15"/>
    <mergeCell ref="C12:D12"/>
    <mergeCell ref="D14:E14"/>
    <mergeCell ref="C19:G19"/>
    <mergeCell ref="C8:F8"/>
    <mergeCell ref="C7:F7"/>
    <mergeCell ref="C6:E6"/>
    <mergeCell ref="H13:I13"/>
    <mergeCell ref="K5:L5"/>
    <mergeCell ref="K6:L6"/>
    <mergeCell ref="C5:I5"/>
    <mergeCell ref="K8:N8"/>
    <mergeCell ref="G6:I6"/>
    <mergeCell ref="C9:E9"/>
    <mergeCell ref="K9:N9"/>
    <mergeCell ref="G9:I9"/>
    <mergeCell ref="M5:N5"/>
    <mergeCell ref="M6:N6"/>
  </mergeCells>
  <phoneticPr fontId="0" type="noConversion"/>
  <conditionalFormatting sqref="A25">
    <cfRule type="containsText" dxfId="32" priority="14" operator="containsText" text="ok">
      <formula>NOT(ISERROR(SEARCH("ok",A25)))</formula>
    </cfRule>
    <cfRule type="containsText" dxfId="31" priority="15" operator="containsText" text="error">
      <formula>NOT(ISERROR(SEARCH("error",A25)))</formula>
    </cfRule>
    <cfRule type="expression" dxfId="30" priority="16">
      <formula>ISNA(A$25)</formula>
    </cfRule>
    <cfRule type="expression" dxfId="29" priority="17">
      <formula>ISERROR(A$25)</formula>
    </cfRule>
  </conditionalFormatting>
  <conditionalFormatting sqref="A27:A50">
    <cfRule type="expression" dxfId="28" priority="31">
      <formula>AND(LEN($A27)=0,COUNTA($C27:$U27)&gt;0)</formula>
    </cfRule>
  </conditionalFormatting>
  <conditionalFormatting sqref="C27:C50">
    <cfRule type="expression" dxfId="27" priority="30">
      <formula>OR(AND(LEN($A27)&gt;0,LEN($C27)=0))</formula>
    </cfRule>
  </conditionalFormatting>
  <conditionalFormatting sqref="C5:I5 C6:E6 G6:I6 C7:F8 C9:E9 G9:I9 C12:D12 E13 C13:C14 H16:H18 C17:D18">
    <cfRule type="containsBlanks" dxfId="26" priority="36">
      <formula>LEN(TRIM(C5))=0</formula>
    </cfRule>
  </conditionalFormatting>
  <conditionalFormatting sqref="C25:L25">
    <cfRule type="containsText" dxfId="25" priority="10" operator="containsText" text="error">
      <formula>NOT(ISERROR(SEARCH("error",C25)))</formula>
    </cfRule>
    <cfRule type="containsText" dxfId="24" priority="11" operator="containsText" text="ok">
      <formula>NOT(ISERROR(SEARCH("ok",C25)))</formula>
    </cfRule>
    <cfRule type="expression" dxfId="23" priority="12">
      <formula>ISNA(C$25)</formula>
    </cfRule>
    <cfRule type="expression" dxfId="22" priority="13">
      <formula>ISERROR(C$25)</formula>
    </cfRule>
  </conditionalFormatting>
  <conditionalFormatting sqref="D27:D50">
    <cfRule type="expression" dxfId="21" priority="18">
      <formula>OR(AND(LEN($A27)&gt;0,LEN($D27)=0))</formula>
    </cfRule>
  </conditionalFormatting>
  <conditionalFormatting sqref="E27:E50">
    <cfRule type="expression" dxfId="20" priority="19">
      <formula>OR(AND(LEN($A27)&gt;0,LEN($E27)=0))</formula>
    </cfRule>
  </conditionalFormatting>
  <conditionalFormatting sqref="F27:F50">
    <cfRule type="expression" dxfId="19" priority="20">
      <formula>OR(AND(LEN($A27)&gt;0,LEN($F27)=0))</formula>
    </cfRule>
  </conditionalFormatting>
  <conditionalFormatting sqref="G27:G50">
    <cfRule type="expression" dxfId="18" priority="21">
      <formula>OR(AND(LEN($A27)&gt;0,LEN($G27)=0))</formula>
    </cfRule>
  </conditionalFormatting>
  <conditionalFormatting sqref="H27:H50">
    <cfRule type="expression" dxfId="17" priority="23">
      <formula>OR(AND(LEN($A27)&gt;0,LEN($H27)=0))</formula>
    </cfRule>
  </conditionalFormatting>
  <conditionalFormatting sqref="I27:I50">
    <cfRule type="expression" dxfId="16" priority="22">
      <formula>OR(AND(LEN($A27)&gt;0,LEN($I27)=0))</formula>
    </cfRule>
  </conditionalFormatting>
  <conditionalFormatting sqref="J4 J11">
    <cfRule type="containsText" dxfId="15" priority="35" operator="containsText" text="inc">
      <formula>NOT(ISERROR(SEARCH("inc",J4)))</formula>
    </cfRule>
  </conditionalFormatting>
  <conditionalFormatting sqref="J4 K9:N9 J11 C12">
    <cfRule type="containsErrors" dxfId="14" priority="38">
      <formula>ISERROR(C4)</formula>
    </cfRule>
  </conditionalFormatting>
  <conditionalFormatting sqref="J27:J50">
    <cfRule type="expression" dxfId="13" priority="24">
      <formula>OR(AND(LEN($A27)&gt;0,LEN($J27)=0))</formula>
    </cfRule>
  </conditionalFormatting>
  <conditionalFormatting sqref="K27:K50">
    <cfRule type="expression" dxfId="12" priority="25">
      <formula>OR(AND(LEN($A27)&gt;0,LEN($K27)=0))</formula>
    </cfRule>
  </conditionalFormatting>
  <conditionalFormatting sqref="K9:N9">
    <cfRule type="expression" dxfId="11" priority="33">
      <formula>LEN($C$12)=0</formula>
    </cfRule>
    <cfRule type="expression" dxfId="10" priority="34">
      <formula>LEN($K$9)=0</formula>
    </cfRule>
  </conditionalFormatting>
  <conditionalFormatting sqref="N27:N50">
    <cfRule type="expression" dxfId="9" priority="26">
      <formula>OR(AND(LEN($A27)&gt;0,LEN($N27)=0))</formula>
    </cfRule>
  </conditionalFormatting>
  <conditionalFormatting sqref="N25:Q25">
    <cfRule type="containsText" dxfId="8" priority="3" operator="containsText" text="ok">
      <formula>NOT(ISERROR(SEARCH("ok",N25)))</formula>
    </cfRule>
    <cfRule type="containsText" dxfId="7" priority="2" operator="containsText" text="error">
      <formula>NOT(ISERROR(SEARCH("error",N25)))</formula>
    </cfRule>
    <cfRule type="expression" dxfId="6" priority="5">
      <formula>ISERROR(N$25)</formula>
    </cfRule>
    <cfRule type="expression" dxfId="5" priority="4">
      <formula>ISNA(N$25)</formula>
    </cfRule>
  </conditionalFormatting>
  <conditionalFormatting sqref="O27:O50">
    <cfRule type="expression" dxfId="4" priority="27">
      <formula>OR(AND(LEN($A27)&gt;0,LEN($O27)=0))</formula>
    </cfRule>
  </conditionalFormatting>
  <conditionalFormatting sqref="P27:P50">
    <cfRule type="expression" dxfId="3" priority="28">
      <formula>OR(AND(LEN($A27)&gt;0,LEN($P27)=0))</formula>
    </cfRule>
  </conditionalFormatting>
  <conditionalFormatting sqref="Q27:Q50">
    <cfRule type="expression" dxfId="2" priority="29">
      <formula>OR(AND(LEN($A27)&gt;0,LEN($Q27)=0))</formula>
    </cfRule>
  </conditionalFormatting>
  <conditionalFormatting sqref="Q6:R8">
    <cfRule type="cellIs" dxfId="1" priority="37" operator="equal">
      <formula>1</formula>
    </cfRule>
  </conditionalFormatting>
  <conditionalFormatting sqref="Q27:U50">
    <cfRule type="expression" dxfId="0" priority="1">
      <formula>AND(COUNTA($R27:$U27)=0,$Q27&gt;0)</formula>
    </cfRule>
  </conditionalFormatting>
  <dataValidations xWindow="732" yWindow="425" count="29">
    <dataValidation type="list" allowBlank="1" showErrorMessage="1" errorTitle="Error code" error="Select a valid Species code" promptTitle="Species codes" prompt="Select from the list" sqref="C14" xr:uid="{00000000-0002-0000-0000-000000000000}">
      <formula1>SpeciesCode</formula1>
    </dataValidation>
    <dataValidation type="list" allowBlank="1" showInputMessage="1" showErrorMessage="1" errorTitle="Error code" error="Select a valid Class limit code" promptTitle="Class limit codes" prompt="Select from the list" sqref="H18" xr:uid="{00000000-0002-0000-0000-000001000000}">
      <formula1>ClassLimitCode</formula1>
    </dataValidation>
    <dataValidation type="list" allowBlank="1" showErrorMessage="1" errorTitle="Error code" error="Invalid size frequency type code" promptTitle="Size Frequency type codes" prompt="Select from the list" sqref="H16" xr:uid="{00000000-0002-0000-0000-000002000000}">
      <formula1>SizeFreqTypeCode</formula1>
    </dataValidation>
    <dataValidation type="list" allowBlank="1" showInputMessage="1" showErrorMessage="1" errorTitle="Error" error="Invalid option" sqref="H17" xr:uid="{00000000-0002-0000-0000-000003000000}">
      <formula1>"1, 2, 5"</formula1>
    </dataValidation>
    <dataValidation type="list" allowBlank="1" showErrorMessage="1" errorTitle="Version reported" error="Select a valid option" sqref="C17:D17" xr:uid="{00000000-0002-0000-0000-000004000000}">
      <formula1>"Preliminary,Final"</formula1>
    </dataValidation>
    <dataValidation type="list" allowBlank="1" showInputMessage="1" showErrorMessage="1" sqref="R2" xr:uid="{00000000-0002-0000-0000-000005000000}">
      <formula1>"ENG,FRA,ESP"</formula1>
    </dataValidation>
    <dataValidation type="list" allowBlank="1" showInputMessage="1" showErrorMessage="1" errorTitle="Country code not defined" error="Select a valid Country code" promptTitle="Country codes" prompt="Select from the list" sqref="D10:E10" xr:uid="{00000000-0002-0000-0000-000006000000}">
      <formula1>FlagName</formula1>
    </dataValidation>
    <dataValidation type="list" allowBlank="1" showInputMessage="1" showErrorMessage="1" sqref="C18" xr:uid="{00000000-0002-0000-0000-000007000000}">
      <formula1>Content</formula1>
    </dataValidation>
    <dataValidation type="list" allowBlank="1" showErrorMessage="1" errorTitle="Reporting Flag name not defined" error="Select a valid Reporting Flag name" promptTitle="Reporting Flag names" prompt="Select from the list" sqref="C12:D12" xr:uid="{00000000-0002-0000-0000-000008000000}">
      <formula1>FlagName</formula1>
    </dataValidation>
    <dataValidation type="list" allowBlank="1" showErrorMessage="1" errorTitle="Country code not defined" error="Select a valid Country code" promptTitle="Country codes" prompt="Select from the list" sqref="G9:I9" xr:uid="{00000000-0002-0000-0000-000009000000}">
      <formula1>FlagName</formula1>
    </dataValidation>
    <dataValidation type="whole" allowBlank="1" showErrorMessage="1" errorTitle="Invalid year" error="Not between [from year] and Current Year" promptTitle="Year (4 digits)" prompt="between 1950 and current Year" sqref="E13" xr:uid="{00000000-0002-0000-0000-000016000000}">
      <formula1>C13</formula1>
      <formula2>YEAR(NOW())</formula2>
    </dataValidation>
    <dataValidation type="whole" operator="lessThan" allowBlank="1" showErrorMessage="1" errorTitle="Invalid year" error="Year outside range [1950, Current-1]" promptTitle="Year (4 digits)" prompt="between 1950 and current Year" sqref="C13" xr:uid="{00000000-0002-0000-0000-000017000000}">
      <formula1>YEAR(NOW())</formula1>
    </dataValidation>
    <dataValidation type="textLength" allowBlank="1" showInputMessage="1" showErrorMessage="1" sqref="M6:N6" xr:uid="{00000000-0002-0000-0000-00001A000000}">
      <formula1>9</formula1>
      <formula2>9</formula2>
    </dataValidation>
    <dataValidation type="list" allowBlank="1" showInputMessage="1" showErrorMessage="1" sqref="A27:A50" xr:uid="{00000000-0002-0000-0000-00000A000000}">
      <formula1>FlagA3ISO</formula1>
    </dataValidation>
    <dataValidation type="whole" allowBlank="1" showInputMessage="1" showErrorMessage="1" sqref="D27:D50" xr:uid="{00000000-0002-0000-0000-00000B000000}">
      <formula1>1</formula1>
      <formula2>12</formula2>
    </dataValidation>
    <dataValidation type="list" allowBlank="1" showInputMessage="1" showErrorMessage="1" sqref="E27:E50" xr:uid="{00000000-0002-0000-0000-00000C000000}">
      <formula1>GearCode</formula1>
    </dataValidation>
    <dataValidation type="list" allowBlank="1" showInputMessage="1" showErrorMessage="1" sqref="F27:F50" xr:uid="{00000000-0002-0000-0000-00000D000000}">
      <formula1>CatchTypeCode</formula1>
    </dataValidation>
    <dataValidation type="list" allowBlank="1" showInputMessage="1" showErrorMessage="1" sqref="G27:G50" xr:uid="{00000000-0002-0000-0000-00000E000000}">
      <formula1>SchoolTypeCode</formula1>
    </dataValidation>
    <dataValidation type="list" allowBlank="1" showInputMessage="1" showErrorMessage="1" sqref="I27:I50" xr:uid="{00000000-0002-0000-0000-00000F000000}">
      <formula1>QuadCode</formula1>
    </dataValidation>
    <dataValidation type="list" allowBlank="1" showInputMessage="1" showErrorMessage="1" sqref="H27:H50" xr:uid="{00000000-0002-0000-0000-000010000000}">
      <formula1>SampAreaCode</formula1>
    </dataValidation>
    <dataValidation type="whole" operator="greaterThanOrEqual" allowBlank="1" showInputMessage="1" showErrorMessage="1" sqref="N27:N50 P27:P50" xr:uid="{00000000-0002-0000-0000-000011000000}">
      <formula1>0</formula1>
    </dataValidation>
    <dataValidation type="decimal" operator="greaterThanOrEqual" allowBlank="1" showInputMessage="1" showErrorMessage="1" sqref="L27:M50 O27:O50 R27:U50" xr:uid="{00000000-0002-0000-0000-000012000000}">
      <formula1>0</formula1>
    </dataValidation>
    <dataValidation type="whole" allowBlank="1" showInputMessage="1" showErrorMessage="1" sqref="J27:J50" xr:uid="{00000000-0002-0000-0000-000013000000}">
      <formula1>0</formula1>
      <formula2>90</formula2>
    </dataValidation>
    <dataValidation type="whole" allowBlank="1" showInputMessage="1" showErrorMessage="1" sqref="K27:K50" xr:uid="{00000000-0002-0000-0000-000014000000}">
      <formula1>0</formula1>
      <formula2>100</formula2>
    </dataValidation>
    <dataValidation type="whole" operator="greaterThan" allowBlank="1" showInputMessage="1" showErrorMessage="1" sqref="Q27:Q50" xr:uid="{00000000-0002-0000-0000-000015000000}">
      <formula1>0</formula1>
    </dataValidation>
    <dataValidation type="whole" allowBlank="1" showInputMessage="1" showErrorMessage="1" sqref="C27:C50" xr:uid="{00000000-0002-0000-0000-000018000000}">
      <formula1>$C$13</formula1>
      <formula2>$E$13</formula2>
    </dataValidation>
    <dataValidation type="textLength" operator="equal" allowBlank="1" showInputMessage="1" showErrorMessage="1" sqref="M7" xr:uid="{AF6A3273-9FF7-4ECF-BFAE-652F163EFAFB}">
      <formula1>2</formula1>
    </dataValidation>
    <dataValidation type="whole" allowBlank="1" showInputMessage="1" showErrorMessage="1" sqref="Q6:R8" xr:uid="{781CBE93-879E-41A3-9876-475E9DCAC679}">
      <formula1>0</formula1>
      <formula2>1</formula2>
    </dataValidation>
    <dataValidation type="date" operator="greaterThanOrEqual" allowBlank="1" showInputMessage="1" showErrorMessage="1" sqref="M5:N5" xr:uid="{CB1E44F9-6459-4998-AD71-0A0BF7A5A51B}">
      <formula1>DATE(YEAR(NOW()),1,1)</formula1>
    </dataValidation>
  </dataValidations>
  <hyperlinks>
    <hyperlink ref="A12:B12" location="FlagName" display="FlagName" xr:uid="{00000000-0004-0000-0000-000000000000}"/>
    <hyperlink ref="F9" location="FlagName" display="FlagName" xr:uid="{00000000-0004-0000-0000-000001000000}"/>
    <hyperlink ref="A14:B14" location="SpeciesCode" display="SpeciesCode" xr:uid="{00000000-0004-0000-0000-000002000000}"/>
    <hyperlink ref="A23:A24" location="FlagA3ISO" display="FlagA3ISO" xr:uid="{00000000-0004-0000-0000-000003000000}"/>
    <hyperlink ref="B23:B24" location="PortsZones" display="PortsZones" xr:uid="{00000000-0004-0000-0000-000004000000}"/>
    <hyperlink ref="E23:E24" location="GearCode" display="GearCode" xr:uid="{00000000-0004-0000-0000-000005000000}"/>
    <hyperlink ref="F23:F24" location="CatchTypeCode" display="CatchTypeCode" xr:uid="{00000000-0004-0000-0000-000006000000}"/>
    <hyperlink ref="G23:G24" location="SchoolTypeCode" display="SchoolTypeCode" xr:uid="{00000000-0004-0000-0000-000007000000}"/>
    <hyperlink ref="H23:H24" location="SampAreaCode" display="SampAreaCode" xr:uid="{00000000-0004-0000-0000-000008000000}"/>
    <hyperlink ref="I24" location="QuadCode" display="QuadCode" xr:uid="{00000000-0004-0000-0000-000009000000}"/>
    <hyperlink ref="A17:B17" location="Version" display="Version" xr:uid="{00000000-0004-0000-0000-00000A000000}"/>
    <hyperlink ref="A18:B18" location="Content" display="Content" xr:uid="{00000000-0004-0000-0000-00000B000000}"/>
    <hyperlink ref="F16:G16" location="SizeFreqTypeCode" display="SizeFreqTypeCode" xr:uid="{00000000-0004-0000-0000-00000C000000}"/>
    <hyperlink ref="F18:G18" location="ClassLimitCode" display="ClassLimitCode" xr:uid="{00000000-0004-0000-0000-00000D000000}"/>
    <hyperlink ref="P4:R4" location="filters!A1" display="filters!A1" xr:uid="{00000000-0004-0000-0000-00000E000000}"/>
  </hyperlinks>
  <pageMargins left="0.61" right="0.46" top="0.51181102362204722" bottom="0.43307086614173229" header="0.27559055118110237" footer="0.35433070866141736"/>
  <pageSetup paperSize="9" scale="95" fitToHeight="2" orientation="landscape" r:id="rId1"/>
  <headerFooter alignWithMargins="0">
    <oddHeader>&amp;R&amp;"Times New Roman,Regular"page: &amp;P/&amp;N</oddHead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175"/>
  <sheetViews>
    <sheetView zoomScaleNormal="100" zoomScaleSheetLayoutView="100" workbookViewId="0">
      <pane ySplit="2" topLeftCell="A3" activePane="bottomLeft" state="frozen"/>
      <selection pane="bottomLeft" activeCell="A3" sqref="A3"/>
    </sheetView>
  </sheetViews>
  <sheetFormatPr defaultColWidth="9.125" defaultRowHeight="11.55" x14ac:dyDescent="0.2"/>
  <cols>
    <col min="1" max="1" width="18.25" style="34" bestFit="1" customWidth="1"/>
    <col min="2" max="2" width="6.875" style="34" bestFit="1" customWidth="1"/>
    <col min="3" max="3" width="7.5" style="34" bestFit="1" customWidth="1"/>
    <col min="4" max="4" width="55.75" style="34" bestFit="1" customWidth="1"/>
    <col min="5" max="6" width="7.5" style="34" bestFit="1" customWidth="1"/>
    <col min="7" max="7" width="2.875" style="34" customWidth="1"/>
    <col min="8" max="8" width="11" style="34" bestFit="1" customWidth="1"/>
    <col min="9" max="9" width="14.375" style="34" bestFit="1" customWidth="1"/>
    <col min="10" max="10" width="14.25" style="34" bestFit="1" customWidth="1"/>
    <col min="11" max="11" width="18.5" style="34" bestFit="1" customWidth="1"/>
    <col min="12" max="12" width="15.875" style="34" bestFit="1" customWidth="1"/>
    <col min="13" max="13" width="13" style="34" bestFit="1" customWidth="1"/>
    <col min="14" max="14" width="2.875" style="34" customWidth="1"/>
    <col min="15" max="15" width="13.25" style="34" bestFit="1" customWidth="1"/>
    <col min="16" max="16" width="49.375" style="34" bestFit="1" customWidth="1"/>
    <col min="17" max="17" width="8.25" style="34" bestFit="1" customWidth="1"/>
    <col min="18" max="16384" width="9.125" style="34"/>
  </cols>
  <sheetData>
    <row r="1" spans="1:17" x14ac:dyDescent="0.2">
      <c r="A1" s="260" t="s">
        <v>467</v>
      </c>
      <c r="B1" s="260"/>
      <c r="C1" s="260"/>
      <c r="D1" s="260"/>
      <c r="E1" s="260"/>
      <c r="F1" s="260"/>
      <c r="H1" s="261" t="s">
        <v>1068</v>
      </c>
      <c r="I1" s="261"/>
      <c r="J1" s="261"/>
      <c r="K1" s="261"/>
      <c r="L1" s="261"/>
      <c r="M1" s="261"/>
      <c r="O1" s="262" t="s">
        <v>1252</v>
      </c>
      <c r="P1" s="262"/>
      <c r="Q1" s="262"/>
    </row>
    <row r="2" spans="1:17" x14ac:dyDescent="0.2">
      <c r="A2" s="194" t="s">
        <v>468</v>
      </c>
      <c r="B2" s="195" t="s">
        <v>1223</v>
      </c>
      <c r="C2" s="195" t="s">
        <v>1224</v>
      </c>
      <c r="D2" s="102" t="s">
        <v>1386</v>
      </c>
      <c r="E2" s="195" t="s">
        <v>469</v>
      </c>
      <c r="F2" s="196" t="s">
        <v>470</v>
      </c>
      <c r="H2" s="143" t="s">
        <v>1244</v>
      </c>
      <c r="I2" s="144" t="s">
        <v>612</v>
      </c>
      <c r="J2" s="144" t="s">
        <v>613</v>
      </c>
      <c r="K2" s="144" t="s">
        <v>614</v>
      </c>
      <c r="L2" s="144" t="s">
        <v>615</v>
      </c>
      <c r="M2" s="144" t="s">
        <v>616</v>
      </c>
      <c r="O2" s="145" t="s">
        <v>1251</v>
      </c>
      <c r="P2" s="146" t="s">
        <v>21</v>
      </c>
      <c r="Q2" s="147" t="s">
        <v>20</v>
      </c>
    </row>
    <row r="3" spans="1:17" x14ac:dyDescent="0.2">
      <c r="A3" s="199" t="s">
        <v>180</v>
      </c>
      <c r="B3" s="174" t="s">
        <v>45</v>
      </c>
      <c r="C3" s="174" t="s">
        <v>299</v>
      </c>
      <c r="E3" s="174" t="s">
        <v>45</v>
      </c>
      <c r="F3" s="200" t="s">
        <v>471</v>
      </c>
      <c r="H3" s="105" t="s">
        <v>27</v>
      </c>
      <c r="I3" s="34" t="s">
        <v>28</v>
      </c>
      <c r="J3" s="34" t="s">
        <v>424</v>
      </c>
      <c r="K3" s="34" t="s">
        <v>425</v>
      </c>
      <c r="L3" s="34" t="s">
        <v>426</v>
      </c>
      <c r="M3" s="34" t="s">
        <v>617</v>
      </c>
      <c r="O3" s="148" t="s">
        <v>24</v>
      </c>
      <c r="P3" s="136" t="s">
        <v>1056</v>
      </c>
      <c r="Q3" s="149">
        <v>0</v>
      </c>
    </row>
    <row r="4" spans="1:17" x14ac:dyDescent="0.2">
      <c r="A4" s="199" t="s">
        <v>22</v>
      </c>
      <c r="B4" s="174" t="s">
        <v>23</v>
      </c>
      <c r="C4" s="174" t="s">
        <v>299</v>
      </c>
      <c r="E4" s="174" t="s">
        <v>23</v>
      </c>
      <c r="F4" s="200" t="s">
        <v>472</v>
      </c>
      <c r="H4" s="105" t="s">
        <v>36</v>
      </c>
      <c r="I4" s="34" t="s">
        <v>37</v>
      </c>
      <c r="J4" s="34" t="s">
        <v>38</v>
      </c>
      <c r="K4" s="34" t="s">
        <v>39</v>
      </c>
      <c r="L4" s="34" t="s">
        <v>40</v>
      </c>
      <c r="M4" s="34" t="s">
        <v>617</v>
      </c>
      <c r="O4" s="148" t="s">
        <v>29</v>
      </c>
      <c r="P4" s="150" t="s">
        <v>30</v>
      </c>
      <c r="Q4" s="149">
        <v>1</v>
      </c>
    </row>
    <row r="5" spans="1:17" x14ac:dyDescent="0.2">
      <c r="A5" s="199" t="s">
        <v>25</v>
      </c>
      <c r="B5" s="174" t="s">
        <v>26</v>
      </c>
      <c r="C5" s="174" t="s">
        <v>299</v>
      </c>
      <c r="E5" s="174" t="s">
        <v>26</v>
      </c>
      <c r="F5" s="200" t="s">
        <v>473</v>
      </c>
      <c r="H5" s="105" t="s">
        <v>45</v>
      </c>
      <c r="I5" s="34" t="s">
        <v>46</v>
      </c>
      <c r="J5" s="34" t="s">
        <v>39</v>
      </c>
      <c r="K5" s="34" t="s">
        <v>47</v>
      </c>
      <c r="L5" s="34" t="s">
        <v>48</v>
      </c>
      <c r="M5" s="34" t="s">
        <v>617</v>
      </c>
      <c r="O5" s="148" t="s">
        <v>33</v>
      </c>
      <c r="P5" s="150" t="s">
        <v>34</v>
      </c>
      <c r="Q5" s="149">
        <v>2</v>
      </c>
    </row>
    <row r="6" spans="1:17" x14ac:dyDescent="0.2">
      <c r="A6" s="199" t="s">
        <v>31</v>
      </c>
      <c r="B6" s="174" t="s">
        <v>32</v>
      </c>
      <c r="C6" s="174" t="s">
        <v>299</v>
      </c>
      <c r="E6" s="174" t="s">
        <v>32</v>
      </c>
      <c r="F6" s="200" t="s">
        <v>103</v>
      </c>
      <c r="H6" s="105" t="s">
        <v>53</v>
      </c>
      <c r="I6" s="34" t="s">
        <v>54</v>
      </c>
      <c r="J6" s="34" t="s">
        <v>55</v>
      </c>
      <c r="K6" s="34" t="s">
        <v>1055</v>
      </c>
      <c r="L6" s="34" t="s">
        <v>56</v>
      </c>
      <c r="M6" s="34" t="s">
        <v>617</v>
      </c>
      <c r="O6" s="148" t="s">
        <v>41</v>
      </c>
      <c r="P6" s="150" t="s">
        <v>42</v>
      </c>
      <c r="Q6" s="149">
        <v>3</v>
      </c>
    </row>
    <row r="7" spans="1:17" x14ac:dyDescent="0.2">
      <c r="A7" s="199" t="s">
        <v>279</v>
      </c>
      <c r="B7" s="174" t="s">
        <v>193</v>
      </c>
      <c r="C7" s="174" t="s">
        <v>299</v>
      </c>
      <c r="D7" s="34" t="s">
        <v>1396</v>
      </c>
      <c r="E7" s="174" t="s">
        <v>193</v>
      </c>
      <c r="F7" s="200" t="s">
        <v>474</v>
      </c>
      <c r="H7" s="105" t="s">
        <v>59</v>
      </c>
      <c r="I7" s="34" t="s">
        <v>60</v>
      </c>
      <c r="J7" s="34" t="s">
        <v>61</v>
      </c>
      <c r="K7" s="34" t="s">
        <v>62</v>
      </c>
      <c r="L7" s="34" t="s">
        <v>63</v>
      </c>
      <c r="M7" s="34" t="s">
        <v>617</v>
      </c>
      <c r="O7" s="151" t="s">
        <v>49</v>
      </c>
      <c r="P7" s="152" t="s">
        <v>50</v>
      </c>
      <c r="Q7" s="153">
        <v>4</v>
      </c>
    </row>
    <row r="8" spans="1:17" x14ac:dyDescent="0.2">
      <c r="A8" s="199" t="s">
        <v>414</v>
      </c>
      <c r="B8" s="174" t="s">
        <v>35</v>
      </c>
      <c r="C8" s="174" t="s">
        <v>299</v>
      </c>
      <c r="D8" s="34" t="s">
        <v>905</v>
      </c>
      <c r="E8" s="174" t="s">
        <v>35</v>
      </c>
      <c r="F8" s="200" t="s">
        <v>475</v>
      </c>
      <c r="H8" s="107" t="s">
        <v>67</v>
      </c>
      <c r="I8" s="154" t="s">
        <v>68</v>
      </c>
      <c r="J8" s="154" t="s">
        <v>69</v>
      </c>
      <c r="K8" s="154" t="s">
        <v>70</v>
      </c>
      <c r="L8" s="154" t="s">
        <v>71</v>
      </c>
      <c r="M8" s="154" t="s">
        <v>617</v>
      </c>
    </row>
    <row r="9" spans="1:17" x14ac:dyDescent="0.2">
      <c r="A9" s="199" t="s">
        <v>43</v>
      </c>
      <c r="B9" s="174" t="s">
        <v>44</v>
      </c>
      <c r="C9" s="174" t="s">
        <v>299</v>
      </c>
      <c r="E9" s="174" t="s">
        <v>44</v>
      </c>
      <c r="F9" s="200" t="s">
        <v>476</v>
      </c>
    </row>
    <row r="10" spans="1:17" x14ac:dyDescent="0.2">
      <c r="A10" s="199" t="s">
        <v>51</v>
      </c>
      <c r="B10" s="174" t="s">
        <v>52</v>
      </c>
      <c r="C10" s="174" t="s">
        <v>299</v>
      </c>
      <c r="D10" s="34" t="s">
        <v>1397</v>
      </c>
      <c r="E10" s="174" t="s">
        <v>52</v>
      </c>
      <c r="F10" s="200" t="s">
        <v>477</v>
      </c>
      <c r="O10" s="262" t="s">
        <v>845</v>
      </c>
      <c r="P10" s="262"/>
      <c r="Q10" s="262"/>
    </row>
    <row r="11" spans="1:17" x14ac:dyDescent="0.2">
      <c r="A11" s="199" t="s">
        <v>415</v>
      </c>
      <c r="B11" s="174" t="s">
        <v>57</v>
      </c>
      <c r="C11" s="174" t="s">
        <v>299</v>
      </c>
      <c r="E11" s="174" t="s">
        <v>57</v>
      </c>
      <c r="F11" s="200" t="s">
        <v>478</v>
      </c>
      <c r="H11" s="263" t="s">
        <v>1385</v>
      </c>
      <c r="I11" s="263"/>
      <c r="J11" s="263"/>
      <c r="K11" s="263"/>
      <c r="L11" s="155"/>
      <c r="O11" s="103" t="s">
        <v>1249</v>
      </c>
      <c r="P11" s="102" t="s">
        <v>73</v>
      </c>
      <c r="Q11" s="104" t="s">
        <v>72</v>
      </c>
    </row>
    <row r="12" spans="1:17" x14ac:dyDescent="0.2">
      <c r="A12" s="199" t="s">
        <v>219</v>
      </c>
      <c r="B12" s="174" t="s">
        <v>220</v>
      </c>
      <c r="C12" s="174" t="s">
        <v>299</v>
      </c>
      <c r="E12" s="174" t="s">
        <v>220</v>
      </c>
      <c r="F12" s="200" t="s">
        <v>579</v>
      </c>
      <c r="H12" s="156" t="s">
        <v>1245</v>
      </c>
      <c r="I12" s="157" t="s">
        <v>618</v>
      </c>
      <c r="J12" s="158" t="s">
        <v>619</v>
      </c>
      <c r="K12" s="159" t="s">
        <v>9</v>
      </c>
      <c r="O12" s="174" t="s">
        <v>77</v>
      </c>
      <c r="P12" s="174" t="s">
        <v>78</v>
      </c>
      <c r="Q12" s="174" t="s">
        <v>77</v>
      </c>
    </row>
    <row r="13" spans="1:17" x14ac:dyDescent="0.2">
      <c r="A13" s="199" t="s">
        <v>221</v>
      </c>
      <c r="B13" s="174" t="s">
        <v>222</v>
      </c>
      <c r="C13" s="174" t="s">
        <v>299</v>
      </c>
      <c r="E13" s="174" t="s">
        <v>222</v>
      </c>
      <c r="F13" s="200" t="s">
        <v>580</v>
      </c>
      <c r="H13" s="160" t="s">
        <v>115</v>
      </c>
      <c r="I13" s="161" t="s">
        <v>620</v>
      </c>
      <c r="J13" s="254" t="s">
        <v>346</v>
      </c>
      <c r="K13" s="255" t="s">
        <v>45</v>
      </c>
      <c r="O13" s="174" t="s">
        <v>310</v>
      </c>
      <c r="P13" s="174" t="s">
        <v>1367</v>
      </c>
      <c r="Q13" s="174" t="s">
        <v>77</v>
      </c>
    </row>
    <row r="14" spans="1:17" x14ac:dyDescent="0.2">
      <c r="A14" s="199" t="s">
        <v>335</v>
      </c>
      <c r="B14" s="174" t="s">
        <v>421</v>
      </c>
      <c r="C14" s="174" t="s">
        <v>299</v>
      </c>
      <c r="D14" s="34" t="s">
        <v>1396</v>
      </c>
      <c r="E14" s="174" t="s">
        <v>421</v>
      </c>
      <c r="F14" s="200" t="s">
        <v>563</v>
      </c>
      <c r="H14" s="162" t="s">
        <v>119</v>
      </c>
      <c r="I14" s="138" t="s">
        <v>620</v>
      </c>
      <c r="J14" s="254"/>
      <c r="K14" s="255"/>
      <c r="O14" s="174" t="s">
        <v>311</v>
      </c>
      <c r="P14" s="174" t="s">
        <v>1368</v>
      </c>
      <c r="Q14" s="174" t="s">
        <v>77</v>
      </c>
    </row>
    <row r="15" spans="1:17" x14ac:dyDescent="0.2">
      <c r="A15" s="199" t="s">
        <v>848</v>
      </c>
      <c r="B15" s="174" t="s">
        <v>58</v>
      </c>
      <c r="C15" s="174" t="s">
        <v>299</v>
      </c>
      <c r="D15" s="34" t="s">
        <v>1398</v>
      </c>
      <c r="E15" s="174" t="s">
        <v>58</v>
      </c>
      <c r="F15" s="200" t="s">
        <v>479</v>
      </c>
      <c r="H15" s="162" t="s">
        <v>122</v>
      </c>
      <c r="I15" s="138" t="s">
        <v>620</v>
      </c>
      <c r="J15" s="254" t="s">
        <v>347</v>
      </c>
      <c r="K15" s="255"/>
      <c r="O15" s="174" t="s">
        <v>312</v>
      </c>
      <c r="P15" s="174" t="s">
        <v>907</v>
      </c>
      <c r="Q15" s="174" t="s">
        <v>77</v>
      </c>
    </row>
    <row r="16" spans="1:17" x14ac:dyDescent="0.2">
      <c r="A16" s="199" t="s">
        <v>1264</v>
      </c>
      <c r="B16" s="174" t="s">
        <v>1265</v>
      </c>
      <c r="C16" s="174" t="s">
        <v>299</v>
      </c>
      <c r="D16" s="175"/>
      <c r="E16" s="174" t="s">
        <v>1051</v>
      </c>
      <c r="F16" s="200" t="s">
        <v>620</v>
      </c>
      <c r="H16" s="162" t="s">
        <v>126</v>
      </c>
      <c r="I16" s="138" t="s">
        <v>620</v>
      </c>
      <c r="J16" s="254"/>
      <c r="K16" s="255"/>
      <c r="O16" s="174" t="s">
        <v>94</v>
      </c>
      <c r="P16" s="174" t="s">
        <v>1057</v>
      </c>
      <c r="Q16" s="174" t="s">
        <v>77</v>
      </c>
    </row>
    <row r="17" spans="1:17" x14ac:dyDescent="0.2">
      <c r="A17" s="199" t="s">
        <v>1266</v>
      </c>
      <c r="B17" s="174" t="s">
        <v>1267</v>
      </c>
      <c r="C17" s="174" t="s">
        <v>299</v>
      </c>
      <c r="E17" s="174" t="s">
        <v>481</v>
      </c>
      <c r="F17" s="200" t="s">
        <v>482</v>
      </c>
      <c r="H17" s="163" t="s">
        <v>131</v>
      </c>
      <c r="I17" s="164" t="s">
        <v>357</v>
      </c>
      <c r="J17" s="173" t="s">
        <v>348</v>
      </c>
      <c r="K17" s="255"/>
      <c r="O17" s="176" t="s">
        <v>1369</v>
      </c>
      <c r="P17" s="178" t="s">
        <v>1370</v>
      </c>
      <c r="Q17" s="174" t="s">
        <v>77</v>
      </c>
    </row>
    <row r="18" spans="1:17" x14ac:dyDescent="0.2">
      <c r="A18" s="199" t="s">
        <v>1268</v>
      </c>
      <c r="B18" s="174" t="s">
        <v>1269</v>
      </c>
      <c r="C18" s="174" t="s">
        <v>299</v>
      </c>
      <c r="E18" s="174" t="s">
        <v>483</v>
      </c>
      <c r="F18" s="200" t="s">
        <v>484</v>
      </c>
      <c r="H18" s="160" t="s">
        <v>139</v>
      </c>
      <c r="I18" s="161" t="s">
        <v>620</v>
      </c>
      <c r="J18" s="254" t="s">
        <v>349</v>
      </c>
      <c r="K18" s="254" t="s">
        <v>27</v>
      </c>
      <c r="O18" s="174" t="s">
        <v>313</v>
      </c>
      <c r="P18" s="174" t="s">
        <v>1058</v>
      </c>
      <c r="Q18" s="174" t="s">
        <v>77</v>
      </c>
    </row>
    <row r="19" spans="1:17" x14ac:dyDescent="0.2">
      <c r="A19" s="199" t="s">
        <v>1270</v>
      </c>
      <c r="B19" s="174" t="s">
        <v>1271</v>
      </c>
      <c r="C19" s="174" t="s">
        <v>299</v>
      </c>
      <c r="D19" s="34" t="s">
        <v>905</v>
      </c>
      <c r="E19" s="174" t="s">
        <v>485</v>
      </c>
      <c r="F19" s="200" t="s">
        <v>486</v>
      </c>
      <c r="H19" s="162" t="s">
        <v>144</v>
      </c>
      <c r="I19" s="138" t="s">
        <v>620</v>
      </c>
      <c r="J19" s="254"/>
      <c r="K19" s="254"/>
      <c r="O19" s="174" t="s">
        <v>91</v>
      </c>
      <c r="P19" s="174" t="s">
        <v>908</v>
      </c>
      <c r="Q19" s="174" t="s">
        <v>77</v>
      </c>
    </row>
    <row r="20" spans="1:17" x14ac:dyDescent="0.2">
      <c r="A20" s="199" t="s">
        <v>1272</v>
      </c>
      <c r="B20" s="174" t="s">
        <v>1273</v>
      </c>
      <c r="C20" s="174" t="s">
        <v>299</v>
      </c>
      <c r="D20" s="34" t="s">
        <v>905</v>
      </c>
      <c r="E20" s="174" t="s">
        <v>487</v>
      </c>
      <c r="F20" s="200" t="s">
        <v>488</v>
      </c>
      <c r="H20" s="162" t="s">
        <v>150</v>
      </c>
      <c r="I20" s="138" t="s">
        <v>620</v>
      </c>
      <c r="J20" s="254"/>
      <c r="K20" s="254"/>
      <c r="O20" s="174" t="s">
        <v>81</v>
      </c>
      <c r="P20" s="174" t="s">
        <v>909</v>
      </c>
      <c r="Q20" s="174" t="s">
        <v>77</v>
      </c>
    </row>
    <row r="21" spans="1:17" x14ac:dyDescent="0.2">
      <c r="A21" s="199" t="s">
        <v>1274</v>
      </c>
      <c r="B21" s="174" t="s">
        <v>1275</v>
      </c>
      <c r="C21" s="174" t="s">
        <v>299</v>
      </c>
      <c r="D21" s="175"/>
      <c r="E21" s="174" t="s">
        <v>1225</v>
      </c>
      <c r="F21" s="200" t="s">
        <v>1226</v>
      </c>
      <c r="H21" s="162" t="s">
        <v>154</v>
      </c>
      <c r="I21" s="138" t="s">
        <v>620</v>
      </c>
      <c r="J21" s="254"/>
      <c r="K21" s="254"/>
      <c r="O21" s="176" t="s">
        <v>1371</v>
      </c>
      <c r="P21" s="178" t="s">
        <v>1372</v>
      </c>
      <c r="Q21" s="174" t="s">
        <v>77</v>
      </c>
    </row>
    <row r="22" spans="1:17" x14ac:dyDescent="0.2">
      <c r="A22" s="199" t="s">
        <v>1276</v>
      </c>
      <c r="B22" s="174" t="s">
        <v>1277</v>
      </c>
      <c r="C22" s="174" t="s">
        <v>299</v>
      </c>
      <c r="E22" s="174" t="s">
        <v>489</v>
      </c>
      <c r="F22" s="200" t="s">
        <v>490</v>
      </c>
      <c r="H22" s="162" t="s">
        <v>156</v>
      </c>
      <c r="I22" s="165" t="s">
        <v>357</v>
      </c>
      <c r="J22" s="254"/>
      <c r="K22" s="254"/>
      <c r="O22" s="174" t="s">
        <v>88</v>
      </c>
      <c r="P22" s="174" t="s">
        <v>910</v>
      </c>
      <c r="Q22" s="174" t="s">
        <v>77</v>
      </c>
    </row>
    <row r="23" spans="1:17" x14ac:dyDescent="0.2">
      <c r="A23" s="199" t="s">
        <v>1278</v>
      </c>
      <c r="B23" s="174" t="s">
        <v>1279</v>
      </c>
      <c r="C23" s="174" t="s">
        <v>299</v>
      </c>
      <c r="D23" s="34" t="s">
        <v>1399</v>
      </c>
      <c r="E23" s="174" t="s">
        <v>455</v>
      </c>
      <c r="F23" s="200" t="s">
        <v>491</v>
      </c>
      <c r="H23" s="162" t="s">
        <v>167</v>
      </c>
      <c r="I23" s="138" t="s">
        <v>620</v>
      </c>
      <c r="J23" s="254"/>
      <c r="K23" s="254"/>
      <c r="O23" s="174" t="s">
        <v>96</v>
      </c>
      <c r="P23" s="174" t="s">
        <v>1059</v>
      </c>
      <c r="Q23" s="174" t="s">
        <v>77</v>
      </c>
    </row>
    <row r="24" spans="1:17" x14ac:dyDescent="0.2">
      <c r="A24" s="199" t="s">
        <v>1280</v>
      </c>
      <c r="B24" s="174" t="s">
        <v>1281</v>
      </c>
      <c r="C24" s="174" t="s">
        <v>299</v>
      </c>
      <c r="E24" s="174" t="s">
        <v>492</v>
      </c>
      <c r="F24" s="200" t="s">
        <v>493</v>
      </c>
      <c r="H24" s="162" t="s">
        <v>181</v>
      </c>
      <c r="I24" s="138" t="s">
        <v>620</v>
      </c>
      <c r="J24" s="254"/>
      <c r="K24" s="254"/>
      <c r="O24" s="174" t="s">
        <v>140</v>
      </c>
      <c r="P24" s="174" t="s">
        <v>141</v>
      </c>
      <c r="Q24" s="174" t="s">
        <v>140</v>
      </c>
    </row>
    <row r="25" spans="1:17" x14ac:dyDescent="0.2">
      <c r="A25" s="199" t="s">
        <v>1282</v>
      </c>
      <c r="B25" s="174" t="s">
        <v>1283</v>
      </c>
      <c r="C25" s="174" t="s">
        <v>299</v>
      </c>
      <c r="D25" s="175"/>
      <c r="E25" s="174" t="s">
        <v>1227</v>
      </c>
      <c r="F25" s="200" t="s">
        <v>1228</v>
      </c>
      <c r="H25" s="162" t="s">
        <v>854</v>
      </c>
      <c r="I25" s="138" t="s">
        <v>620</v>
      </c>
      <c r="J25" s="254"/>
      <c r="K25" s="254"/>
      <c r="O25" s="174" t="s">
        <v>151</v>
      </c>
      <c r="P25" s="174" t="s">
        <v>911</v>
      </c>
      <c r="Q25" s="174" t="s">
        <v>140</v>
      </c>
    </row>
    <row r="26" spans="1:17" x14ac:dyDescent="0.2">
      <c r="A26" s="199" t="s">
        <v>1284</v>
      </c>
      <c r="B26" s="174" t="s">
        <v>1285</v>
      </c>
      <c r="C26" s="174" t="s">
        <v>299</v>
      </c>
      <c r="D26" s="34" t="s">
        <v>1400</v>
      </c>
      <c r="E26" s="174" t="s">
        <v>454</v>
      </c>
      <c r="F26" s="200" t="s">
        <v>494</v>
      </c>
      <c r="H26" s="162" t="s">
        <v>855</v>
      </c>
      <c r="I26" s="138" t="s">
        <v>620</v>
      </c>
      <c r="J26" s="254" t="s">
        <v>350</v>
      </c>
      <c r="K26" s="254"/>
      <c r="O26" s="174" t="s">
        <v>157</v>
      </c>
      <c r="P26" s="174" t="s">
        <v>912</v>
      </c>
      <c r="Q26" s="174" t="s">
        <v>140</v>
      </c>
    </row>
    <row r="27" spans="1:17" x14ac:dyDescent="0.2">
      <c r="A27" s="199" t="s">
        <v>1286</v>
      </c>
      <c r="B27" s="174" t="s">
        <v>1287</v>
      </c>
      <c r="C27" s="174" t="s">
        <v>299</v>
      </c>
      <c r="E27" s="174" t="s">
        <v>495</v>
      </c>
      <c r="F27" s="200" t="s">
        <v>496</v>
      </c>
      <c r="H27" s="162" t="s">
        <v>133</v>
      </c>
      <c r="I27" s="138" t="s">
        <v>620</v>
      </c>
      <c r="J27" s="254"/>
      <c r="K27" s="254"/>
      <c r="O27" s="174" t="s">
        <v>159</v>
      </c>
      <c r="P27" s="174" t="s">
        <v>913</v>
      </c>
      <c r="Q27" s="174" t="s">
        <v>140</v>
      </c>
    </row>
    <row r="28" spans="1:17" x14ac:dyDescent="0.2">
      <c r="A28" s="199" t="s">
        <v>1288</v>
      </c>
      <c r="B28" s="174" t="s">
        <v>1289</v>
      </c>
      <c r="C28" s="174" t="s">
        <v>299</v>
      </c>
      <c r="D28" s="34" t="s">
        <v>905</v>
      </c>
      <c r="E28" s="174" t="s">
        <v>497</v>
      </c>
      <c r="F28" s="200" t="s">
        <v>498</v>
      </c>
      <c r="H28" s="162" t="s">
        <v>856</v>
      </c>
      <c r="I28" s="138" t="s">
        <v>620</v>
      </c>
      <c r="J28" s="254"/>
      <c r="K28" s="254"/>
      <c r="O28" s="174" t="s">
        <v>145</v>
      </c>
      <c r="P28" s="174" t="s">
        <v>914</v>
      </c>
      <c r="Q28" s="174" t="s">
        <v>140</v>
      </c>
    </row>
    <row r="29" spans="1:17" x14ac:dyDescent="0.2">
      <c r="A29" s="199" t="s">
        <v>1290</v>
      </c>
      <c r="B29" s="174" t="s">
        <v>1291</v>
      </c>
      <c r="C29" s="174" t="s">
        <v>299</v>
      </c>
      <c r="E29" s="174" t="s">
        <v>499</v>
      </c>
      <c r="F29" s="200" t="s">
        <v>500</v>
      </c>
      <c r="H29" s="162" t="s">
        <v>146</v>
      </c>
      <c r="I29" s="138" t="s">
        <v>620</v>
      </c>
      <c r="J29" s="254"/>
      <c r="K29" s="254"/>
      <c r="O29" s="174" t="s">
        <v>155</v>
      </c>
      <c r="P29" s="174" t="s">
        <v>915</v>
      </c>
      <c r="Q29" s="174" t="s">
        <v>140</v>
      </c>
    </row>
    <row r="30" spans="1:17" x14ac:dyDescent="0.2">
      <c r="A30" s="199" t="s">
        <v>1292</v>
      </c>
      <c r="B30" s="174" t="s">
        <v>1293</v>
      </c>
      <c r="C30" s="174" t="s">
        <v>299</v>
      </c>
      <c r="E30" s="174" t="s">
        <v>501</v>
      </c>
      <c r="F30" s="200" t="s">
        <v>502</v>
      </c>
      <c r="H30" s="162" t="s">
        <v>857</v>
      </c>
      <c r="I30" s="138" t="s">
        <v>620</v>
      </c>
      <c r="J30" s="254"/>
      <c r="K30" s="254"/>
      <c r="O30" s="174" t="s">
        <v>147</v>
      </c>
      <c r="P30" s="174" t="s">
        <v>916</v>
      </c>
      <c r="Q30" s="174" t="s">
        <v>140</v>
      </c>
    </row>
    <row r="31" spans="1:17" x14ac:dyDescent="0.2">
      <c r="A31" s="199" t="s">
        <v>1294</v>
      </c>
      <c r="B31" s="174" t="s">
        <v>1295</v>
      </c>
      <c r="C31" s="174" t="s">
        <v>299</v>
      </c>
      <c r="D31" s="34" t="s">
        <v>416</v>
      </c>
      <c r="E31" s="174" t="s">
        <v>503</v>
      </c>
      <c r="F31" s="200" t="s">
        <v>504</v>
      </c>
      <c r="H31" s="162" t="s">
        <v>158</v>
      </c>
      <c r="I31" s="138" t="s">
        <v>620</v>
      </c>
      <c r="J31" s="254"/>
      <c r="K31" s="254"/>
      <c r="O31" s="174" t="s">
        <v>149</v>
      </c>
      <c r="P31" s="174" t="s">
        <v>917</v>
      </c>
      <c r="Q31" s="174" t="s">
        <v>140</v>
      </c>
    </row>
    <row r="32" spans="1:17" x14ac:dyDescent="0.2">
      <c r="A32" s="199" t="s">
        <v>1296</v>
      </c>
      <c r="B32" s="174" t="s">
        <v>1297</v>
      </c>
      <c r="C32" s="174" t="s">
        <v>299</v>
      </c>
      <c r="E32" s="174" t="s">
        <v>505</v>
      </c>
      <c r="F32" s="200" t="s">
        <v>506</v>
      </c>
      <c r="H32" s="162" t="s">
        <v>162</v>
      </c>
      <c r="I32" s="138" t="s">
        <v>620</v>
      </c>
      <c r="J32" s="254"/>
      <c r="K32" s="254"/>
      <c r="O32" s="174" t="s">
        <v>168</v>
      </c>
      <c r="P32" s="174" t="s">
        <v>170</v>
      </c>
      <c r="Q32" s="174" t="s">
        <v>169</v>
      </c>
    </row>
    <row r="33" spans="1:17" x14ac:dyDescent="0.2">
      <c r="A33" s="199" t="s">
        <v>1298</v>
      </c>
      <c r="B33" s="174" t="s">
        <v>1299</v>
      </c>
      <c r="C33" s="174" t="s">
        <v>299</v>
      </c>
      <c r="E33" s="174" t="s">
        <v>507</v>
      </c>
      <c r="F33" s="200" t="s">
        <v>508</v>
      </c>
      <c r="H33" s="162" t="s">
        <v>173</v>
      </c>
      <c r="I33" s="138" t="s">
        <v>620</v>
      </c>
      <c r="J33" s="254"/>
      <c r="K33" s="254"/>
      <c r="O33" s="174" t="s">
        <v>314</v>
      </c>
      <c r="P33" s="174" t="s">
        <v>1060</v>
      </c>
      <c r="Q33" s="174" t="s">
        <v>169</v>
      </c>
    </row>
    <row r="34" spans="1:17" x14ac:dyDescent="0.2">
      <c r="A34" s="199" t="s">
        <v>1300</v>
      </c>
      <c r="B34" s="174" t="s">
        <v>1301</v>
      </c>
      <c r="C34" s="174" t="s">
        <v>299</v>
      </c>
      <c r="D34" s="175"/>
      <c r="E34" s="174" t="s">
        <v>1229</v>
      </c>
      <c r="F34" s="200" t="s">
        <v>1230</v>
      </c>
      <c r="H34" s="162" t="s">
        <v>858</v>
      </c>
      <c r="I34" s="138" t="s">
        <v>620</v>
      </c>
      <c r="J34" s="254"/>
      <c r="K34" s="254"/>
      <c r="O34" s="174" t="s">
        <v>174</v>
      </c>
      <c r="P34" s="174" t="s">
        <v>918</v>
      </c>
      <c r="Q34" s="174" t="s">
        <v>169</v>
      </c>
    </row>
    <row r="35" spans="1:17" x14ac:dyDescent="0.2">
      <c r="A35" s="199" t="s">
        <v>1302</v>
      </c>
      <c r="B35" s="174" t="s">
        <v>1303</v>
      </c>
      <c r="C35" s="174" t="s">
        <v>299</v>
      </c>
      <c r="D35" s="34" t="s">
        <v>905</v>
      </c>
      <c r="E35" s="174" t="s">
        <v>509</v>
      </c>
      <c r="F35" s="200" t="s">
        <v>510</v>
      </c>
      <c r="H35" s="162" t="s">
        <v>859</v>
      </c>
      <c r="I35" s="138" t="s">
        <v>620</v>
      </c>
      <c r="J35" s="254"/>
      <c r="K35" s="254"/>
      <c r="O35" s="174" t="s">
        <v>103</v>
      </c>
      <c r="P35" s="174" t="s">
        <v>104</v>
      </c>
      <c r="Q35" s="174" t="s">
        <v>103</v>
      </c>
    </row>
    <row r="36" spans="1:17" x14ac:dyDescent="0.2">
      <c r="A36" s="199" t="s">
        <v>1304</v>
      </c>
      <c r="B36" s="174" t="s">
        <v>1305</v>
      </c>
      <c r="C36" s="174" t="s">
        <v>299</v>
      </c>
      <c r="E36" s="174" t="s">
        <v>511</v>
      </c>
      <c r="F36" s="200" t="s">
        <v>512</v>
      </c>
      <c r="H36" s="163" t="s">
        <v>860</v>
      </c>
      <c r="I36" s="166" t="s">
        <v>620</v>
      </c>
      <c r="J36" s="254"/>
      <c r="K36" s="254"/>
      <c r="O36" s="174" t="s">
        <v>315</v>
      </c>
      <c r="P36" s="174" t="s">
        <v>919</v>
      </c>
      <c r="Q36" s="174" t="s">
        <v>103</v>
      </c>
    </row>
    <row r="37" spans="1:17" x14ac:dyDescent="0.2">
      <c r="A37" s="199" t="s">
        <v>1306</v>
      </c>
      <c r="B37" s="174" t="s">
        <v>1307</v>
      </c>
      <c r="C37" s="174" t="s">
        <v>299</v>
      </c>
      <c r="E37" s="174" t="s">
        <v>513</v>
      </c>
      <c r="F37" s="200" t="s">
        <v>514</v>
      </c>
      <c r="H37" s="160" t="s">
        <v>861</v>
      </c>
      <c r="I37" s="161" t="s">
        <v>620</v>
      </c>
      <c r="J37" s="254" t="s">
        <v>351</v>
      </c>
      <c r="K37" s="254" t="s">
        <v>53</v>
      </c>
      <c r="O37" s="174" t="s">
        <v>109</v>
      </c>
      <c r="P37" s="174" t="s">
        <v>920</v>
      </c>
      <c r="Q37" s="174" t="s">
        <v>103</v>
      </c>
    </row>
    <row r="38" spans="1:17" x14ac:dyDescent="0.2">
      <c r="A38" s="199" t="s">
        <v>1308</v>
      </c>
      <c r="B38" s="174" t="s">
        <v>1309</v>
      </c>
      <c r="C38" s="174" t="s">
        <v>299</v>
      </c>
      <c r="D38" s="34" t="s">
        <v>906</v>
      </c>
      <c r="E38" s="174" t="s">
        <v>515</v>
      </c>
      <c r="F38" s="200" t="s">
        <v>516</v>
      </c>
      <c r="H38" s="162" t="s">
        <v>862</v>
      </c>
      <c r="I38" s="138" t="s">
        <v>620</v>
      </c>
      <c r="J38" s="254"/>
      <c r="K38" s="254"/>
      <c r="O38" s="174" t="s">
        <v>107</v>
      </c>
      <c r="P38" s="174" t="s">
        <v>921</v>
      </c>
      <c r="Q38" s="174" t="s">
        <v>103</v>
      </c>
    </row>
    <row r="39" spans="1:17" x14ac:dyDescent="0.2">
      <c r="A39" s="199" t="s">
        <v>1310</v>
      </c>
      <c r="B39" s="174" t="s">
        <v>1311</v>
      </c>
      <c r="C39" s="174" t="s">
        <v>299</v>
      </c>
      <c r="D39" s="175"/>
      <c r="E39" s="174" t="s">
        <v>257</v>
      </c>
      <c r="F39" s="200" t="s">
        <v>601</v>
      </c>
      <c r="H39" s="162" t="s">
        <v>863</v>
      </c>
      <c r="I39" s="138" t="s">
        <v>620</v>
      </c>
      <c r="J39" s="254"/>
      <c r="K39" s="254"/>
      <c r="O39" s="174" t="s">
        <v>177</v>
      </c>
      <c r="P39" s="174" t="s">
        <v>179</v>
      </c>
      <c r="Q39" s="174" t="s">
        <v>178</v>
      </c>
    </row>
    <row r="40" spans="1:17" x14ac:dyDescent="0.2">
      <c r="A40" s="199" t="s">
        <v>1312</v>
      </c>
      <c r="B40" s="174" t="s">
        <v>1313</v>
      </c>
      <c r="C40" s="174" t="s">
        <v>299</v>
      </c>
      <c r="D40" s="175"/>
      <c r="E40" s="174" t="s">
        <v>1231</v>
      </c>
      <c r="F40" s="200" t="s">
        <v>1232</v>
      </c>
      <c r="H40" s="162" t="s">
        <v>864</v>
      </c>
      <c r="I40" s="138" t="s">
        <v>620</v>
      </c>
      <c r="J40" s="254"/>
      <c r="K40" s="254"/>
      <c r="O40" s="174" t="s">
        <v>849</v>
      </c>
      <c r="P40" s="174" t="s">
        <v>922</v>
      </c>
      <c r="Q40" s="174" t="s">
        <v>178</v>
      </c>
    </row>
    <row r="41" spans="1:17" x14ac:dyDescent="0.2">
      <c r="A41" s="199" t="s">
        <v>1314</v>
      </c>
      <c r="B41" s="174" t="s">
        <v>1315</v>
      </c>
      <c r="C41" s="174" t="s">
        <v>299</v>
      </c>
      <c r="E41" s="174" t="s">
        <v>517</v>
      </c>
      <c r="F41" s="200" t="s">
        <v>518</v>
      </c>
      <c r="H41" s="162" t="s">
        <v>865</v>
      </c>
      <c r="I41" s="138" t="s">
        <v>620</v>
      </c>
      <c r="J41" s="254"/>
      <c r="K41" s="254"/>
      <c r="O41" s="174" t="s">
        <v>850</v>
      </c>
      <c r="P41" s="174" t="s">
        <v>923</v>
      </c>
      <c r="Q41" s="174" t="s">
        <v>178</v>
      </c>
    </row>
    <row r="42" spans="1:17" x14ac:dyDescent="0.2">
      <c r="A42" s="199" t="s">
        <v>1316</v>
      </c>
      <c r="B42" s="174" t="s">
        <v>1317</v>
      </c>
      <c r="C42" s="174" t="s">
        <v>299</v>
      </c>
      <c r="E42" s="174" t="s">
        <v>519</v>
      </c>
      <c r="F42" s="200" t="s">
        <v>33</v>
      </c>
      <c r="H42" s="162" t="s">
        <v>866</v>
      </c>
      <c r="I42" s="138" t="s">
        <v>620</v>
      </c>
      <c r="J42" s="254"/>
      <c r="K42" s="254"/>
      <c r="O42" s="174" t="s">
        <v>851</v>
      </c>
      <c r="P42" s="174" t="s">
        <v>924</v>
      </c>
      <c r="Q42" s="174" t="s">
        <v>178</v>
      </c>
    </row>
    <row r="43" spans="1:17" x14ac:dyDescent="0.2">
      <c r="A43" s="199" t="s">
        <v>227</v>
      </c>
      <c r="B43" s="174" t="s">
        <v>228</v>
      </c>
      <c r="C43" s="174" t="s">
        <v>299</v>
      </c>
      <c r="E43" s="174" t="s">
        <v>228</v>
      </c>
      <c r="F43" s="200" t="s">
        <v>480</v>
      </c>
      <c r="H43" s="162" t="s">
        <v>867</v>
      </c>
      <c r="I43" s="138" t="s">
        <v>620</v>
      </c>
      <c r="J43" s="254"/>
      <c r="K43" s="254"/>
      <c r="O43" s="174" t="s">
        <v>99</v>
      </c>
      <c r="P43" s="174" t="s">
        <v>1373</v>
      </c>
      <c r="Q43" s="174" t="s">
        <v>100</v>
      </c>
    </row>
    <row r="44" spans="1:17" x14ac:dyDescent="0.2">
      <c r="A44" s="199" t="s">
        <v>282</v>
      </c>
      <c r="B44" s="174" t="s">
        <v>283</v>
      </c>
      <c r="C44" s="174" t="s">
        <v>299</v>
      </c>
      <c r="D44" s="34" t="s">
        <v>1396</v>
      </c>
      <c r="E44" s="174" t="s">
        <v>283</v>
      </c>
      <c r="F44" s="200" t="s">
        <v>564</v>
      </c>
      <c r="H44" s="162" t="s">
        <v>868</v>
      </c>
      <c r="I44" s="138" t="s">
        <v>620</v>
      </c>
      <c r="J44" s="254"/>
      <c r="K44" s="254"/>
      <c r="O44" s="174" t="s">
        <v>134</v>
      </c>
      <c r="P44" s="174" t="s">
        <v>925</v>
      </c>
      <c r="Q44" s="174" t="s">
        <v>135</v>
      </c>
    </row>
    <row r="45" spans="1:17" x14ac:dyDescent="0.2">
      <c r="A45" s="199" t="s">
        <v>1318</v>
      </c>
      <c r="B45" s="174" t="s">
        <v>1319</v>
      </c>
      <c r="C45" s="174" t="s">
        <v>299</v>
      </c>
      <c r="D45" s="175"/>
      <c r="E45" s="174" t="s">
        <v>1048</v>
      </c>
      <c r="F45" s="200" t="s">
        <v>521</v>
      </c>
      <c r="H45" s="162" t="s">
        <v>869</v>
      </c>
      <c r="I45" s="138" t="s">
        <v>620</v>
      </c>
      <c r="J45" s="254"/>
      <c r="K45" s="254"/>
      <c r="O45" s="174" t="s">
        <v>316</v>
      </c>
      <c r="P45" s="174" t="s">
        <v>926</v>
      </c>
      <c r="Q45" s="174" t="s">
        <v>135</v>
      </c>
    </row>
    <row r="46" spans="1:17" x14ac:dyDescent="0.2">
      <c r="A46" s="199" t="s">
        <v>1320</v>
      </c>
      <c r="B46" s="174" t="s">
        <v>1321</v>
      </c>
      <c r="C46" s="174" t="s">
        <v>299</v>
      </c>
      <c r="E46" s="174" t="s">
        <v>522</v>
      </c>
      <c r="F46" s="200" t="s">
        <v>523</v>
      </c>
      <c r="H46" s="162" t="s">
        <v>870</v>
      </c>
      <c r="I46" s="138" t="s">
        <v>620</v>
      </c>
      <c r="J46" s="254"/>
      <c r="K46" s="254"/>
      <c r="O46" s="174" t="s">
        <v>317</v>
      </c>
      <c r="P46" s="174" t="s">
        <v>927</v>
      </c>
      <c r="Q46" s="174" t="s">
        <v>135</v>
      </c>
    </row>
    <row r="47" spans="1:17" x14ac:dyDescent="0.2">
      <c r="A47" s="199" t="s">
        <v>82</v>
      </c>
      <c r="B47" s="174" t="s">
        <v>83</v>
      </c>
      <c r="C47" s="174" t="s">
        <v>299</v>
      </c>
      <c r="E47" s="174" t="s">
        <v>83</v>
      </c>
      <c r="F47" s="200" t="s">
        <v>524</v>
      </c>
      <c r="H47" s="162" t="s">
        <v>871</v>
      </c>
      <c r="I47" s="165" t="s">
        <v>357</v>
      </c>
      <c r="J47" s="254"/>
      <c r="K47" s="254"/>
      <c r="O47" s="176" t="s">
        <v>1374</v>
      </c>
      <c r="P47" s="174" t="s">
        <v>1375</v>
      </c>
      <c r="Q47" s="174" t="s">
        <v>135</v>
      </c>
    </row>
    <row r="48" spans="1:17" x14ac:dyDescent="0.2">
      <c r="A48" s="199" t="s">
        <v>232</v>
      </c>
      <c r="B48" s="174" t="s">
        <v>233</v>
      </c>
      <c r="C48" s="174" t="s">
        <v>299</v>
      </c>
      <c r="E48" s="174" t="s">
        <v>233</v>
      </c>
      <c r="F48" s="200" t="s">
        <v>586</v>
      </c>
      <c r="H48" s="162" t="s">
        <v>872</v>
      </c>
      <c r="I48" s="138" t="s">
        <v>620</v>
      </c>
      <c r="J48" s="254"/>
      <c r="K48" s="254"/>
      <c r="O48" s="174" t="s">
        <v>112</v>
      </c>
      <c r="P48" s="174" t="s">
        <v>318</v>
      </c>
      <c r="Q48" s="174" t="s">
        <v>112</v>
      </c>
    </row>
    <row r="49" spans="1:17" x14ac:dyDescent="0.2">
      <c r="A49" s="199" t="s">
        <v>84</v>
      </c>
      <c r="B49" s="174" t="s">
        <v>85</v>
      </c>
      <c r="C49" s="174" t="s">
        <v>299</v>
      </c>
      <c r="D49" s="34" t="s">
        <v>1401</v>
      </c>
      <c r="E49" s="174" t="s">
        <v>85</v>
      </c>
      <c r="F49" s="200" t="s">
        <v>525</v>
      </c>
      <c r="H49" s="163" t="s">
        <v>873</v>
      </c>
      <c r="I49" s="166" t="s">
        <v>620</v>
      </c>
      <c r="J49" s="254"/>
      <c r="K49" s="254"/>
      <c r="O49" s="174" t="s">
        <v>116</v>
      </c>
      <c r="P49" s="174" t="s">
        <v>319</v>
      </c>
      <c r="Q49" s="174" t="s">
        <v>112</v>
      </c>
    </row>
    <row r="50" spans="1:17" x14ac:dyDescent="0.2">
      <c r="A50" s="199" t="s">
        <v>1322</v>
      </c>
      <c r="B50" s="174" t="s">
        <v>520</v>
      </c>
      <c r="C50" s="174" t="s">
        <v>299</v>
      </c>
      <c r="D50" s="175"/>
      <c r="E50" s="174" t="s">
        <v>520</v>
      </c>
      <c r="F50" s="200" t="s">
        <v>521</v>
      </c>
      <c r="H50" s="160" t="s">
        <v>874</v>
      </c>
      <c r="I50" s="161" t="s">
        <v>620</v>
      </c>
      <c r="J50" s="254" t="s">
        <v>352</v>
      </c>
      <c r="K50" s="254" t="s">
        <v>59</v>
      </c>
      <c r="O50" s="174" t="s">
        <v>120</v>
      </c>
      <c r="P50" s="174" t="s">
        <v>320</v>
      </c>
      <c r="Q50" s="174" t="s">
        <v>112</v>
      </c>
    </row>
    <row r="51" spans="1:17" x14ac:dyDescent="0.2">
      <c r="A51" s="199" t="s">
        <v>236</v>
      </c>
      <c r="B51" s="174" t="s">
        <v>237</v>
      </c>
      <c r="C51" s="174" t="s">
        <v>299</v>
      </c>
      <c r="E51" s="174" t="s">
        <v>237</v>
      </c>
      <c r="F51" s="200" t="s">
        <v>588</v>
      </c>
      <c r="H51" s="162" t="s">
        <v>875</v>
      </c>
      <c r="I51" s="138" t="s">
        <v>620</v>
      </c>
      <c r="J51" s="254"/>
      <c r="K51" s="254"/>
      <c r="O51" s="174" t="s">
        <v>137</v>
      </c>
      <c r="P51" s="174" t="s">
        <v>1376</v>
      </c>
      <c r="Q51" s="174" t="s">
        <v>137</v>
      </c>
    </row>
    <row r="52" spans="1:17" x14ac:dyDescent="0.2">
      <c r="A52" s="199" t="s">
        <v>238</v>
      </c>
      <c r="B52" s="174" t="s">
        <v>239</v>
      </c>
      <c r="C52" s="174" t="s">
        <v>299</v>
      </c>
      <c r="D52" s="34" t="s">
        <v>1396</v>
      </c>
      <c r="E52" s="174" t="s">
        <v>239</v>
      </c>
      <c r="F52" s="200" t="s">
        <v>526</v>
      </c>
      <c r="H52" s="162" t="s">
        <v>876</v>
      </c>
      <c r="I52" s="138" t="s">
        <v>620</v>
      </c>
      <c r="J52" s="254"/>
      <c r="K52" s="254"/>
      <c r="O52" s="174" t="s">
        <v>123</v>
      </c>
      <c r="P52" s="174" t="s">
        <v>1377</v>
      </c>
      <c r="Q52" s="174" t="s">
        <v>123</v>
      </c>
    </row>
    <row r="53" spans="1:17" x14ac:dyDescent="0.2">
      <c r="A53" s="199" t="s">
        <v>284</v>
      </c>
      <c r="B53" s="174" t="s">
        <v>231</v>
      </c>
      <c r="C53" s="174" t="s">
        <v>299</v>
      </c>
      <c r="E53" s="174" t="s">
        <v>231</v>
      </c>
      <c r="F53" s="200" t="s">
        <v>589</v>
      </c>
      <c r="H53" s="162" t="s">
        <v>877</v>
      </c>
      <c r="I53" s="138" t="s">
        <v>620</v>
      </c>
      <c r="J53" s="254"/>
      <c r="K53" s="254"/>
      <c r="O53" s="174" t="s">
        <v>186</v>
      </c>
      <c r="P53" s="174" t="s">
        <v>188</v>
      </c>
      <c r="Q53" s="174" t="s">
        <v>187</v>
      </c>
    </row>
    <row r="54" spans="1:17" x14ac:dyDescent="0.2">
      <c r="A54" s="199" t="s">
        <v>79</v>
      </c>
      <c r="B54" s="174" t="s">
        <v>80</v>
      </c>
      <c r="C54" s="174" t="s">
        <v>299</v>
      </c>
      <c r="D54" s="34" t="s">
        <v>417</v>
      </c>
      <c r="E54" s="174" t="s">
        <v>80</v>
      </c>
      <c r="F54" s="200" t="s">
        <v>527</v>
      </c>
      <c r="H54" s="162" t="s">
        <v>878</v>
      </c>
      <c r="I54" s="138" t="s">
        <v>620</v>
      </c>
      <c r="J54" s="254"/>
      <c r="K54" s="254"/>
      <c r="O54" s="174" t="s">
        <v>852</v>
      </c>
      <c r="P54" s="174" t="s">
        <v>853</v>
      </c>
      <c r="Q54" s="174" t="s">
        <v>187</v>
      </c>
    </row>
    <row r="55" spans="1:17" x14ac:dyDescent="0.2">
      <c r="A55" s="199" t="s">
        <v>1323</v>
      </c>
      <c r="B55" s="174" t="s">
        <v>76</v>
      </c>
      <c r="C55" s="174" t="s">
        <v>299</v>
      </c>
      <c r="E55" s="174" t="s">
        <v>76</v>
      </c>
      <c r="F55" s="200" t="s">
        <v>135</v>
      </c>
      <c r="H55" s="162" t="s">
        <v>879</v>
      </c>
      <c r="I55" s="138" t="s">
        <v>620</v>
      </c>
      <c r="J55" s="254"/>
      <c r="K55" s="254"/>
      <c r="O55" s="174" t="s">
        <v>163</v>
      </c>
      <c r="P55" s="174" t="s">
        <v>164</v>
      </c>
      <c r="Q55" s="174" t="s">
        <v>163</v>
      </c>
    </row>
    <row r="56" spans="1:17" x14ac:dyDescent="0.2">
      <c r="A56" s="199" t="s">
        <v>86</v>
      </c>
      <c r="B56" s="174" t="s">
        <v>87</v>
      </c>
      <c r="C56" s="174" t="s">
        <v>299</v>
      </c>
      <c r="E56" s="174" t="s">
        <v>87</v>
      </c>
      <c r="F56" s="200" t="s">
        <v>528</v>
      </c>
      <c r="H56" s="162" t="s">
        <v>880</v>
      </c>
      <c r="I56" s="165" t="s">
        <v>357</v>
      </c>
      <c r="J56" s="254"/>
      <c r="K56" s="254"/>
      <c r="O56" s="174" t="s">
        <v>127</v>
      </c>
      <c r="P56" s="174" t="s">
        <v>321</v>
      </c>
      <c r="Q56" s="174" t="s">
        <v>128</v>
      </c>
    </row>
    <row r="57" spans="1:17" x14ac:dyDescent="0.2">
      <c r="A57" s="199" t="s">
        <v>89</v>
      </c>
      <c r="B57" s="174" t="s">
        <v>90</v>
      </c>
      <c r="C57" s="174" t="s">
        <v>299</v>
      </c>
      <c r="E57" s="174" t="s">
        <v>90</v>
      </c>
      <c r="F57" s="200" t="s">
        <v>529</v>
      </c>
      <c r="H57" s="162" t="s">
        <v>883</v>
      </c>
      <c r="I57" s="138" t="s">
        <v>620</v>
      </c>
      <c r="J57" s="254" t="s">
        <v>353</v>
      </c>
      <c r="K57" s="254"/>
      <c r="O57" s="176" t="s">
        <v>1378</v>
      </c>
      <c r="P57" s="174" t="s">
        <v>1379</v>
      </c>
      <c r="Q57" s="174" t="s">
        <v>1380</v>
      </c>
    </row>
    <row r="58" spans="1:17" x14ac:dyDescent="0.2">
      <c r="A58" s="199" t="s">
        <v>92</v>
      </c>
      <c r="B58" s="174" t="s">
        <v>93</v>
      </c>
      <c r="C58" s="174" t="s">
        <v>299</v>
      </c>
      <c r="E58" s="174" t="s">
        <v>93</v>
      </c>
      <c r="F58" s="200" t="s">
        <v>530</v>
      </c>
      <c r="H58" s="162" t="s">
        <v>881</v>
      </c>
      <c r="I58" s="138" t="s">
        <v>620</v>
      </c>
      <c r="J58" s="254"/>
      <c r="K58" s="254"/>
      <c r="O58" s="174" t="s">
        <v>322</v>
      </c>
      <c r="P58" s="174" t="s">
        <v>1250</v>
      </c>
      <c r="Q58" s="174" t="s">
        <v>24</v>
      </c>
    </row>
    <row r="59" spans="1:17" x14ac:dyDescent="0.2">
      <c r="A59" s="199" t="s">
        <v>1324</v>
      </c>
      <c r="B59" s="174" t="s">
        <v>95</v>
      </c>
      <c r="C59" s="174" t="s">
        <v>299</v>
      </c>
      <c r="E59" s="174" t="s">
        <v>95</v>
      </c>
      <c r="F59" s="200" t="s">
        <v>531</v>
      </c>
      <c r="H59" s="162" t="s">
        <v>882</v>
      </c>
      <c r="I59" s="138" t="s">
        <v>620</v>
      </c>
      <c r="J59" s="254"/>
      <c r="K59" s="254"/>
      <c r="O59" s="179" t="s">
        <v>64</v>
      </c>
      <c r="P59" s="180" t="s">
        <v>928</v>
      </c>
      <c r="Q59" s="180"/>
    </row>
    <row r="60" spans="1:17" x14ac:dyDescent="0.2">
      <c r="A60" s="199" t="s">
        <v>246</v>
      </c>
      <c r="B60" s="174" t="s">
        <v>247</v>
      </c>
      <c r="C60" s="174" t="s">
        <v>299</v>
      </c>
      <c r="E60" s="174" t="s">
        <v>247</v>
      </c>
      <c r="F60" s="200" t="s">
        <v>596</v>
      </c>
      <c r="H60" s="162" t="s">
        <v>884</v>
      </c>
      <c r="I60" s="138" t="s">
        <v>620</v>
      </c>
      <c r="J60" s="254"/>
      <c r="K60" s="254"/>
    </row>
    <row r="61" spans="1:17" x14ac:dyDescent="0.2">
      <c r="A61" s="199" t="s">
        <v>97</v>
      </c>
      <c r="B61" s="174" t="s">
        <v>98</v>
      </c>
      <c r="C61" s="174" t="s">
        <v>299</v>
      </c>
      <c r="E61" s="174" t="s">
        <v>98</v>
      </c>
      <c r="F61" s="200" t="s">
        <v>532</v>
      </c>
      <c r="H61" s="163" t="s">
        <v>885</v>
      </c>
      <c r="I61" s="166" t="s">
        <v>620</v>
      </c>
      <c r="J61" s="254"/>
      <c r="K61" s="254"/>
      <c r="O61" s="263" t="s">
        <v>844</v>
      </c>
      <c r="P61" s="263"/>
    </row>
    <row r="62" spans="1:17" x14ac:dyDescent="0.2">
      <c r="A62" s="199" t="s">
        <v>101</v>
      </c>
      <c r="B62" s="174" t="s">
        <v>102</v>
      </c>
      <c r="C62" s="174" t="s">
        <v>299</v>
      </c>
      <c r="D62" s="34" t="s">
        <v>1402</v>
      </c>
      <c r="E62" s="174" t="s">
        <v>102</v>
      </c>
      <c r="F62" s="200" t="s">
        <v>533</v>
      </c>
      <c r="H62" s="160" t="s">
        <v>886</v>
      </c>
      <c r="I62" s="161" t="s">
        <v>620</v>
      </c>
      <c r="J62" s="257" t="s">
        <v>1395</v>
      </c>
      <c r="K62" s="254" t="s">
        <v>36</v>
      </c>
      <c r="O62" s="145" t="s">
        <v>198</v>
      </c>
      <c r="P62" s="147" t="s">
        <v>199</v>
      </c>
    </row>
    <row r="63" spans="1:17" x14ac:dyDescent="0.2">
      <c r="A63" s="199" t="s">
        <v>248</v>
      </c>
      <c r="B63" s="174" t="s">
        <v>249</v>
      </c>
      <c r="C63" s="174" t="s">
        <v>299</v>
      </c>
      <c r="E63" s="174" t="s">
        <v>249</v>
      </c>
      <c r="F63" s="200" t="s">
        <v>534</v>
      </c>
      <c r="H63" s="162" t="s">
        <v>887</v>
      </c>
      <c r="I63" s="138" t="s">
        <v>620</v>
      </c>
      <c r="J63" s="258"/>
      <c r="K63" s="254"/>
      <c r="O63" s="148" t="s">
        <v>75</v>
      </c>
      <c r="P63" s="167" t="s">
        <v>216</v>
      </c>
    </row>
    <row r="64" spans="1:17" x14ac:dyDescent="0.2">
      <c r="A64" s="199" t="s">
        <v>105</v>
      </c>
      <c r="B64" s="174" t="s">
        <v>106</v>
      </c>
      <c r="C64" s="174" t="s">
        <v>299</v>
      </c>
      <c r="E64" s="174" t="s">
        <v>106</v>
      </c>
      <c r="F64" s="200" t="s">
        <v>535</v>
      </c>
      <c r="H64" s="162" t="s">
        <v>888</v>
      </c>
      <c r="I64" s="138" t="s">
        <v>620</v>
      </c>
      <c r="J64" s="258"/>
      <c r="K64" s="254"/>
      <c r="O64" s="148" t="s">
        <v>206</v>
      </c>
      <c r="P64" s="167" t="s">
        <v>207</v>
      </c>
    </row>
    <row r="65" spans="1:16" x14ac:dyDescent="0.2">
      <c r="A65" s="199" t="s">
        <v>108</v>
      </c>
      <c r="B65" s="174" t="s">
        <v>66</v>
      </c>
      <c r="C65" s="174" t="s">
        <v>299</v>
      </c>
      <c r="E65" s="174" t="s">
        <v>66</v>
      </c>
      <c r="F65" s="200" t="s">
        <v>536</v>
      </c>
      <c r="H65" s="162" t="s">
        <v>889</v>
      </c>
      <c r="I65" s="138" t="s">
        <v>620</v>
      </c>
      <c r="J65" s="258"/>
      <c r="K65" s="254"/>
      <c r="O65" s="151" t="s">
        <v>211</v>
      </c>
      <c r="P65" s="168" t="s">
        <v>212</v>
      </c>
    </row>
    <row r="66" spans="1:16" x14ac:dyDescent="0.2">
      <c r="A66" s="199" t="s">
        <v>276</v>
      </c>
      <c r="B66" s="174" t="s">
        <v>277</v>
      </c>
      <c r="C66" s="174" t="s">
        <v>299</v>
      </c>
      <c r="E66" s="174" t="s">
        <v>277</v>
      </c>
      <c r="F66" s="200" t="s">
        <v>537</v>
      </c>
      <c r="H66" s="162" t="s">
        <v>890</v>
      </c>
      <c r="I66" s="138" t="s">
        <v>620</v>
      </c>
      <c r="J66" s="258"/>
      <c r="K66" s="254"/>
    </row>
    <row r="67" spans="1:16" x14ac:dyDescent="0.2">
      <c r="A67" s="199" t="s">
        <v>251</v>
      </c>
      <c r="B67" s="174" t="s">
        <v>252</v>
      </c>
      <c r="C67" s="174" t="s">
        <v>299</v>
      </c>
      <c r="E67" s="174" t="s">
        <v>252</v>
      </c>
      <c r="F67" s="200" t="s">
        <v>538</v>
      </c>
      <c r="H67" s="162" t="s">
        <v>891</v>
      </c>
      <c r="I67" s="138" t="s">
        <v>620</v>
      </c>
      <c r="J67" s="258"/>
      <c r="K67" s="254"/>
    </row>
    <row r="68" spans="1:16" x14ac:dyDescent="0.2">
      <c r="A68" s="199" t="s">
        <v>1325</v>
      </c>
      <c r="B68" s="174" t="s">
        <v>1326</v>
      </c>
      <c r="C68" s="174" t="s">
        <v>299</v>
      </c>
      <c r="D68" s="175"/>
      <c r="E68" s="174" t="s">
        <v>1327</v>
      </c>
      <c r="F68" s="200" t="s">
        <v>521</v>
      </c>
      <c r="H68" s="162" t="s">
        <v>892</v>
      </c>
      <c r="I68" s="138" t="s">
        <v>620</v>
      </c>
      <c r="J68" s="258"/>
      <c r="K68" s="254"/>
      <c r="O68" s="262" t="s">
        <v>1069</v>
      </c>
      <c r="P68" s="262"/>
    </row>
    <row r="69" spans="1:16" x14ac:dyDescent="0.2">
      <c r="A69" s="199" t="s">
        <v>253</v>
      </c>
      <c r="B69" s="174" t="s">
        <v>254</v>
      </c>
      <c r="C69" s="174" t="s">
        <v>299</v>
      </c>
      <c r="E69" s="174" t="s">
        <v>254</v>
      </c>
      <c r="F69" s="200" t="s">
        <v>429</v>
      </c>
      <c r="H69" s="162" t="s">
        <v>893</v>
      </c>
      <c r="I69" s="165" t="s">
        <v>357</v>
      </c>
      <c r="J69" s="258"/>
      <c r="K69" s="254"/>
      <c r="O69" s="145" t="s">
        <v>1246</v>
      </c>
      <c r="P69" s="147" t="s">
        <v>274</v>
      </c>
    </row>
    <row r="70" spans="1:16" x14ac:dyDescent="0.2">
      <c r="A70" s="199" t="s">
        <v>110</v>
      </c>
      <c r="B70" s="174" t="s">
        <v>111</v>
      </c>
      <c r="C70" s="174" t="s">
        <v>299</v>
      </c>
      <c r="D70" s="34" t="s">
        <v>1396</v>
      </c>
      <c r="E70" s="174" t="s">
        <v>111</v>
      </c>
      <c r="F70" s="200" t="s">
        <v>539</v>
      </c>
      <c r="H70" s="162" t="s">
        <v>894</v>
      </c>
      <c r="I70" s="138" t="s">
        <v>620</v>
      </c>
      <c r="J70" s="258"/>
      <c r="K70" s="254"/>
      <c r="O70" s="148" t="s">
        <v>929</v>
      </c>
      <c r="P70" s="169" t="s">
        <v>1070</v>
      </c>
    </row>
    <row r="71" spans="1:16" x14ac:dyDescent="0.2">
      <c r="A71" s="199" t="s">
        <v>113</v>
      </c>
      <c r="B71" s="174" t="s">
        <v>114</v>
      </c>
      <c r="C71" s="174" t="s">
        <v>299</v>
      </c>
      <c r="E71" s="174" t="s">
        <v>114</v>
      </c>
      <c r="F71" s="200" t="s">
        <v>540</v>
      </c>
      <c r="H71" s="162" t="s">
        <v>895</v>
      </c>
      <c r="I71" s="138" t="s">
        <v>620</v>
      </c>
      <c r="J71" s="258"/>
      <c r="K71" s="254"/>
      <c r="O71" s="182" t="s">
        <v>1382</v>
      </c>
      <c r="P71" s="183" t="s">
        <v>1383</v>
      </c>
    </row>
    <row r="72" spans="1:16" x14ac:dyDescent="0.2">
      <c r="A72" s="199" t="s">
        <v>117</v>
      </c>
      <c r="B72" s="174" t="s">
        <v>118</v>
      </c>
      <c r="C72" s="174" t="s">
        <v>299</v>
      </c>
      <c r="E72" s="174" t="s">
        <v>118</v>
      </c>
      <c r="F72" s="200" t="s">
        <v>541</v>
      </c>
      <c r="H72" s="162" t="s">
        <v>896</v>
      </c>
      <c r="I72" s="138" t="s">
        <v>620</v>
      </c>
      <c r="J72" s="258"/>
      <c r="K72" s="254"/>
    </row>
    <row r="73" spans="1:16" x14ac:dyDescent="0.2">
      <c r="A73" s="199" t="s">
        <v>1328</v>
      </c>
      <c r="B73" s="174" t="s">
        <v>121</v>
      </c>
      <c r="C73" s="174" t="s">
        <v>299</v>
      </c>
      <c r="D73" s="34" t="s">
        <v>417</v>
      </c>
      <c r="E73" s="174" t="s">
        <v>121</v>
      </c>
      <c r="F73" s="200" t="s">
        <v>542</v>
      </c>
      <c r="H73" s="162" t="s">
        <v>897</v>
      </c>
      <c r="I73" s="138" t="s">
        <v>620</v>
      </c>
      <c r="J73" s="258"/>
      <c r="K73" s="254"/>
    </row>
    <row r="74" spans="1:16" x14ac:dyDescent="0.2">
      <c r="A74" s="199" t="s">
        <v>1329</v>
      </c>
      <c r="B74" s="174" t="s">
        <v>1330</v>
      </c>
      <c r="C74" s="174" t="s">
        <v>299</v>
      </c>
      <c r="D74" s="175"/>
      <c r="E74" s="174" t="s">
        <v>1331</v>
      </c>
      <c r="F74" s="200" t="s">
        <v>521</v>
      </c>
      <c r="H74" s="162" t="s">
        <v>898</v>
      </c>
      <c r="I74" s="138" t="s">
        <v>620</v>
      </c>
      <c r="J74" s="258"/>
      <c r="K74" s="254"/>
      <c r="O74" s="262" t="s">
        <v>846</v>
      </c>
      <c r="P74" s="262"/>
    </row>
    <row r="75" spans="1:16" x14ac:dyDescent="0.2">
      <c r="A75" s="199" t="s">
        <v>258</v>
      </c>
      <c r="B75" s="174" t="s">
        <v>259</v>
      </c>
      <c r="C75" s="174" t="s">
        <v>299</v>
      </c>
      <c r="D75" s="34" t="s">
        <v>1403</v>
      </c>
      <c r="E75" s="174" t="s">
        <v>259</v>
      </c>
      <c r="F75" s="200" t="s">
        <v>543</v>
      </c>
      <c r="H75" s="162" t="s">
        <v>899</v>
      </c>
      <c r="I75" s="138" t="s">
        <v>620</v>
      </c>
      <c r="J75" s="258"/>
      <c r="K75" s="254"/>
      <c r="O75" s="170" t="s">
        <v>1247</v>
      </c>
      <c r="P75" s="171" t="s">
        <v>271</v>
      </c>
    </row>
    <row r="76" spans="1:16" x14ac:dyDescent="0.2">
      <c r="A76" s="199" t="s">
        <v>261</v>
      </c>
      <c r="B76" s="174" t="s">
        <v>262</v>
      </c>
      <c r="C76" s="174" t="s">
        <v>299</v>
      </c>
      <c r="E76" s="174" t="s">
        <v>262</v>
      </c>
      <c r="F76" s="200" t="s">
        <v>544</v>
      </c>
      <c r="H76" s="162" t="s">
        <v>900</v>
      </c>
      <c r="I76" s="138" t="s">
        <v>620</v>
      </c>
      <c r="J76" s="258"/>
      <c r="K76" s="254"/>
      <c r="O76" s="105" t="s">
        <v>77</v>
      </c>
      <c r="P76" s="106" t="s">
        <v>11</v>
      </c>
    </row>
    <row r="77" spans="1:16" x14ac:dyDescent="0.2">
      <c r="A77" s="199" t="s">
        <v>124</v>
      </c>
      <c r="B77" s="174" t="s">
        <v>125</v>
      </c>
      <c r="C77" s="174" t="s">
        <v>299</v>
      </c>
      <c r="D77" s="34" t="s">
        <v>905</v>
      </c>
      <c r="E77" s="174" t="s">
        <v>125</v>
      </c>
      <c r="F77" s="200" t="s">
        <v>545</v>
      </c>
      <c r="H77" s="163" t="s">
        <v>901</v>
      </c>
      <c r="I77" s="166" t="s">
        <v>620</v>
      </c>
      <c r="J77" s="259"/>
      <c r="K77" s="254"/>
      <c r="O77" s="105" t="s">
        <v>323</v>
      </c>
      <c r="P77" s="106" t="s">
        <v>272</v>
      </c>
    </row>
    <row r="78" spans="1:16" x14ac:dyDescent="0.2">
      <c r="A78" s="199" t="s">
        <v>1332</v>
      </c>
      <c r="B78" s="174" t="s">
        <v>264</v>
      </c>
      <c r="C78" s="174" t="s">
        <v>299</v>
      </c>
      <c r="E78" s="174" t="s">
        <v>264</v>
      </c>
      <c r="F78" s="200" t="s">
        <v>546</v>
      </c>
      <c r="H78" s="160" t="s">
        <v>190</v>
      </c>
      <c r="I78" s="161" t="s">
        <v>620</v>
      </c>
      <c r="J78" s="254" t="s">
        <v>354</v>
      </c>
      <c r="K78" s="255" t="s">
        <v>67</v>
      </c>
      <c r="O78" s="107" t="s">
        <v>299</v>
      </c>
      <c r="P78" s="108" t="s">
        <v>273</v>
      </c>
    </row>
    <row r="79" spans="1:16" x14ac:dyDescent="0.2">
      <c r="A79" s="199" t="s">
        <v>418</v>
      </c>
      <c r="B79" s="174" t="s">
        <v>265</v>
      </c>
      <c r="C79" s="174" t="s">
        <v>299</v>
      </c>
      <c r="E79" s="174" t="s">
        <v>265</v>
      </c>
      <c r="F79" s="200" t="s">
        <v>547</v>
      </c>
      <c r="H79" s="162" t="s">
        <v>192</v>
      </c>
      <c r="I79" s="138" t="s">
        <v>620</v>
      </c>
      <c r="J79" s="254"/>
      <c r="K79" s="255"/>
    </row>
    <row r="80" spans="1:16" x14ac:dyDescent="0.2">
      <c r="A80" s="199" t="s">
        <v>129</v>
      </c>
      <c r="B80" s="174" t="s">
        <v>130</v>
      </c>
      <c r="C80" s="174" t="s">
        <v>299</v>
      </c>
      <c r="D80" s="34" t="s">
        <v>419</v>
      </c>
      <c r="E80" s="174" t="s">
        <v>130</v>
      </c>
      <c r="F80" s="200" t="s">
        <v>548</v>
      </c>
      <c r="H80" s="162" t="s">
        <v>194</v>
      </c>
      <c r="I80" s="138" t="s">
        <v>620</v>
      </c>
      <c r="J80" s="254"/>
      <c r="K80" s="255"/>
    </row>
    <row r="81" spans="1:16" x14ac:dyDescent="0.2">
      <c r="A81" s="199" t="s">
        <v>132</v>
      </c>
      <c r="B81" s="174" t="s">
        <v>74</v>
      </c>
      <c r="C81" s="174" t="s">
        <v>299</v>
      </c>
      <c r="E81" s="174" t="s">
        <v>74</v>
      </c>
      <c r="F81" s="200" t="s">
        <v>137</v>
      </c>
      <c r="H81" s="162" t="s">
        <v>197</v>
      </c>
      <c r="I81" s="138" t="s">
        <v>620</v>
      </c>
      <c r="J81" s="254"/>
      <c r="K81" s="255"/>
      <c r="O81" s="262" t="s">
        <v>1071</v>
      </c>
      <c r="P81" s="262"/>
    </row>
    <row r="82" spans="1:16" x14ac:dyDescent="0.2">
      <c r="A82" s="199" t="s">
        <v>1384</v>
      </c>
      <c r="B82" s="174" t="s">
        <v>136</v>
      </c>
      <c r="C82" s="174" t="s">
        <v>299</v>
      </c>
      <c r="E82" s="174" t="s">
        <v>136</v>
      </c>
      <c r="F82" s="200" t="s">
        <v>100</v>
      </c>
      <c r="H82" s="162" t="s">
        <v>202</v>
      </c>
      <c r="I82" s="138" t="s">
        <v>620</v>
      </c>
      <c r="J82" s="254"/>
      <c r="K82" s="255"/>
      <c r="O82" s="170" t="s">
        <v>1248</v>
      </c>
      <c r="P82" s="171" t="s">
        <v>378</v>
      </c>
    </row>
    <row r="83" spans="1:16" x14ac:dyDescent="0.2">
      <c r="A83" s="199" t="s">
        <v>1333</v>
      </c>
      <c r="B83" s="174" t="s">
        <v>1334</v>
      </c>
      <c r="C83" s="174" t="s">
        <v>299</v>
      </c>
      <c r="E83" s="174" t="s">
        <v>550</v>
      </c>
      <c r="F83" s="200" t="s">
        <v>551</v>
      </c>
      <c r="H83" s="162" t="s">
        <v>902</v>
      </c>
      <c r="I83" s="138" t="s">
        <v>620</v>
      </c>
      <c r="J83" s="254"/>
      <c r="K83" s="255"/>
      <c r="O83" s="105" t="s">
        <v>405</v>
      </c>
      <c r="P83" s="106" t="s">
        <v>1072</v>
      </c>
    </row>
    <row r="84" spans="1:16" x14ac:dyDescent="0.2">
      <c r="A84" s="199" t="s">
        <v>1335</v>
      </c>
      <c r="B84" s="174" t="s">
        <v>1336</v>
      </c>
      <c r="C84" s="174" t="s">
        <v>299</v>
      </c>
      <c r="E84" s="174" t="s">
        <v>552</v>
      </c>
      <c r="F84" s="200" t="s">
        <v>553</v>
      </c>
      <c r="H84" s="162" t="s">
        <v>210</v>
      </c>
      <c r="I84" s="138" t="s">
        <v>620</v>
      </c>
      <c r="J84" s="254" t="s">
        <v>355</v>
      </c>
      <c r="K84" s="255"/>
      <c r="O84" s="105" t="s">
        <v>406</v>
      </c>
      <c r="P84" s="106" t="s">
        <v>407</v>
      </c>
    </row>
    <row r="85" spans="1:16" x14ac:dyDescent="0.2">
      <c r="A85" s="199" t="s">
        <v>1337</v>
      </c>
      <c r="B85" s="174" t="s">
        <v>1338</v>
      </c>
      <c r="C85" s="174" t="s">
        <v>299</v>
      </c>
      <c r="E85" s="174" t="s">
        <v>554</v>
      </c>
      <c r="F85" s="200" t="s">
        <v>555</v>
      </c>
      <c r="H85" s="162" t="s">
        <v>215</v>
      </c>
      <c r="I85" s="138" t="s">
        <v>620</v>
      </c>
      <c r="J85" s="254"/>
      <c r="K85" s="255"/>
      <c r="O85" s="105" t="s">
        <v>1393</v>
      </c>
      <c r="P85" s="106" t="s">
        <v>1394</v>
      </c>
    </row>
    <row r="86" spans="1:16" x14ac:dyDescent="0.2">
      <c r="A86" s="199" t="s">
        <v>1339</v>
      </c>
      <c r="B86" s="174" t="s">
        <v>1340</v>
      </c>
      <c r="C86" s="174" t="s">
        <v>299</v>
      </c>
      <c r="D86" s="34" t="s">
        <v>905</v>
      </c>
      <c r="E86" s="174" t="s">
        <v>556</v>
      </c>
      <c r="F86" s="200" t="s">
        <v>557</v>
      </c>
      <c r="H86" s="163" t="s">
        <v>205</v>
      </c>
      <c r="I86" s="164" t="s">
        <v>357</v>
      </c>
      <c r="J86" s="173" t="s">
        <v>356</v>
      </c>
      <c r="K86" s="255"/>
      <c r="O86" s="105" t="s">
        <v>409</v>
      </c>
      <c r="P86" s="106" t="s">
        <v>410</v>
      </c>
    </row>
    <row r="87" spans="1:16" x14ac:dyDescent="0.2">
      <c r="A87" s="199" t="s">
        <v>138</v>
      </c>
      <c r="B87" s="174" t="s">
        <v>138</v>
      </c>
      <c r="C87" s="174" t="s">
        <v>299</v>
      </c>
      <c r="D87" s="34" t="s">
        <v>420</v>
      </c>
      <c r="E87" s="174" t="s">
        <v>138</v>
      </c>
      <c r="F87" s="200" t="s">
        <v>549</v>
      </c>
      <c r="H87" s="160" t="s">
        <v>190</v>
      </c>
      <c r="I87" s="161" t="s">
        <v>620</v>
      </c>
      <c r="J87" s="254" t="s">
        <v>1352</v>
      </c>
      <c r="K87" s="255" t="s">
        <v>1353</v>
      </c>
      <c r="O87" s="107" t="s">
        <v>408</v>
      </c>
      <c r="P87" s="108" t="s">
        <v>411</v>
      </c>
    </row>
    <row r="88" spans="1:16" x14ac:dyDescent="0.2">
      <c r="A88" s="199" t="s">
        <v>142</v>
      </c>
      <c r="B88" s="174" t="s">
        <v>143</v>
      </c>
      <c r="C88" s="174" t="s">
        <v>299</v>
      </c>
      <c r="E88" s="174" t="s">
        <v>143</v>
      </c>
      <c r="F88" s="200" t="s">
        <v>558</v>
      </c>
      <c r="H88" s="162" t="s">
        <v>192</v>
      </c>
      <c r="I88" s="138" t="s">
        <v>620</v>
      </c>
      <c r="J88" s="254"/>
      <c r="K88" s="255"/>
    </row>
    <row r="89" spans="1:16" x14ac:dyDescent="0.2">
      <c r="A89" s="199" t="s">
        <v>165</v>
      </c>
      <c r="B89" s="174" t="s">
        <v>166</v>
      </c>
      <c r="C89" s="174" t="s">
        <v>299</v>
      </c>
      <c r="D89" s="34" t="s">
        <v>1405</v>
      </c>
      <c r="E89" s="174" t="s">
        <v>166</v>
      </c>
      <c r="F89" s="200" t="s">
        <v>560</v>
      </c>
      <c r="H89" s="162" t="s">
        <v>194</v>
      </c>
      <c r="I89" s="138" t="s">
        <v>620</v>
      </c>
      <c r="J89" s="254"/>
      <c r="K89" s="255"/>
    </row>
    <row r="90" spans="1:16" ht="12.25" thickBot="1" x14ac:dyDescent="0.25">
      <c r="A90" s="201" t="s">
        <v>1341</v>
      </c>
      <c r="B90" s="177" t="s">
        <v>1342</v>
      </c>
      <c r="C90" s="177" t="s">
        <v>299</v>
      </c>
      <c r="D90" s="197"/>
      <c r="E90" s="177" t="s">
        <v>1343</v>
      </c>
      <c r="F90" s="202" t="s">
        <v>521</v>
      </c>
      <c r="H90" s="162" t="s">
        <v>197</v>
      </c>
      <c r="I90" s="138" t="s">
        <v>620</v>
      </c>
      <c r="J90" s="254"/>
      <c r="K90" s="255"/>
      <c r="O90" s="262" t="s">
        <v>842</v>
      </c>
      <c r="P90" s="262"/>
    </row>
    <row r="91" spans="1:16" x14ac:dyDescent="0.2">
      <c r="A91" s="199" t="s">
        <v>336</v>
      </c>
      <c r="B91" s="174" t="s">
        <v>337</v>
      </c>
      <c r="C91" s="174" t="s">
        <v>306</v>
      </c>
      <c r="E91" s="174" t="s">
        <v>337</v>
      </c>
      <c r="F91" s="200" t="s">
        <v>561</v>
      </c>
      <c r="H91" s="162" t="s">
        <v>202</v>
      </c>
      <c r="I91" s="138" t="s">
        <v>620</v>
      </c>
      <c r="J91" s="254"/>
      <c r="K91" s="255"/>
      <c r="O91" s="170" t="s">
        <v>412</v>
      </c>
      <c r="P91" s="171" t="s">
        <v>641</v>
      </c>
    </row>
    <row r="92" spans="1:16" x14ac:dyDescent="0.2">
      <c r="A92" s="199" t="s">
        <v>171</v>
      </c>
      <c r="B92" s="174" t="s">
        <v>172</v>
      </c>
      <c r="C92" s="174" t="s">
        <v>306</v>
      </c>
      <c r="E92" s="174" t="s">
        <v>562</v>
      </c>
      <c r="F92" s="200" t="s">
        <v>178</v>
      </c>
      <c r="H92" s="162" t="s">
        <v>902</v>
      </c>
      <c r="I92" s="138" t="s">
        <v>620</v>
      </c>
      <c r="J92" s="254"/>
      <c r="K92" s="255"/>
      <c r="O92" s="105" t="s">
        <v>642</v>
      </c>
      <c r="P92" s="106" t="s">
        <v>643</v>
      </c>
    </row>
    <row r="93" spans="1:16" x14ac:dyDescent="0.2">
      <c r="A93" s="199" t="s">
        <v>175</v>
      </c>
      <c r="B93" s="174" t="s">
        <v>176</v>
      </c>
      <c r="C93" s="174" t="s">
        <v>306</v>
      </c>
      <c r="E93" s="174" t="s">
        <v>176</v>
      </c>
      <c r="F93" s="200" t="s">
        <v>590</v>
      </c>
      <c r="H93" s="162" t="s">
        <v>205</v>
      </c>
      <c r="I93" s="165" t="s">
        <v>357</v>
      </c>
      <c r="J93" s="254"/>
      <c r="K93" s="255"/>
      <c r="O93" s="107" t="s">
        <v>644</v>
      </c>
      <c r="P93" s="108" t="s">
        <v>645</v>
      </c>
    </row>
    <row r="94" spans="1:16" ht="12.25" thickBot="1" x14ac:dyDescent="0.25">
      <c r="A94" s="201" t="s">
        <v>308</v>
      </c>
      <c r="B94" s="177" t="s">
        <v>309</v>
      </c>
      <c r="C94" s="177" t="s">
        <v>306</v>
      </c>
      <c r="D94" s="203"/>
      <c r="E94" s="177" t="s">
        <v>309</v>
      </c>
      <c r="F94" s="202" t="s">
        <v>565</v>
      </c>
      <c r="H94" s="162" t="s">
        <v>210</v>
      </c>
      <c r="I94" s="138" t="s">
        <v>620</v>
      </c>
      <c r="J94" s="254"/>
      <c r="K94" s="255"/>
    </row>
    <row r="95" spans="1:16" x14ac:dyDescent="0.2">
      <c r="A95" s="199" t="s">
        <v>930</v>
      </c>
      <c r="B95" s="174" t="s">
        <v>931</v>
      </c>
      <c r="C95" s="174" t="s">
        <v>307</v>
      </c>
      <c r="E95" s="174" t="s">
        <v>931</v>
      </c>
      <c r="F95" s="200" t="s">
        <v>932</v>
      </c>
      <c r="H95" s="163" t="s">
        <v>215</v>
      </c>
      <c r="I95" s="166" t="s">
        <v>620</v>
      </c>
      <c r="J95" s="254"/>
      <c r="K95" s="255"/>
    </row>
    <row r="96" spans="1:16" x14ac:dyDescent="0.2">
      <c r="A96" s="199" t="s">
        <v>300</v>
      </c>
      <c r="B96" s="174" t="s">
        <v>152</v>
      </c>
      <c r="C96" s="174" t="s">
        <v>307</v>
      </c>
      <c r="E96" s="174" t="s">
        <v>152</v>
      </c>
      <c r="F96" s="200" t="s">
        <v>566</v>
      </c>
      <c r="H96" s="160" t="s">
        <v>190</v>
      </c>
      <c r="I96" s="161" t="s">
        <v>620</v>
      </c>
      <c r="J96" s="254" t="s">
        <v>1354</v>
      </c>
      <c r="K96" s="255" t="s">
        <v>1355</v>
      </c>
      <c r="O96" s="262" t="s">
        <v>843</v>
      </c>
      <c r="P96" s="262"/>
    </row>
    <row r="97" spans="1:17" x14ac:dyDescent="0.2">
      <c r="A97" s="199" t="s">
        <v>182</v>
      </c>
      <c r="B97" s="174" t="s">
        <v>183</v>
      </c>
      <c r="C97" s="174" t="s">
        <v>307</v>
      </c>
      <c r="E97" s="174" t="s">
        <v>183</v>
      </c>
      <c r="F97" s="200" t="s">
        <v>567</v>
      </c>
      <c r="H97" s="162" t="s">
        <v>192</v>
      </c>
      <c r="I97" s="138" t="s">
        <v>620</v>
      </c>
      <c r="J97" s="254"/>
      <c r="K97" s="255"/>
      <c r="O97" s="103" t="s">
        <v>646</v>
      </c>
      <c r="P97" s="104" t="s">
        <v>1061</v>
      </c>
      <c r="Q97" s="137" t="s">
        <v>1253</v>
      </c>
    </row>
    <row r="98" spans="1:17" x14ac:dyDescent="0.2">
      <c r="A98" s="199" t="s">
        <v>184</v>
      </c>
      <c r="B98" s="174" t="s">
        <v>185</v>
      </c>
      <c r="C98" s="174" t="s">
        <v>307</v>
      </c>
      <c r="E98" s="174" t="s">
        <v>185</v>
      </c>
      <c r="F98" s="200" t="s">
        <v>568</v>
      </c>
      <c r="H98" s="162" t="s">
        <v>194</v>
      </c>
      <c r="I98" s="138" t="s">
        <v>620</v>
      </c>
      <c r="J98" s="254"/>
      <c r="K98" s="255"/>
      <c r="O98" s="105" t="s">
        <v>1062</v>
      </c>
      <c r="P98" s="106" t="s">
        <v>1063</v>
      </c>
      <c r="Q98" s="137" t="s">
        <v>1254</v>
      </c>
    </row>
    <row r="99" spans="1:17" x14ac:dyDescent="0.2">
      <c r="A99" s="199" t="s">
        <v>278</v>
      </c>
      <c r="B99" s="174" t="s">
        <v>189</v>
      </c>
      <c r="C99" s="174" t="s">
        <v>307</v>
      </c>
      <c r="E99" s="174" t="s">
        <v>189</v>
      </c>
      <c r="F99" s="200" t="s">
        <v>569</v>
      </c>
      <c r="H99" s="162" t="s">
        <v>197</v>
      </c>
      <c r="I99" s="138" t="s">
        <v>620</v>
      </c>
      <c r="J99" s="254"/>
      <c r="K99" s="255"/>
      <c r="O99" s="105" t="s">
        <v>1064</v>
      </c>
      <c r="P99" s="106" t="s">
        <v>1065</v>
      </c>
      <c r="Q99" s="137" t="s">
        <v>1255</v>
      </c>
    </row>
    <row r="100" spans="1:17" x14ac:dyDescent="0.2">
      <c r="A100" s="199" t="s">
        <v>933</v>
      </c>
      <c r="B100" s="174" t="s">
        <v>934</v>
      </c>
      <c r="C100" s="174" t="s">
        <v>307</v>
      </c>
      <c r="E100" s="174" t="s">
        <v>934</v>
      </c>
      <c r="F100" s="200" t="s">
        <v>935</v>
      </c>
      <c r="H100" s="162" t="s">
        <v>202</v>
      </c>
      <c r="I100" s="138" t="s">
        <v>620</v>
      </c>
      <c r="J100" s="254"/>
      <c r="K100" s="255"/>
      <c r="O100" s="105" t="s">
        <v>647</v>
      </c>
      <c r="P100" s="106" t="s">
        <v>1066</v>
      </c>
      <c r="Q100" s="137" t="s">
        <v>1256</v>
      </c>
    </row>
    <row r="101" spans="1:17" x14ac:dyDescent="0.2">
      <c r="A101" s="199" t="s">
        <v>301</v>
      </c>
      <c r="B101" s="174" t="s">
        <v>302</v>
      </c>
      <c r="C101" s="174" t="s">
        <v>307</v>
      </c>
      <c r="E101" s="174" t="s">
        <v>302</v>
      </c>
      <c r="F101" s="200" t="s">
        <v>570</v>
      </c>
      <c r="H101" s="162" t="s">
        <v>902</v>
      </c>
      <c r="I101" s="138" t="s">
        <v>620</v>
      </c>
      <c r="J101" s="254"/>
      <c r="K101" s="255"/>
      <c r="O101" s="107" t="s">
        <v>648</v>
      </c>
      <c r="P101" s="108" t="s">
        <v>1067</v>
      </c>
      <c r="Q101" s="137" t="s">
        <v>1257</v>
      </c>
    </row>
    <row r="102" spans="1:17" x14ac:dyDescent="0.2">
      <c r="A102" s="199" t="s">
        <v>191</v>
      </c>
      <c r="B102" s="174" t="s">
        <v>153</v>
      </c>
      <c r="C102" s="174" t="s">
        <v>307</v>
      </c>
      <c r="E102" s="174" t="s">
        <v>153</v>
      </c>
      <c r="F102" s="200" t="s">
        <v>571</v>
      </c>
      <c r="H102" s="162" t="s">
        <v>205</v>
      </c>
      <c r="I102" s="165" t="s">
        <v>357</v>
      </c>
      <c r="J102" s="254"/>
      <c r="K102" s="255"/>
    </row>
    <row r="103" spans="1:17" x14ac:dyDescent="0.2">
      <c r="A103" s="199" t="s">
        <v>195</v>
      </c>
      <c r="B103" s="174" t="s">
        <v>196</v>
      </c>
      <c r="C103" s="174" t="s">
        <v>307</v>
      </c>
      <c r="E103" s="174" t="s">
        <v>196</v>
      </c>
      <c r="F103" s="200" t="s">
        <v>572</v>
      </c>
      <c r="H103" s="162" t="s">
        <v>210</v>
      </c>
      <c r="I103" s="138" t="s">
        <v>620</v>
      </c>
      <c r="J103" s="254"/>
      <c r="K103" s="255"/>
    </row>
    <row r="104" spans="1:17" x14ac:dyDescent="0.2">
      <c r="A104" s="199" t="s">
        <v>1233</v>
      </c>
      <c r="B104" s="174" t="s">
        <v>1234</v>
      </c>
      <c r="C104" s="174" t="s">
        <v>307</v>
      </c>
      <c r="D104" s="175"/>
      <c r="E104" s="174" t="s">
        <v>1234</v>
      </c>
      <c r="F104" s="200" t="s">
        <v>1235</v>
      </c>
      <c r="H104" s="163" t="s">
        <v>215</v>
      </c>
      <c r="I104" s="166" t="s">
        <v>620</v>
      </c>
      <c r="J104" s="254"/>
      <c r="K104" s="255"/>
    </row>
    <row r="105" spans="1:17" x14ac:dyDescent="0.2">
      <c r="A105" s="199" t="s">
        <v>936</v>
      </c>
      <c r="B105" s="174" t="s">
        <v>937</v>
      </c>
      <c r="C105" s="174" t="s">
        <v>307</v>
      </c>
      <c r="E105" s="174" t="s">
        <v>937</v>
      </c>
      <c r="F105" s="200" t="s">
        <v>938</v>
      </c>
      <c r="H105" s="160" t="s">
        <v>202</v>
      </c>
      <c r="I105" s="161" t="s">
        <v>620</v>
      </c>
      <c r="J105" s="254" t="s">
        <v>1356</v>
      </c>
      <c r="K105" s="255" t="s">
        <v>1357</v>
      </c>
    </row>
    <row r="106" spans="1:17" x14ac:dyDescent="0.2">
      <c r="A106" s="199" t="s">
        <v>1036</v>
      </c>
      <c r="B106" s="174" t="s">
        <v>1037</v>
      </c>
      <c r="C106" s="174" t="s">
        <v>307</v>
      </c>
      <c r="D106" s="175"/>
      <c r="E106" s="174" t="s">
        <v>1037</v>
      </c>
      <c r="F106" s="200" t="s">
        <v>1038</v>
      </c>
      <c r="H106" s="162" t="s">
        <v>902</v>
      </c>
      <c r="I106" s="138" t="s">
        <v>620</v>
      </c>
      <c r="J106" s="254"/>
      <c r="K106" s="255"/>
    </row>
    <row r="107" spans="1:17" x14ac:dyDescent="0.2">
      <c r="A107" s="199" t="s">
        <v>200</v>
      </c>
      <c r="B107" s="174" t="s">
        <v>201</v>
      </c>
      <c r="C107" s="174" t="s">
        <v>307</v>
      </c>
      <c r="E107" s="174" t="s">
        <v>201</v>
      </c>
      <c r="F107" s="200" t="s">
        <v>573</v>
      </c>
      <c r="H107" s="162" t="s">
        <v>205</v>
      </c>
      <c r="I107" s="165" t="s">
        <v>357</v>
      </c>
      <c r="J107" s="254"/>
      <c r="K107" s="255"/>
    </row>
    <row r="108" spans="1:17" x14ac:dyDescent="0.2">
      <c r="A108" s="199" t="s">
        <v>203</v>
      </c>
      <c r="B108" s="174" t="s">
        <v>204</v>
      </c>
      <c r="C108" s="174" t="s">
        <v>307</v>
      </c>
      <c r="E108" s="174" t="s">
        <v>204</v>
      </c>
      <c r="F108" s="200" t="s">
        <v>574</v>
      </c>
      <c r="H108" s="162" t="s">
        <v>215</v>
      </c>
      <c r="I108" s="138" t="s">
        <v>620</v>
      </c>
      <c r="J108" s="254"/>
      <c r="K108" s="255"/>
    </row>
    <row r="109" spans="1:17" x14ac:dyDescent="0.2">
      <c r="A109" s="199" t="s">
        <v>208</v>
      </c>
      <c r="B109" s="174" t="s">
        <v>209</v>
      </c>
      <c r="C109" s="174" t="s">
        <v>307</v>
      </c>
      <c r="E109" s="174" t="s">
        <v>209</v>
      </c>
      <c r="F109" s="200" t="s">
        <v>575</v>
      </c>
      <c r="H109" s="162" t="s">
        <v>190</v>
      </c>
      <c r="I109" s="138" t="s">
        <v>620</v>
      </c>
      <c r="J109" s="254" t="s">
        <v>1358</v>
      </c>
      <c r="K109" s="255"/>
    </row>
    <row r="110" spans="1:17" x14ac:dyDescent="0.2">
      <c r="A110" s="199" t="s">
        <v>280</v>
      </c>
      <c r="B110" s="174" t="s">
        <v>281</v>
      </c>
      <c r="C110" s="174" t="s">
        <v>307</v>
      </c>
      <c r="E110" s="174" t="s">
        <v>281</v>
      </c>
      <c r="F110" s="200" t="s">
        <v>576</v>
      </c>
      <c r="H110" s="162" t="s">
        <v>192</v>
      </c>
      <c r="I110" s="138" t="s">
        <v>620</v>
      </c>
      <c r="J110" s="254"/>
      <c r="K110" s="255"/>
    </row>
    <row r="111" spans="1:17" x14ac:dyDescent="0.2">
      <c r="A111" s="199" t="s">
        <v>213</v>
      </c>
      <c r="B111" s="174" t="s">
        <v>214</v>
      </c>
      <c r="C111" s="174" t="s">
        <v>306</v>
      </c>
      <c r="E111" s="174" t="s">
        <v>214</v>
      </c>
      <c r="F111" s="200" t="s">
        <v>577</v>
      </c>
      <c r="H111" s="162" t="s">
        <v>194</v>
      </c>
      <c r="I111" s="138" t="s">
        <v>620</v>
      </c>
      <c r="J111" s="254"/>
      <c r="K111" s="255"/>
    </row>
    <row r="112" spans="1:17" x14ac:dyDescent="0.2">
      <c r="A112" s="199" t="s">
        <v>217</v>
      </c>
      <c r="B112" s="174" t="s">
        <v>218</v>
      </c>
      <c r="C112" s="174" t="s">
        <v>307</v>
      </c>
      <c r="E112" s="174" t="s">
        <v>218</v>
      </c>
      <c r="F112" s="200" t="s">
        <v>578</v>
      </c>
      <c r="H112" s="162" t="s">
        <v>197</v>
      </c>
      <c r="I112" s="138" t="s">
        <v>620</v>
      </c>
      <c r="J112" s="254"/>
      <c r="K112" s="255"/>
    </row>
    <row r="113" spans="1:11" x14ac:dyDescent="0.2">
      <c r="A113" s="199" t="s">
        <v>939</v>
      </c>
      <c r="B113" s="174" t="s">
        <v>940</v>
      </c>
      <c r="C113" s="174" t="s">
        <v>307</v>
      </c>
      <c r="E113" s="174" t="s">
        <v>940</v>
      </c>
      <c r="F113" s="200" t="s">
        <v>941</v>
      </c>
      <c r="H113" s="163" t="s">
        <v>210</v>
      </c>
      <c r="I113" s="166" t="s">
        <v>620</v>
      </c>
      <c r="J113" s="254"/>
      <c r="K113" s="255"/>
    </row>
    <row r="114" spans="1:11" x14ac:dyDescent="0.2">
      <c r="A114" s="199" t="s">
        <v>1052</v>
      </c>
      <c r="B114" s="174" t="s">
        <v>1053</v>
      </c>
      <c r="C114" s="174" t="s">
        <v>307</v>
      </c>
      <c r="E114" s="174" t="s">
        <v>1053</v>
      </c>
      <c r="F114" s="200" t="s">
        <v>1054</v>
      </c>
      <c r="H114" s="160" t="s">
        <v>202</v>
      </c>
      <c r="I114" s="161" t="s">
        <v>620</v>
      </c>
      <c r="J114" s="254" t="s">
        <v>1359</v>
      </c>
      <c r="K114" s="255" t="s">
        <v>1360</v>
      </c>
    </row>
    <row r="115" spans="1:11" x14ac:dyDescent="0.2">
      <c r="A115" s="199" t="s">
        <v>223</v>
      </c>
      <c r="B115" s="174" t="s">
        <v>224</v>
      </c>
      <c r="C115" s="174" t="s">
        <v>307</v>
      </c>
      <c r="E115" s="174" t="s">
        <v>224</v>
      </c>
      <c r="F115" s="200" t="s">
        <v>581</v>
      </c>
      <c r="H115" s="162" t="s">
        <v>902</v>
      </c>
      <c r="I115" s="138" t="s">
        <v>620</v>
      </c>
      <c r="J115" s="254"/>
      <c r="K115" s="255"/>
    </row>
    <row r="116" spans="1:11" x14ac:dyDescent="0.2">
      <c r="A116" s="199" t="s">
        <v>225</v>
      </c>
      <c r="B116" s="174" t="s">
        <v>226</v>
      </c>
      <c r="C116" s="174" t="s">
        <v>307</v>
      </c>
      <c r="E116" s="174" t="s">
        <v>226</v>
      </c>
      <c r="F116" s="200" t="s">
        <v>582</v>
      </c>
      <c r="H116" s="162" t="s">
        <v>205</v>
      </c>
      <c r="I116" s="165" t="s">
        <v>357</v>
      </c>
      <c r="J116" s="254"/>
      <c r="K116" s="255"/>
    </row>
    <row r="117" spans="1:11" x14ac:dyDescent="0.2">
      <c r="A117" s="199" t="s">
        <v>303</v>
      </c>
      <c r="B117" s="174" t="s">
        <v>304</v>
      </c>
      <c r="C117" s="174" t="s">
        <v>307</v>
      </c>
      <c r="E117" s="174" t="s">
        <v>304</v>
      </c>
      <c r="F117" s="200" t="s">
        <v>583</v>
      </c>
      <c r="H117" s="162" t="s">
        <v>215</v>
      </c>
      <c r="I117" s="138" t="s">
        <v>620</v>
      </c>
      <c r="J117" s="254"/>
      <c r="K117" s="255"/>
    </row>
    <row r="118" spans="1:11" x14ac:dyDescent="0.2">
      <c r="A118" s="199" t="s">
        <v>305</v>
      </c>
      <c r="B118" s="174" t="s">
        <v>148</v>
      </c>
      <c r="C118" s="174" t="s">
        <v>307</v>
      </c>
      <c r="E118" s="174" t="s">
        <v>148</v>
      </c>
      <c r="F118" s="200" t="s">
        <v>584</v>
      </c>
      <c r="H118" s="162" t="s">
        <v>190</v>
      </c>
      <c r="I118" s="138" t="s">
        <v>620</v>
      </c>
      <c r="J118" s="254" t="s">
        <v>1361</v>
      </c>
      <c r="K118" s="255"/>
    </row>
    <row r="119" spans="1:11" x14ac:dyDescent="0.2">
      <c r="A119" s="199" t="s">
        <v>229</v>
      </c>
      <c r="B119" s="174" t="s">
        <v>230</v>
      </c>
      <c r="C119" s="174" t="s">
        <v>307</v>
      </c>
      <c r="E119" s="174" t="s">
        <v>230</v>
      </c>
      <c r="F119" s="200" t="s">
        <v>585</v>
      </c>
      <c r="H119" s="162" t="s">
        <v>192</v>
      </c>
      <c r="I119" s="138" t="s">
        <v>620</v>
      </c>
      <c r="J119" s="254"/>
      <c r="K119" s="255"/>
    </row>
    <row r="120" spans="1:11" x14ac:dyDescent="0.2">
      <c r="A120" s="199" t="s">
        <v>942</v>
      </c>
      <c r="B120" s="174" t="s">
        <v>943</v>
      </c>
      <c r="C120" s="174" t="s">
        <v>307</v>
      </c>
      <c r="E120" s="174" t="s">
        <v>943</v>
      </c>
      <c r="F120" s="200" t="s">
        <v>944</v>
      </c>
      <c r="H120" s="162" t="s">
        <v>194</v>
      </c>
      <c r="I120" s="138" t="s">
        <v>620</v>
      </c>
      <c r="J120" s="254"/>
      <c r="K120" s="255"/>
    </row>
    <row r="121" spans="1:11" x14ac:dyDescent="0.2">
      <c r="A121" s="199" t="s">
        <v>234</v>
      </c>
      <c r="B121" s="174" t="s">
        <v>235</v>
      </c>
      <c r="C121" s="174" t="s">
        <v>307</v>
      </c>
      <c r="E121" s="174" t="s">
        <v>235</v>
      </c>
      <c r="F121" s="200" t="s">
        <v>587</v>
      </c>
      <c r="H121" s="162" t="s">
        <v>197</v>
      </c>
      <c r="I121" s="138" t="s">
        <v>620</v>
      </c>
      <c r="J121" s="254"/>
      <c r="K121" s="255"/>
    </row>
    <row r="122" spans="1:11" x14ac:dyDescent="0.2">
      <c r="A122" s="199" t="s">
        <v>1344</v>
      </c>
      <c r="B122" s="174" t="s">
        <v>1345</v>
      </c>
      <c r="C122" s="174" t="s">
        <v>307</v>
      </c>
      <c r="D122" s="175"/>
      <c r="E122" s="174" t="s">
        <v>1345</v>
      </c>
      <c r="F122" s="200" t="s">
        <v>1346</v>
      </c>
      <c r="H122" s="163" t="s">
        <v>210</v>
      </c>
      <c r="I122" s="166" t="s">
        <v>620</v>
      </c>
      <c r="J122" s="254"/>
      <c r="K122" s="255"/>
    </row>
    <row r="123" spans="1:11" x14ac:dyDescent="0.2">
      <c r="A123" s="199" t="s">
        <v>945</v>
      </c>
      <c r="B123" s="174" t="s">
        <v>946</v>
      </c>
      <c r="C123" s="174" t="s">
        <v>307</v>
      </c>
      <c r="E123" s="174" t="s">
        <v>946</v>
      </c>
      <c r="F123" s="200" t="s">
        <v>947</v>
      </c>
      <c r="H123" s="160" t="s">
        <v>202</v>
      </c>
      <c r="I123" s="161" t="s">
        <v>620</v>
      </c>
      <c r="J123" s="254" t="s">
        <v>1362</v>
      </c>
      <c r="K123" s="256" t="s">
        <v>1363</v>
      </c>
    </row>
    <row r="124" spans="1:11" x14ac:dyDescent="0.2">
      <c r="A124" s="199" t="s">
        <v>948</v>
      </c>
      <c r="B124" s="174" t="s">
        <v>949</v>
      </c>
      <c r="C124" s="174" t="s">
        <v>307</v>
      </c>
      <c r="E124" s="174" t="s">
        <v>949</v>
      </c>
      <c r="F124" s="200" t="s">
        <v>950</v>
      </c>
      <c r="H124" s="162" t="s">
        <v>902</v>
      </c>
      <c r="I124" s="138" t="s">
        <v>620</v>
      </c>
      <c r="J124" s="254"/>
      <c r="K124" s="256"/>
    </row>
    <row r="125" spans="1:11" x14ac:dyDescent="0.2">
      <c r="A125" s="199" t="s">
        <v>285</v>
      </c>
      <c r="B125" s="174" t="s">
        <v>286</v>
      </c>
      <c r="C125" s="174" t="s">
        <v>307</v>
      </c>
      <c r="E125" s="174" t="s">
        <v>286</v>
      </c>
      <c r="F125" s="200" t="s">
        <v>591</v>
      </c>
      <c r="H125" s="162" t="s">
        <v>190</v>
      </c>
      <c r="I125" s="138" t="s">
        <v>620</v>
      </c>
      <c r="J125" s="254" t="s">
        <v>1364</v>
      </c>
      <c r="K125" s="256"/>
    </row>
    <row r="126" spans="1:11" x14ac:dyDescent="0.2">
      <c r="A126" s="199" t="s">
        <v>951</v>
      </c>
      <c r="B126" s="174" t="s">
        <v>952</v>
      </c>
      <c r="C126" s="174" t="s">
        <v>307</v>
      </c>
      <c r="E126" s="174" t="s">
        <v>952</v>
      </c>
      <c r="F126" s="200" t="s">
        <v>953</v>
      </c>
      <c r="H126" s="162" t="s">
        <v>192</v>
      </c>
      <c r="I126" s="138" t="s">
        <v>620</v>
      </c>
      <c r="J126" s="254"/>
      <c r="K126" s="256"/>
    </row>
    <row r="127" spans="1:11" x14ac:dyDescent="0.2">
      <c r="A127" s="199" t="s">
        <v>422</v>
      </c>
      <c r="B127" s="174" t="s">
        <v>287</v>
      </c>
      <c r="C127" s="174" t="s">
        <v>307</v>
      </c>
      <c r="E127" s="174" t="s">
        <v>287</v>
      </c>
      <c r="F127" s="200" t="s">
        <v>592</v>
      </c>
      <c r="H127" s="162" t="s">
        <v>194</v>
      </c>
      <c r="I127" s="138" t="s">
        <v>620</v>
      </c>
      <c r="J127" s="254"/>
      <c r="K127" s="256"/>
    </row>
    <row r="128" spans="1:11" x14ac:dyDescent="0.2">
      <c r="A128" s="199" t="s">
        <v>1236</v>
      </c>
      <c r="B128" s="174" t="s">
        <v>1237</v>
      </c>
      <c r="C128" s="174" t="s">
        <v>307</v>
      </c>
      <c r="D128" s="175"/>
      <c r="E128" s="174" t="s">
        <v>1237</v>
      </c>
      <c r="F128" s="200" t="s">
        <v>1238</v>
      </c>
      <c r="H128" s="162" t="s">
        <v>197</v>
      </c>
      <c r="I128" s="138" t="s">
        <v>620</v>
      </c>
      <c r="J128" s="254"/>
      <c r="K128" s="256"/>
    </row>
    <row r="129" spans="1:11" x14ac:dyDescent="0.2">
      <c r="A129" s="199" t="s">
        <v>240</v>
      </c>
      <c r="B129" s="174" t="s">
        <v>241</v>
      </c>
      <c r="C129" s="174" t="s">
        <v>307</v>
      </c>
      <c r="E129" s="174" t="s">
        <v>241</v>
      </c>
      <c r="F129" s="200" t="s">
        <v>593</v>
      </c>
      <c r="H129" s="162" t="s">
        <v>215</v>
      </c>
      <c r="I129" s="138" t="s">
        <v>620</v>
      </c>
      <c r="J129" s="173" t="s">
        <v>1365</v>
      </c>
      <c r="K129" s="256"/>
    </row>
    <row r="130" spans="1:11" x14ac:dyDescent="0.2">
      <c r="A130" s="199" t="s">
        <v>242</v>
      </c>
      <c r="B130" s="174" t="s">
        <v>243</v>
      </c>
      <c r="C130" s="174" t="s">
        <v>307</v>
      </c>
      <c r="E130" s="174" t="s">
        <v>243</v>
      </c>
      <c r="F130" s="200" t="s">
        <v>594</v>
      </c>
      <c r="H130" s="162" t="s">
        <v>210</v>
      </c>
      <c r="I130" s="138" t="s">
        <v>620</v>
      </c>
      <c r="J130" s="173" t="s">
        <v>1366</v>
      </c>
      <c r="K130" s="256"/>
    </row>
    <row r="131" spans="1:11" x14ac:dyDescent="0.2">
      <c r="A131" s="199" t="s">
        <v>954</v>
      </c>
      <c r="B131" s="174" t="s">
        <v>955</v>
      </c>
      <c r="C131" s="174" t="s">
        <v>307</v>
      </c>
      <c r="E131" s="174" t="s">
        <v>955</v>
      </c>
      <c r="F131" s="200" t="s">
        <v>956</v>
      </c>
      <c r="H131" s="163" t="s">
        <v>205</v>
      </c>
      <c r="I131" s="164" t="s">
        <v>357</v>
      </c>
      <c r="J131" s="173" t="s">
        <v>357</v>
      </c>
      <c r="K131" s="256"/>
    </row>
    <row r="132" spans="1:11" x14ac:dyDescent="0.2">
      <c r="A132" s="199" t="s">
        <v>957</v>
      </c>
      <c r="B132" s="174" t="s">
        <v>958</v>
      </c>
      <c r="C132" s="174" t="s">
        <v>307</v>
      </c>
      <c r="E132" s="174" t="s">
        <v>958</v>
      </c>
      <c r="F132" s="200" t="s">
        <v>959</v>
      </c>
    </row>
    <row r="133" spans="1:11" x14ac:dyDescent="0.2">
      <c r="A133" s="199" t="s">
        <v>960</v>
      </c>
      <c r="B133" s="174" t="s">
        <v>961</v>
      </c>
      <c r="C133" s="174" t="s">
        <v>307</v>
      </c>
      <c r="E133" s="174" t="s">
        <v>961</v>
      </c>
      <c r="F133" s="200" t="s">
        <v>962</v>
      </c>
    </row>
    <row r="134" spans="1:11" x14ac:dyDescent="0.2">
      <c r="A134" s="199" t="s">
        <v>244</v>
      </c>
      <c r="B134" s="174" t="s">
        <v>245</v>
      </c>
      <c r="C134" s="174" t="s">
        <v>307</v>
      </c>
      <c r="E134" s="174" t="s">
        <v>245</v>
      </c>
      <c r="F134" s="200" t="s">
        <v>595</v>
      </c>
    </row>
    <row r="135" spans="1:11" x14ac:dyDescent="0.2">
      <c r="A135" s="199" t="s">
        <v>963</v>
      </c>
      <c r="B135" s="174" t="s">
        <v>964</v>
      </c>
      <c r="C135" s="174" t="s">
        <v>307</v>
      </c>
      <c r="E135" s="174" t="s">
        <v>964</v>
      </c>
      <c r="F135" s="200" t="s">
        <v>965</v>
      </c>
    </row>
    <row r="136" spans="1:11" x14ac:dyDescent="0.2">
      <c r="A136" s="199" t="s">
        <v>288</v>
      </c>
      <c r="B136" s="174" t="s">
        <v>289</v>
      </c>
      <c r="C136" s="174" t="s">
        <v>307</v>
      </c>
      <c r="E136" s="174" t="s">
        <v>289</v>
      </c>
      <c r="F136" s="200" t="s">
        <v>597</v>
      </c>
    </row>
    <row r="137" spans="1:11" x14ac:dyDescent="0.2">
      <c r="A137" s="199" t="s">
        <v>966</v>
      </c>
      <c r="B137" s="174" t="s">
        <v>967</v>
      </c>
      <c r="C137" s="174" t="s">
        <v>307</v>
      </c>
      <c r="E137" s="174" t="s">
        <v>967</v>
      </c>
      <c r="F137" s="200" t="s">
        <v>968</v>
      </c>
    </row>
    <row r="138" spans="1:11" x14ac:dyDescent="0.2">
      <c r="A138" s="199" t="s">
        <v>969</v>
      </c>
      <c r="B138" s="174" t="s">
        <v>970</v>
      </c>
      <c r="C138" s="174" t="s">
        <v>307</v>
      </c>
      <c r="E138" s="174" t="s">
        <v>970</v>
      </c>
      <c r="F138" s="200" t="s">
        <v>971</v>
      </c>
    </row>
    <row r="139" spans="1:11" x14ac:dyDescent="0.2">
      <c r="A139" s="199" t="s">
        <v>290</v>
      </c>
      <c r="B139" s="174" t="s">
        <v>291</v>
      </c>
      <c r="C139" s="174" t="s">
        <v>307</v>
      </c>
      <c r="E139" s="174" t="s">
        <v>291</v>
      </c>
      <c r="F139" s="200" t="s">
        <v>598</v>
      </c>
    </row>
    <row r="140" spans="1:11" x14ac:dyDescent="0.2">
      <c r="A140" s="199" t="s">
        <v>972</v>
      </c>
      <c r="B140" s="174" t="s">
        <v>973</v>
      </c>
      <c r="C140" s="174" t="s">
        <v>307</v>
      </c>
      <c r="D140" s="175"/>
      <c r="E140" s="174" t="s">
        <v>973</v>
      </c>
      <c r="F140" s="200" t="s">
        <v>974</v>
      </c>
    </row>
    <row r="141" spans="1:11" x14ac:dyDescent="0.2">
      <c r="A141" s="199" t="s">
        <v>1239</v>
      </c>
      <c r="B141" s="174" t="s">
        <v>1240</v>
      </c>
      <c r="C141" s="174" t="s">
        <v>307</v>
      </c>
      <c r="D141" s="175"/>
      <c r="E141" s="174" t="s">
        <v>1240</v>
      </c>
      <c r="F141" s="200" t="s">
        <v>1241</v>
      </c>
    </row>
    <row r="142" spans="1:11" x14ac:dyDescent="0.2">
      <c r="A142" s="199" t="s">
        <v>338</v>
      </c>
      <c r="B142" s="174" t="s">
        <v>339</v>
      </c>
      <c r="C142" s="174" t="s">
        <v>307</v>
      </c>
      <c r="D142" s="175"/>
      <c r="E142" s="174" t="s">
        <v>339</v>
      </c>
      <c r="F142" s="200" t="s">
        <v>599</v>
      </c>
    </row>
    <row r="143" spans="1:11" x14ac:dyDescent="0.2">
      <c r="A143" s="199" t="s">
        <v>975</v>
      </c>
      <c r="B143" s="174" t="s">
        <v>976</v>
      </c>
      <c r="C143" s="174" t="s">
        <v>307</v>
      </c>
      <c r="D143" s="175"/>
      <c r="E143" s="174" t="s">
        <v>976</v>
      </c>
      <c r="F143" s="200" t="s">
        <v>977</v>
      </c>
    </row>
    <row r="144" spans="1:11" x14ac:dyDescent="0.2">
      <c r="A144" s="199" t="s">
        <v>978</v>
      </c>
      <c r="B144" s="174" t="s">
        <v>979</v>
      </c>
      <c r="C144" s="174" t="s">
        <v>307</v>
      </c>
      <c r="D144" s="175"/>
      <c r="E144" s="174" t="s">
        <v>979</v>
      </c>
      <c r="F144" s="200" t="s">
        <v>980</v>
      </c>
    </row>
    <row r="145" spans="1:6" x14ac:dyDescent="0.2">
      <c r="A145" s="199" t="s">
        <v>981</v>
      </c>
      <c r="B145" s="174" t="s">
        <v>982</v>
      </c>
      <c r="C145" s="174" t="s">
        <v>307</v>
      </c>
      <c r="D145" s="175"/>
      <c r="E145" s="174" t="s">
        <v>982</v>
      </c>
      <c r="F145" s="200" t="s">
        <v>983</v>
      </c>
    </row>
    <row r="146" spans="1:6" x14ac:dyDescent="0.2">
      <c r="A146" s="199" t="s">
        <v>1347</v>
      </c>
      <c r="B146" s="174" t="s">
        <v>1242</v>
      </c>
      <c r="C146" s="174" t="s">
        <v>307</v>
      </c>
      <c r="D146" s="175"/>
      <c r="E146" s="174" t="s">
        <v>1242</v>
      </c>
      <c r="F146" s="200" t="s">
        <v>1243</v>
      </c>
    </row>
    <row r="147" spans="1:6" x14ac:dyDescent="0.2">
      <c r="A147" s="199" t="s">
        <v>984</v>
      </c>
      <c r="B147" s="174" t="s">
        <v>985</v>
      </c>
      <c r="C147" s="174" t="s">
        <v>307</v>
      </c>
      <c r="D147" s="175"/>
      <c r="E147" s="174" t="s">
        <v>985</v>
      </c>
      <c r="F147" s="200" t="s">
        <v>986</v>
      </c>
    </row>
    <row r="148" spans="1:6" x14ac:dyDescent="0.2">
      <c r="A148" s="199" t="s">
        <v>987</v>
      </c>
      <c r="B148" s="174" t="s">
        <v>988</v>
      </c>
      <c r="C148" s="174" t="s">
        <v>307</v>
      </c>
      <c r="D148" s="175"/>
      <c r="E148" s="174" t="s">
        <v>988</v>
      </c>
      <c r="F148" s="200" t="s">
        <v>989</v>
      </c>
    </row>
    <row r="149" spans="1:6" x14ac:dyDescent="0.2">
      <c r="A149" s="199" t="s">
        <v>423</v>
      </c>
      <c r="B149" s="174" t="s">
        <v>293</v>
      </c>
      <c r="C149" s="174" t="s">
        <v>307</v>
      </c>
      <c r="D149" s="175"/>
      <c r="E149" s="174" t="s">
        <v>293</v>
      </c>
      <c r="F149" s="200" t="s">
        <v>140</v>
      </c>
    </row>
    <row r="150" spans="1:6" x14ac:dyDescent="0.2">
      <c r="A150" s="199" t="s">
        <v>990</v>
      </c>
      <c r="B150" s="174" t="s">
        <v>991</v>
      </c>
      <c r="C150" s="174" t="s">
        <v>307</v>
      </c>
      <c r="D150" s="175"/>
      <c r="E150" s="174" t="s">
        <v>991</v>
      </c>
      <c r="F150" s="200" t="s">
        <v>992</v>
      </c>
    </row>
    <row r="151" spans="1:6" x14ac:dyDescent="0.2">
      <c r="A151" s="199" t="s">
        <v>993</v>
      </c>
      <c r="B151" s="174" t="s">
        <v>994</v>
      </c>
      <c r="C151" s="174" t="s">
        <v>307</v>
      </c>
      <c r="D151" s="175"/>
      <c r="E151" s="174" t="s">
        <v>994</v>
      </c>
      <c r="F151" s="200" t="s">
        <v>995</v>
      </c>
    </row>
    <row r="152" spans="1:6" x14ac:dyDescent="0.2">
      <c r="A152" s="199" t="s">
        <v>996</v>
      </c>
      <c r="B152" s="174" t="s">
        <v>997</v>
      </c>
      <c r="C152" s="174" t="s">
        <v>307</v>
      </c>
      <c r="D152" s="175"/>
      <c r="E152" s="174" t="s">
        <v>997</v>
      </c>
      <c r="F152" s="200" t="s">
        <v>998</v>
      </c>
    </row>
    <row r="153" spans="1:6" x14ac:dyDescent="0.2">
      <c r="A153" s="199" t="s">
        <v>255</v>
      </c>
      <c r="B153" s="174" t="s">
        <v>256</v>
      </c>
      <c r="C153" s="174" t="s">
        <v>307</v>
      </c>
      <c r="D153" s="175"/>
      <c r="E153" s="174" t="s">
        <v>256</v>
      </c>
      <c r="F153" s="200" t="s">
        <v>600</v>
      </c>
    </row>
    <row r="154" spans="1:6" x14ac:dyDescent="0.2">
      <c r="A154" s="199" t="s">
        <v>1258</v>
      </c>
      <c r="B154" s="174" t="s">
        <v>1259</v>
      </c>
      <c r="C154" s="174" t="s">
        <v>307</v>
      </c>
      <c r="D154" s="175"/>
      <c r="E154" s="174" t="s">
        <v>1259</v>
      </c>
      <c r="F154" s="200" t="s">
        <v>1260</v>
      </c>
    </row>
    <row r="155" spans="1:6" x14ac:dyDescent="0.2">
      <c r="A155" s="199" t="s">
        <v>292</v>
      </c>
      <c r="B155" s="174" t="s">
        <v>250</v>
      </c>
      <c r="C155" s="174" t="s">
        <v>307</v>
      </c>
      <c r="D155" s="175" t="s">
        <v>275</v>
      </c>
      <c r="E155" s="174" t="s">
        <v>250</v>
      </c>
      <c r="F155" s="200" t="s">
        <v>602</v>
      </c>
    </row>
    <row r="156" spans="1:6" x14ac:dyDescent="0.2">
      <c r="A156" s="199" t="s">
        <v>999</v>
      </c>
      <c r="B156" s="174" t="s">
        <v>1000</v>
      </c>
      <c r="C156" s="174" t="s">
        <v>307</v>
      </c>
      <c r="D156" s="175"/>
      <c r="E156" s="174" t="s">
        <v>1000</v>
      </c>
      <c r="F156" s="200" t="s">
        <v>1001</v>
      </c>
    </row>
    <row r="157" spans="1:6" x14ac:dyDescent="0.2">
      <c r="A157" s="199" t="s">
        <v>1348</v>
      </c>
      <c r="B157" s="174" t="s">
        <v>1349</v>
      </c>
      <c r="C157" s="174" t="s">
        <v>307</v>
      </c>
      <c r="D157" s="175"/>
      <c r="E157" s="174" t="s">
        <v>1349</v>
      </c>
      <c r="F157" s="200" t="s">
        <v>1350</v>
      </c>
    </row>
    <row r="158" spans="1:6" x14ac:dyDescent="0.2">
      <c r="A158" s="199" t="s">
        <v>1002</v>
      </c>
      <c r="B158" s="174" t="s">
        <v>1003</v>
      </c>
      <c r="C158" s="174" t="s">
        <v>307</v>
      </c>
      <c r="D158" s="175"/>
      <c r="E158" s="174" t="s">
        <v>1003</v>
      </c>
      <c r="F158" s="200" t="s">
        <v>1004</v>
      </c>
    </row>
    <row r="159" spans="1:6" x14ac:dyDescent="0.2">
      <c r="A159" s="199" t="s">
        <v>340</v>
      </c>
      <c r="B159" s="174" t="s">
        <v>341</v>
      </c>
      <c r="C159" s="174" t="s">
        <v>307</v>
      </c>
      <c r="D159" s="175"/>
      <c r="E159" s="174" t="s">
        <v>341</v>
      </c>
      <c r="F159" s="200" t="s">
        <v>603</v>
      </c>
    </row>
    <row r="160" spans="1:6" x14ac:dyDescent="0.2">
      <c r="A160" s="199" t="s">
        <v>294</v>
      </c>
      <c r="B160" s="174" t="s">
        <v>260</v>
      </c>
      <c r="C160" s="174" t="s">
        <v>307</v>
      </c>
      <c r="D160" s="175"/>
      <c r="E160" s="174" t="s">
        <v>260</v>
      </c>
      <c r="F160" s="200" t="s">
        <v>604</v>
      </c>
    </row>
    <row r="161" spans="1:6" x14ac:dyDescent="0.2">
      <c r="A161" s="199" t="s">
        <v>342</v>
      </c>
      <c r="B161" s="174" t="s">
        <v>343</v>
      </c>
      <c r="C161" s="174" t="s">
        <v>307</v>
      </c>
      <c r="D161" s="175"/>
      <c r="E161" s="174" t="s">
        <v>343</v>
      </c>
      <c r="F161" s="200" t="s">
        <v>605</v>
      </c>
    </row>
    <row r="162" spans="1:6" x14ac:dyDescent="0.2">
      <c r="A162" s="199" t="s">
        <v>1005</v>
      </c>
      <c r="B162" s="174" t="s">
        <v>1006</v>
      </c>
      <c r="C162" s="174" t="s">
        <v>307</v>
      </c>
      <c r="D162" s="175"/>
      <c r="E162" s="174" t="s">
        <v>1006</v>
      </c>
      <c r="F162" s="200" t="s">
        <v>1007</v>
      </c>
    </row>
    <row r="163" spans="1:6" x14ac:dyDescent="0.2">
      <c r="A163" s="199" t="s">
        <v>1008</v>
      </c>
      <c r="B163" s="174" t="s">
        <v>1009</v>
      </c>
      <c r="C163" s="174" t="s">
        <v>307</v>
      </c>
      <c r="D163" s="175"/>
      <c r="E163" s="174" t="s">
        <v>1009</v>
      </c>
      <c r="F163" s="200" t="s">
        <v>1010</v>
      </c>
    </row>
    <row r="164" spans="1:6" x14ac:dyDescent="0.2">
      <c r="A164" s="199" t="s">
        <v>1351</v>
      </c>
      <c r="B164" s="174" t="s">
        <v>263</v>
      </c>
      <c r="C164" s="174" t="s">
        <v>307</v>
      </c>
      <c r="D164" s="175"/>
      <c r="E164" s="174" t="s">
        <v>263</v>
      </c>
      <c r="F164" s="200" t="s">
        <v>606</v>
      </c>
    </row>
    <row r="165" spans="1:6" x14ac:dyDescent="0.2">
      <c r="A165" s="199" t="s">
        <v>344</v>
      </c>
      <c r="B165" s="174" t="s">
        <v>345</v>
      </c>
      <c r="C165" s="174" t="s">
        <v>307</v>
      </c>
      <c r="D165" s="175"/>
      <c r="E165" s="174" t="s">
        <v>345</v>
      </c>
      <c r="F165" s="200" t="s">
        <v>607</v>
      </c>
    </row>
    <row r="166" spans="1:6" x14ac:dyDescent="0.2">
      <c r="A166" s="199" t="s">
        <v>1011</v>
      </c>
      <c r="B166" s="174" t="s">
        <v>1012</v>
      </c>
      <c r="C166" s="174" t="s">
        <v>307</v>
      </c>
      <c r="D166" s="175"/>
      <c r="E166" s="174" t="s">
        <v>1012</v>
      </c>
      <c r="F166" s="200" t="s">
        <v>1013</v>
      </c>
    </row>
    <row r="167" spans="1:6" x14ac:dyDescent="0.2">
      <c r="A167" s="199" t="s">
        <v>295</v>
      </c>
      <c r="B167" s="174" t="s">
        <v>296</v>
      </c>
      <c r="C167" s="174" t="s">
        <v>307</v>
      </c>
      <c r="D167" s="175"/>
      <c r="E167" s="174" t="s">
        <v>296</v>
      </c>
      <c r="F167" s="200" t="s">
        <v>608</v>
      </c>
    </row>
    <row r="168" spans="1:6" x14ac:dyDescent="0.2">
      <c r="A168" s="199" t="s">
        <v>266</v>
      </c>
      <c r="B168" s="174" t="s">
        <v>267</v>
      </c>
      <c r="C168" s="174" t="s">
        <v>307</v>
      </c>
      <c r="D168" s="175"/>
      <c r="E168" s="174" t="s">
        <v>267</v>
      </c>
      <c r="F168" s="200" t="s">
        <v>609</v>
      </c>
    </row>
    <row r="169" spans="1:6" x14ac:dyDescent="0.2">
      <c r="A169" s="199" t="s">
        <v>1014</v>
      </c>
      <c r="B169" s="174" t="s">
        <v>1015</v>
      </c>
      <c r="C169" s="174" t="s">
        <v>307</v>
      </c>
      <c r="D169" s="175"/>
      <c r="E169" s="174" t="s">
        <v>1015</v>
      </c>
      <c r="F169" s="200" t="s">
        <v>1016</v>
      </c>
    </row>
    <row r="170" spans="1:6" x14ac:dyDescent="0.2">
      <c r="A170" s="199" t="s">
        <v>1017</v>
      </c>
      <c r="B170" s="174" t="s">
        <v>1018</v>
      </c>
      <c r="C170" s="174" t="s">
        <v>307</v>
      </c>
      <c r="D170" s="175"/>
      <c r="E170" s="174" t="s">
        <v>1018</v>
      </c>
      <c r="F170" s="200" t="s">
        <v>1019</v>
      </c>
    </row>
    <row r="171" spans="1:6" x14ac:dyDescent="0.2">
      <c r="A171" s="199" t="s">
        <v>297</v>
      </c>
      <c r="B171" s="174" t="s">
        <v>298</v>
      </c>
      <c r="C171" s="174" t="s">
        <v>307</v>
      </c>
      <c r="D171" s="175"/>
      <c r="E171" s="174" t="s">
        <v>298</v>
      </c>
      <c r="F171" s="200" t="s">
        <v>611</v>
      </c>
    </row>
    <row r="172" spans="1:6" x14ac:dyDescent="0.2">
      <c r="A172" s="199" t="s">
        <v>268</v>
      </c>
      <c r="B172" s="174" t="s">
        <v>269</v>
      </c>
      <c r="C172" s="174" t="s">
        <v>307</v>
      </c>
      <c r="D172" s="175"/>
      <c r="E172" s="174" t="s">
        <v>269</v>
      </c>
      <c r="F172" s="200" t="s">
        <v>610</v>
      </c>
    </row>
    <row r="173" spans="1:6" x14ac:dyDescent="0.2">
      <c r="A173" s="199" t="s">
        <v>1020</v>
      </c>
      <c r="B173" s="174" t="s">
        <v>1021</v>
      </c>
      <c r="C173" s="174" t="s">
        <v>307</v>
      </c>
      <c r="D173" s="175"/>
      <c r="E173" s="174" t="s">
        <v>1021</v>
      </c>
      <c r="F173" s="200" t="s">
        <v>1022</v>
      </c>
    </row>
    <row r="174" spans="1:6" x14ac:dyDescent="0.2">
      <c r="A174" s="199" t="s">
        <v>160</v>
      </c>
      <c r="B174" s="174" t="s">
        <v>161</v>
      </c>
      <c r="C174" s="174" t="s">
        <v>307</v>
      </c>
      <c r="E174" s="174" t="s">
        <v>161</v>
      </c>
      <c r="F174" s="200" t="s">
        <v>559</v>
      </c>
    </row>
    <row r="175" spans="1:6" x14ac:dyDescent="0.2">
      <c r="A175" s="204" t="s">
        <v>1023</v>
      </c>
      <c r="B175" s="205" t="s">
        <v>1024</v>
      </c>
      <c r="C175" s="205" t="s">
        <v>307</v>
      </c>
      <c r="D175" s="206"/>
      <c r="E175" s="205" t="s">
        <v>1024</v>
      </c>
      <c r="F175" s="207" t="s">
        <v>1025</v>
      </c>
    </row>
  </sheetData>
  <sheetProtection algorithmName="SHA-512" hashValue="JPT713sNYAQ1lQPjmUBUCOB9OE/WnBPHIgBw4+bHHrFUGQnUm/cFFWU66nQGjIPwdPr3Gotgz4NaZhmsjMxmow==" saltValue="Lb8msjvc8hlQZystJgPj4Q==" spinCount="100000" sheet="1" objects="1" scenarios="1" formatCells="0" autoFilter="0"/>
  <sortState xmlns:xlrd2="http://schemas.microsoft.com/office/spreadsheetml/2017/richdata2" ref="O94:P95">
    <sortCondition ref="O94"/>
  </sortState>
  <mergeCells count="40">
    <mergeCell ref="O90:P90"/>
    <mergeCell ref="O96:P96"/>
    <mergeCell ref="H11:K11"/>
    <mergeCell ref="O74:P74"/>
    <mergeCell ref="J37:J49"/>
    <mergeCell ref="K37:K49"/>
    <mergeCell ref="O68:P68"/>
    <mergeCell ref="O61:P61"/>
    <mergeCell ref="O81:P81"/>
    <mergeCell ref="J18:J25"/>
    <mergeCell ref="K18:K36"/>
    <mergeCell ref="J26:J36"/>
    <mergeCell ref="J78:J83"/>
    <mergeCell ref="K78:K86"/>
    <mergeCell ref="J84:J85"/>
    <mergeCell ref="J50:J56"/>
    <mergeCell ref="O1:Q1"/>
    <mergeCell ref="J13:J14"/>
    <mergeCell ref="K13:K17"/>
    <mergeCell ref="J15:J16"/>
    <mergeCell ref="O10:Q10"/>
    <mergeCell ref="K50:K61"/>
    <mergeCell ref="J57:J61"/>
    <mergeCell ref="K62:K77"/>
    <mergeCell ref="J62:J77"/>
    <mergeCell ref="A1:F1"/>
    <mergeCell ref="H1:M1"/>
    <mergeCell ref="J87:J95"/>
    <mergeCell ref="K87:K95"/>
    <mergeCell ref="J96:J104"/>
    <mergeCell ref="K96:K104"/>
    <mergeCell ref="J105:J108"/>
    <mergeCell ref="K105:K113"/>
    <mergeCell ref="J109:J113"/>
    <mergeCell ref="J114:J117"/>
    <mergeCell ref="K114:K122"/>
    <mergeCell ref="J118:J122"/>
    <mergeCell ref="J123:J124"/>
    <mergeCell ref="K123:K131"/>
    <mergeCell ref="J125:J128"/>
  </mergeCells>
  <phoneticPr fontId="0" type="noConversion"/>
  <pageMargins left="0.34" right="0.37" top="0.36" bottom="0.4" header="0.23" footer="0.32"/>
  <pageSetup paperSize="9" scale="50"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56"/>
  <sheetViews>
    <sheetView zoomScaleNormal="100" workbookViewId="0">
      <pane ySplit="10" topLeftCell="A11" activePane="bottomLeft" state="frozen"/>
      <selection pane="bottomLeft" sqref="A1:H1"/>
    </sheetView>
  </sheetViews>
  <sheetFormatPr defaultColWidth="5.25" defaultRowHeight="11.55" x14ac:dyDescent="0.2"/>
  <cols>
    <col min="1" max="1" width="6.5" style="6" customWidth="1"/>
    <col min="2" max="3" width="7.75" style="6" customWidth="1"/>
    <col min="4" max="4" width="15.75" style="6" customWidth="1"/>
    <col min="5" max="5" width="16.5" style="6" customWidth="1"/>
    <col min="6" max="6" width="20.875" style="6" customWidth="1"/>
    <col min="7" max="7" width="12.5" style="25" bestFit="1" customWidth="1"/>
    <col min="8" max="8" width="88.125" style="6" customWidth="1"/>
    <col min="9" max="16384" width="5.25" style="6"/>
  </cols>
  <sheetData>
    <row r="1" spans="1:8" ht="14.3" x14ac:dyDescent="0.2">
      <c r="A1" s="290" t="str">
        <f>VLOOKUP("G00",tblTrans3Langs[],LangNameID,FALSE) &amp;" ( "&amp;idiom&amp;" )"</f>
        <v>Instructions to complete the form ( ENG )</v>
      </c>
      <c r="B1" s="290"/>
      <c r="C1" s="290"/>
      <c r="D1" s="290"/>
      <c r="E1" s="290"/>
      <c r="F1" s="290"/>
      <c r="G1" s="290"/>
      <c r="H1" s="290"/>
    </row>
    <row r="2" spans="1:8" ht="12.4" customHeight="1" x14ac:dyDescent="0.2">
      <c r="A2" s="291" t="str">
        <f>VLOOKUP("G01",tblTrans3Langs[],LangFieldID,FALSE)</f>
        <v>General</v>
      </c>
      <c r="B2" s="291"/>
      <c r="C2" s="291"/>
      <c r="D2" s="291"/>
      <c r="E2" s="291"/>
      <c r="F2" s="127"/>
      <c r="G2" s="128"/>
      <c r="H2" s="127"/>
    </row>
    <row r="3" spans="1:8" ht="12.4" customHeight="1" x14ac:dyDescent="0.2">
      <c r="A3" s="127" t="s">
        <v>435</v>
      </c>
      <c r="B3" s="264" t="str">
        <f>VLOOKUP("G01a",tblTrans3Langs[],LangNameID,FALSE)</f>
        <v>Complete as far as possible the Header and Detail sections (don't leave fields empty when information is known)</v>
      </c>
      <c r="C3" s="264"/>
      <c r="D3" s="264"/>
      <c r="E3" s="264"/>
      <c r="F3" s="264"/>
      <c r="G3" s="264"/>
      <c r="H3" s="264"/>
    </row>
    <row r="4" spans="1:8" ht="12.4" customHeight="1" x14ac:dyDescent="0.2">
      <c r="A4" s="127" t="s">
        <v>436</v>
      </c>
      <c r="B4" s="264" t="str">
        <f>VLOOKUP("G01b",tblTrans3Langs[],LangNameID,FALSE)</f>
        <v>In Header section, only white cells can be filled (manually or by selecting from the Combo Box the corresponding code)</v>
      </c>
      <c r="C4" s="264"/>
      <c r="D4" s="264"/>
      <c r="E4" s="264"/>
      <c r="F4" s="264"/>
      <c r="G4" s="264"/>
      <c r="H4" s="264"/>
    </row>
    <row r="5" spans="1:8" ht="12.4" customHeight="1" x14ac:dyDescent="0.2">
      <c r="A5" s="127" t="s">
        <v>437</v>
      </c>
      <c r="B5" s="264" t="str">
        <f>VLOOKUP("G01c",tblTrans3Langs[],LangNameID,FALSE)</f>
        <v>Always use ICCAT standard codes (when element "OTHERS" of various fields is required it must be explicitly described in "Notes")</v>
      </c>
      <c r="C5" s="264"/>
      <c r="D5" s="264"/>
      <c r="E5" s="264"/>
      <c r="F5" s="264"/>
      <c r="G5" s="264"/>
      <c r="H5" s="264"/>
    </row>
    <row r="6" spans="1:8" ht="12.4" customHeight="1" x14ac:dyDescent="0.2">
      <c r="A6" s="127" t="s">
        <v>438</v>
      </c>
      <c r="B6" s="264" t="str">
        <f>VLOOKUP("G01d",tblTrans3Langs[],LangNameID,FALSE)</f>
        <v>Recommendation for users with databases: To paste an entire dataset into the Detail section (must have the same structure and format) use "Paste special (values)"</v>
      </c>
      <c r="C6" s="264"/>
      <c r="D6" s="264"/>
      <c r="E6" s="264"/>
      <c r="F6" s="264"/>
      <c r="G6" s="264"/>
      <c r="H6" s="264"/>
    </row>
    <row r="7" spans="1:8" ht="12.4" customHeight="1" x14ac:dyDescent="0.2">
      <c r="A7" s="127" t="s">
        <v>439</v>
      </c>
      <c r="B7" s="264" t="str">
        <f>VLOOKUP("G01e",tblTrans3Langs[],LangNameID,FALSE)</f>
        <v>Leave "blank" the fields for which you don't collect information</v>
      </c>
      <c r="C7" s="264"/>
      <c r="D7" s="264"/>
      <c r="E7" s="264"/>
      <c r="F7" s="264"/>
      <c r="G7" s="264"/>
      <c r="H7" s="264"/>
    </row>
    <row r="8" spans="1:8" x14ac:dyDescent="0.2">
      <c r="A8" s="7"/>
      <c r="B8" s="7"/>
      <c r="C8" s="1"/>
      <c r="D8" s="1"/>
      <c r="E8" s="1"/>
      <c r="F8" s="1"/>
      <c r="G8" s="21"/>
    </row>
    <row r="9" spans="1:8" ht="12.4" customHeight="1" x14ac:dyDescent="0.2">
      <c r="A9" s="281" t="str">
        <f>VLOOKUP("S00",tblTrans3Langs[],LangFieldID,FALSE)</f>
        <v>Specific (by field)</v>
      </c>
      <c r="B9" s="281"/>
      <c r="C9" s="281"/>
      <c r="D9" s="281"/>
      <c r="E9" s="281"/>
      <c r="F9" s="1"/>
      <c r="G9" s="21"/>
    </row>
    <row r="10" spans="1:8" x14ac:dyDescent="0.2">
      <c r="A10" s="18" t="str">
        <f>VLOOKUP("SC01",tblTrans3Langs[],LangFieldID,FALSE)</f>
        <v>Form</v>
      </c>
      <c r="B10" s="18" t="str">
        <f>VLOOKUP("SC02",tblTrans3Langs[],LangFieldID,FALSE)</f>
        <v>Sub-form</v>
      </c>
      <c r="C10" s="18" t="str">
        <f>VLOOKUP("SC03",tblTrans3Langs[],LangFieldID,FALSE)</f>
        <v>Part</v>
      </c>
      <c r="D10" s="18" t="str">
        <f>VLOOKUP("SC04",tblTrans3Langs[],LangFieldID,FALSE)</f>
        <v>Section</v>
      </c>
      <c r="E10" s="19" t="str">
        <f>VLOOKUP("SC05",tblTrans3Langs[],LangFieldID,FALSE)</f>
        <v>Sub-section</v>
      </c>
      <c r="F10" s="18" t="str">
        <f>VLOOKUP("SC06",tblTrans3Langs[],LangFieldID,FALSE)</f>
        <v>Field (name)</v>
      </c>
      <c r="G10" s="22" t="str">
        <f>VLOOKUP("SC07",tblTrans3Langs[],LangFieldID,FALSE)</f>
        <v>Field (format)</v>
      </c>
      <c r="H10" s="20" t="str">
        <f>VLOOKUP("SC08",tblTrans3Langs[],LangFieldID,FALSE)</f>
        <v>Description</v>
      </c>
    </row>
    <row r="11" spans="1:8" ht="13.95" customHeight="1" x14ac:dyDescent="0.2">
      <c r="A11" s="265" t="str">
        <f>VLOOKUP("T00",tblTrans3Langs[],LangFieldID,FALSE)</f>
        <v>ST05-T2CS</v>
      </c>
      <c r="B11" s="265" t="str">
        <f>VLOOKUP("T03",tblTrans3Langs[],LangFieldID,FALSE)</f>
        <v>ST05A</v>
      </c>
      <c r="C11" s="282" t="str">
        <f>VLOOKUP("T02",tblTrans3Langs[],LangFieldID,FALSE)</f>
        <v>Title</v>
      </c>
      <c r="D11" s="282"/>
      <c r="E11" s="283"/>
      <c r="F11" s="8" t="str">
        <f>VLOOKUP("tVersion",tblTrans3Langs[],LangFieldID,FALSE)</f>
        <v>Version</v>
      </c>
      <c r="G11" s="23" t="str">
        <f>VLOOKUP("tVersion",tblTrans3Langs[],7,FALSE)</f>
        <v>(fixed)</v>
      </c>
      <c r="H11" s="9" t="str">
        <f>VLOOKUP("tVersion",tblTrans3Langs[],LangNameID,FALSE)</f>
        <v>Always use the lastest version of this form</v>
      </c>
    </row>
    <row r="12" spans="1:8" x14ac:dyDescent="0.2">
      <c r="A12" s="266"/>
      <c r="B12" s="266"/>
      <c r="C12" s="284"/>
      <c r="D12" s="284"/>
      <c r="E12" s="285"/>
      <c r="F12" s="10" t="str">
        <f>VLOOKUP("tLang",tblTrans3Langs[],LangFieldID,FALSE)</f>
        <v>Language</v>
      </c>
      <c r="G12" s="24" t="str">
        <f>VLOOKUP("tLang",tblTrans3Langs[],7,FALSE)</f>
        <v>ICCAT code</v>
      </c>
      <c r="H12" s="5" t="str">
        <f>VLOOKUP("tLang",tblTrans3Langs[],LangNameID,FALSE)</f>
        <v>Choose the language (ENG, FRA, ESP) for form translation</v>
      </c>
    </row>
    <row r="13" spans="1:8" x14ac:dyDescent="0.2">
      <c r="A13" s="266"/>
      <c r="B13" s="266"/>
      <c r="C13" s="288" t="str">
        <f>VLOOKUP("H00",tblTrans3Langs[],LangFieldID,FALSE)</f>
        <v>Header</v>
      </c>
      <c r="D13" s="286" t="str">
        <f>VLOOKUP("H10",tblTrans3Langs[],LangFieldID,FALSE)</f>
        <v>Statistical correspondent</v>
      </c>
      <c r="E13" s="292" t="str">
        <f>VLOOKUP("H11",tblTrans3Langs[],LangFieldID,FALSE)</f>
        <v>Identification</v>
      </c>
      <c r="F13" s="142" t="str">
        <f>VLOOKUP("hName",tblTrans3Langs[],LangFieldID,FALSE)</f>
        <v>Name</v>
      </c>
      <c r="G13" s="141" t="str">
        <f>VLOOKUP("hName",tblTrans3Langs[],7,FALSE)</f>
        <v>string</v>
      </c>
      <c r="H13" s="11" t="str">
        <f>VLOOKUP("hName",tblTrans3Langs[],LangNameID,FALSE)</f>
        <v>Name (full OR Name &amp; Surname) of the Statistical Correspondent (officially nominated by the CPC)</v>
      </c>
    </row>
    <row r="14" spans="1:8" x14ac:dyDescent="0.2">
      <c r="A14" s="266"/>
      <c r="B14" s="266"/>
      <c r="C14" s="288"/>
      <c r="D14" s="286"/>
      <c r="E14" s="292"/>
      <c r="F14" s="12" t="str">
        <f>VLOOKUP("hEmail",tblTrans3Langs[],LangFieldID,FALSE)</f>
        <v>E-mail</v>
      </c>
      <c r="G14" s="139" t="str">
        <f>VLOOKUP("hEmail",tblTrans3Langs[],7,FALSE)</f>
        <v>string</v>
      </c>
      <c r="H14" s="13" t="str">
        <f>VLOOKUP("hEmail",tblTrans3Langs[],LangNameID,FALSE)</f>
        <v>Email address of the Statistical Correspondent</v>
      </c>
    </row>
    <row r="15" spans="1:8" x14ac:dyDescent="0.2">
      <c r="A15" s="266"/>
      <c r="B15" s="266"/>
      <c r="C15" s="288"/>
      <c r="D15" s="286"/>
      <c r="E15" s="292"/>
      <c r="F15" s="12" t="str">
        <f>VLOOKUP("hPhone",tblTrans3Langs[],LangFieldID,FALSE)</f>
        <v>Phone</v>
      </c>
      <c r="G15" s="139" t="str">
        <f>VLOOKUP("hPhone",tblTrans3Langs[],7,FALSE)</f>
        <v>string</v>
      </c>
      <c r="H15" s="13" t="str">
        <f>VLOOKUP("hPhone",tblTrans3Langs[],LangNameID,FALSE)</f>
        <v>Telephone number of the Statistical Correspondent</v>
      </c>
    </row>
    <row r="16" spans="1:8" x14ac:dyDescent="0.2">
      <c r="A16" s="266"/>
      <c r="B16" s="266"/>
      <c r="C16" s="288"/>
      <c r="D16" s="286"/>
      <c r="E16" s="292" t="str">
        <f>VLOOKUP("H12",tblTrans3Langs[],LangFieldID,FALSE)</f>
        <v>Affiliation</v>
      </c>
      <c r="F16" s="12" t="str">
        <f>VLOOKUP("hInstit",tblTrans3Langs[],LangFieldID,FALSE)</f>
        <v>Institution</v>
      </c>
      <c r="G16" s="139" t="str">
        <f>VLOOKUP("hInstit",tblTrans3Langs[],7,FALSE)</f>
        <v>string</v>
      </c>
      <c r="H16" s="13" t="str">
        <f>VLOOKUP("hInstit",tblTrans3Langs[],LangNameID,FALSE)</f>
        <v>Institute (ministry, agency, research Institute, etc.) to which the Statistical Correspondent is affiliated</v>
      </c>
    </row>
    <row r="17" spans="1:8" x14ac:dyDescent="0.2">
      <c r="A17" s="266"/>
      <c r="B17" s="266"/>
      <c r="C17" s="288"/>
      <c r="D17" s="286"/>
      <c r="E17" s="292"/>
      <c r="F17" s="12" t="str">
        <f>VLOOKUP("hDepart",tblTrans3Langs[],LangFieldID,FALSE)</f>
        <v>Department</v>
      </c>
      <c r="G17" s="139" t="str">
        <f>VLOOKUP("hDepart",tblTrans3Langs[],7,FALSE)</f>
        <v>string</v>
      </c>
      <c r="H17" s="13" t="str">
        <f>VLOOKUP("hDepart",tblTrans3Langs[],LangNameID,FALSE)</f>
        <v>Department within the Institution, where applicable</v>
      </c>
    </row>
    <row r="18" spans="1:8" x14ac:dyDescent="0.2">
      <c r="A18" s="266"/>
      <c r="B18" s="266"/>
      <c r="C18" s="288"/>
      <c r="D18" s="286"/>
      <c r="E18" s="292"/>
      <c r="F18" s="12" t="str">
        <f>VLOOKUP("hAddress",tblTrans3Langs[],LangFieldID,FALSE)</f>
        <v>Address</v>
      </c>
      <c r="G18" s="139" t="str">
        <f>VLOOKUP("hAddress",tblTrans3Langs[],7,FALSE)</f>
        <v>string</v>
      </c>
      <c r="H18" s="13" t="str">
        <f>VLOOKUP("hAddress",tblTrans3Langs[],LangNameID,FALSE)</f>
        <v>Postal address of the institution (street, number, city, state)</v>
      </c>
    </row>
    <row r="19" spans="1:8" x14ac:dyDescent="0.2">
      <c r="A19" s="266"/>
      <c r="B19" s="266"/>
      <c r="C19" s="288"/>
      <c r="D19" s="287"/>
      <c r="E19" s="293"/>
      <c r="F19" s="14" t="str">
        <f>VLOOKUP("hCountry",tblTrans3Langs[],LangFieldID,FALSE)</f>
        <v>Country</v>
      </c>
      <c r="G19" s="140" t="str">
        <f>VLOOKUP("hCountry",tblTrans3Langs[],7,FALSE)</f>
        <v>ICCAT code</v>
      </c>
      <c r="H19" s="15" t="str">
        <f>VLOOKUP("hCountry",tblTrans3Langs[],LangNameID,FALSE)</f>
        <v>Country in which the Institution is based</v>
      </c>
    </row>
    <row r="20" spans="1:8" x14ac:dyDescent="0.2">
      <c r="A20" s="266"/>
      <c r="B20" s="266"/>
      <c r="C20" s="289"/>
      <c r="D20" s="293" t="str">
        <f>VLOOKUP("H20",tblTrans3Langs[],LangFieldID,FALSE)</f>
        <v>Secretariat use only</v>
      </c>
      <c r="E20" s="297"/>
      <c r="F20" s="142" t="str">
        <f>VLOOKUP("hDaterep",tblTrans3Langs[],LangFieldID,FALSE)</f>
        <v>Date reported</v>
      </c>
      <c r="G20" s="141" t="str">
        <f>VLOOKUP("hDaterep",tblTrans3Langs[],7,FALSE)</f>
        <v>date</v>
      </c>
      <c r="H20" s="11" t="str">
        <f>VLOOKUP("hDaterep",tblTrans3Langs[],LangNameID,FALSE)</f>
        <v>Secretariat use only</v>
      </c>
    </row>
    <row r="21" spans="1:8" x14ac:dyDescent="0.2">
      <c r="A21" s="266"/>
      <c r="B21" s="266"/>
      <c r="C21" s="289"/>
      <c r="D21" s="294"/>
      <c r="E21" s="298"/>
      <c r="F21" s="12" t="str">
        <f>VLOOKUP("hRef",tblTrans3Langs[],LangFieldID,FALSE)</f>
        <v>Reference Nº</v>
      </c>
      <c r="G21" s="139" t="str">
        <f>VLOOKUP("hRef",tblTrans3Langs[],7,FALSE)</f>
        <v>ICCAT code</v>
      </c>
      <c r="H21" s="13" t="str">
        <f>VLOOKUP("hRef",tblTrans3Langs[],LangNameID,FALSE)</f>
        <v>Secretariat use only</v>
      </c>
    </row>
    <row r="22" spans="1:8" x14ac:dyDescent="0.2">
      <c r="A22" s="266"/>
      <c r="B22" s="266"/>
      <c r="C22" s="289"/>
      <c r="D22" s="294"/>
      <c r="E22" s="299"/>
      <c r="F22" s="12" t="str">
        <f>VLOOKUP("hFname",tblTrans3Langs[],LangFieldID,FALSE)</f>
        <v>File name (proposed)</v>
      </c>
      <c r="G22" s="139" t="str">
        <f>VLOOKUP("hFname",tblTrans3Langs[],7,FALSE)</f>
        <v>string</v>
      </c>
      <c r="H22" s="13" t="str">
        <f>VLOOKUP("hFname",tblTrans3Langs[],LangNameID,FALSE)</f>
        <v>Send the form to ICCAT with the proposed file name (if required, suffix it with an ID at the end)</v>
      </c>
    </row>
    <row r="23" spans="1:8" x14ac:dyDescent="0.2">
      <c r="A23" s="266"/>
      <c r="B23" s="266"/>
      <c r="C23" s="289"/>
      <c r="D23" s="294"/>
      <c r="E23" s="277" t="str">
        <f>VLOOKUP("H21",tblTrans3Langs[],LangFieldID,FALSE)</f>
        <v>Filtering criteria</v>
      </c>
      <c r="F23" s="12" t="str">
        <f>VLOOKUP("hFilter1",tblTrans3Langs[],LangFieldID,FALSE)</f>
        <v>Filter 1</v>
      </c>
      <c r="G23" s="139" t="str">
        <f>VLOOKUP("hFilter1",tblTrans3Langs[],7,FALSE)</f>
        <v>boolean</v>
      </c>
      <c r="H23" s="13" t="str">
        <f>VLOOKUP("hFilter1",tblTrans3Langs[],LangNameID,FALSE)</f>
        <v>Secretariat use only</v>
      </c>
    </row>
    <row r="24" spans="1:8" x14ac:dyDescent="0.2">
      <c r="A24" s="266"/>
      <c r="B24" s="266"/>
      <c r="C24" s="289"/>
      <c r="D24" s="295"/>
      <c r="E24" s="279"/>
      <c r="F24" s="14" t="str">
        <f>VLOOKUP("hFilter2",tblTrans3Langs[],LangFieldID,FALSE)</f>
        <v>Filter 2</v>
      </c>
      <c r="G24" s="140" t="str">
        <f>VLOOKUP("hFilter2",tblTrans3Langs[],7,FALSE)</f>
        <v>boolean</v>
      </c>
      <c r="H24" s="15" t="str">
        <f>VLOOKUP("hFilter2",tblTrans3Langs[],LangNameID,FALSE)</f>
        <v>Secretariat use only</v>
      </c>
    </row>
    <row r="25" spans="1:8" x14ac:dyDescent="0.2">
      <c r="A25" s="266"/>
      <c r="B25" s="266"/>
      <c r="C25" s="288"/>
      <c r="D25" s="294" t="str">
        <f>VLOOKUP("H30",tblTrans3Langs[],LangFieldID,FALSE)</f>
        <v>Data set characteristics</v>
      </c>
      <c r="E25" s="297"/>
      <c r="F25" s="11" t="str">
        <f>VLOOKUP("hFlagrep",tblTrans3Langs[],LangFieldID,FALSE)</f>
        <v>Reporting Flag</v>
      </c>
      <c r="G25" s="141" t="str">
        <f>VLOOKUP("hFlagrep",tblTrans3Langs[],7,FALSE)</f>
        <v>ICCAT code</v>
      </c>
      <c r="H25" s="11" t="str">
        <f>VLOOKUP("hFlagrep",tblTrans3Langs[],LangNameID,FALSE)</f>
        <v>Choose the Flag CPC reporting the data (ICCAT codes)</v>
      </c>
    </row>
    <row r="26" spans="1:8" x14ac:dyDescent="0.2">
      <c r="A26" s="266"/>
      <c r="B26" s="266"/>
      <c r="C26" s="288"/>
      <c r="D26" s="294"/>
      <c r="E26" s="298"/>
      <c r="F26" s="13" t="str">
        <f>VLOOKUP("hYearFrom",tblTrans3Langs[],LangFieldID,FALSE)</f>
        <v>Years covered (from)</v>
      </c>
      <c r="G26" s="139" t="str">
        <f>VLOOKUP("hYearFrom",tblTrans3Langs[],7,FALSE)</f>
        <v>integer</v>
      </c>
      <c r="H26" s="13" t="str">
        <f>VLOOKUP("hYearFrom",tblTrans3Langs[],LangNameID,FALSE)</f>
        <v>One or more years can be added to the form. Add the first (from) year (4 digits) to which the data relate</v>
      </c>
    </row>
    <row r="27" spans="1:8" x14ac:dyDescent="0.2">
      <c r="A27" s="266"/>
      <c r="B27" s="266"/>
      <c r="C27" s="288"/>
      <c r="D27" s="294"/>
      <c r="E27" s="298"/>
      <c r="F27" s="13" t="str">
        <f>VLOOKUP("hYearTo",tblTrans3Langs[],LangFieldID,FALSE)</f>
        <v>(to)</v>
      </c>
      <c r="G27" s="139" t="str">
        <f>VLOOKUP("hYearTo",tblTrans3Langs[],7,FALSE)</f>
        <v>integer</v>
      </c>
      <c r="H27" s="13" t="str">
        <f>VLOOKUP("hYearTo",tblTrans3Langs[],LangNameID,FALSE)</f>
        <v>One or more years can be added to the form. Add the last (to) year (4 digits) to which the data relate</v>
      </c>
    </row>
    <row r="28" spans="1:8" x14ac:dyDescent="0.2">
      <c r="A28" s="266"/>
      <c r="B28" s="266"/>
      <c r="C28" s="288"/>
      <c r="D28" s="294"/>
      <c r="E28" s="298"/>
      <c r="F28" s="13" t="str">
        <f>VLOOKUP("hSpeciesCd",tblTrans3Langs[],LangFieldID,FALSE)</f>
        <v>Species (cod)</v>
      </c>
      <c r="G28" s="139" t="str">
        <f>VLOOKUP("hSpeciesCd",tblTrans3Langs[],7,FALSE)</f>
        <v>ICCAT code</v>
      </c>
      <c r="H28" s="13" t="str">
        <f>VLOOKUP("hSpeciesCd",tblTrans3Langs[],LangNameID,FALSE)</f>
        <v>BFT only (fixed)</v>
      </c>
    </row>
    <row r="29" spans="1:8" x14ac:dyDescent="0.2">
      <c r="A29" s="266"/>
      <c r="B29" s="266"/>
      <c r="C29" s="288"/>
      <c r="D29" s="294"/>
      <c r="E29" s="298"/>
      <c r="F29" s="13" t="str">
        <f>VLOOKUP("hVersion",tblTrans3Langs[],LangFieldID,FALSE)</f>
        <v>Version reported</v>
      </c>
      <c r="G29" s="139" t="str">
        <f>VLOOKUP("hVersion",tblTrans3Langs[],7,FALSE)</f>
        <v>ICCAT code</v>
      </c>
      <c r="H29" s="13" t="str">
        <f>VLOOKUP("hVersion",tblTrans3Langs[],LangNameID,FALSE)</f>
        <v>Specify if this submission is Preliminary (subject to revision) or Final (already validated)</v>
      </c>
    </row>
    <row r="30" spans="1:8" x14ac:dyDescent="0.2">
      <c r="A30" s="266"/>
      <c r="B30" s="266"/>
      <c r="C30" s="288"/>
      <c r="D30" s="294"/>
      <c r="E30" s="299"/>
      <c r="F30" s="13" t="str">
        <f>VLOOKUP("hContent",tblTrans3Langs[],LangFieldID,FALSE)</f>
        <v>Content (data)</v>
      </c>
      <c r="G30" s="139" t="str">
        <f>VLOOKUP("hContent",tblTrans3Langs[],7,FALSE)</f>
        <v>ICCAT code</v>
      </c>
      <c r="H30" s="13" t="str">
        <f>VLOOKUP("hContent",tblTrans3Langs[],LangNameID,FALSE)</f>
        <v>Specify if the overall data content is NEW (full set OR partial set) OR a REVISION (full set OR partial set)</v>
      </c>
    </row>
    <row r="31" spans="1:8" x14ac:dyDescent="0.2">
      <c r="A31" s="266"/>
      <c r="B31" s="266"/>
      <c r="C31" s="288"/>
      <c r="D31" s="278"/>
      <c r="E31" s="64" t="str">
        <f>VLOOKUP("H31",tblTrans3Langs[],LangFieldID,FALSE)</f>
        <v>Catch attributes</v>
      </c>
      <c r="F31" s="13" t="str">
        <f>VLOOKUP("hProdtypeLW",tblTrans3Langs[],LangFieldID,FALSE)</f>
        <v>Product type</v>
      </c>
      <c r="G31" s="139" t="str">
        <f>VLOOKUP("hProdtypeLW",tblTrans3Langs[],7,FALSE)</f>
        <v>(fixed)</v>
      </c>
      <c r="H31" s="13" t="str">
        <f>VLOOKUP("hProdtypeLW",tblTrans3Langs[],LangNameID,FALSE)</f>
        <v>Live (round) weight by default (kg)</v>
      </c>
    </row>
    <row r="32" spans="1:8" ht="23.1" x14ac:dyDescent="0.2">
      <c r="A32" s="266"/>
      <c r="B32" s="266"/>
      <c r="C32" s="288"/>
      <c r="D32" s="278"/>
      <c r="E32" s="277" t="str">
        <f>VLOOKUP("H32",tblTrans3Langs[],LangFieldID,FALSE)</f>
        <v>Size frequencies attributes</v>
      </c>
      <c r="F32" s="13" t="str">
        <f>VLOOKUP("hSzclassfreq",tblTrans3Langs[],LangFieldID,FALSE)</f>
        <v>Size class type</v>
      </c>
      <c r="G32" s="139" t="str">
        <f>VLOOKUP("hSzclassfreq",tblTrans3Langs[],7,FALSE)</f>
        <v>ICCAT code</v>
      </c>
      <c r="H32" s="13" t="str">
        <f>VLOOKUP("hSzclassfreq",tblTrans3Langs[],LangNameID,FALSE)</f>
        <v>Sizes frequencies should be reported in length OR weight classes. Length classes are preferred. For length classes, the type length measurement (LJFL, FL, TL, etc.) should be indicated. Weight size frequencies must be in intervals of one kilogram</v>
      </c>
    </row>
    <row r="33" spans="1:8" x14ac:dyDescent="0.2">
      <c r="A33" s="266"/>
      <c r="B33" s="266"/>
      <c r="C33" s="288"/>
      <c r="D33" s="278"/>
      <c r="E33" s="278"/>
      <c r="F33" s="13" t="str">
        <f>VLOOKUP("hSzinterval",tblTrans3Langs[],LangFieldID,FALSE)</f>
        <v>Interval</v>
      </c>
      <c r="G33" s="139" t="str">
        <f>VLOOKUP("hSzinterval",tblTrans3Langs[],7,FALSE)</f>
        <v>integer</v>
      </c>
      <c r="H33" s="13" t="str">
        <f>VLOOKUP("hSzinterval",tblTrans3Langs[],LangNameID,FALSE)</f>
        <v>Choose the Interval of the size frequencies (1cm; 2cm, 5 cm; 1kg)</v>
      </c>
    </row>
    <row r="34" spans="1:8" x14ac:dyDescent="0.2">
      <c r="A34" s="266"/>
      <c r="B34" s="266"/>
      <c r="C34" s="288"/>
      <c r="D34" s="279"/>
      <c r="E34" s="279"/>
      <c r="F34" s="15" t="str">
        <f>VLOOKUP("hSzclasslim",tblTrans3Langs[],LangFieldID,FALSE)</f>
        <v>Class limit</v>
      </c>
      <c r="G34" s="140" t="str">
        <f>VLOOKUP("hSzclasslim",tblTrans3Langs[],7,FALSE)</f>
        <v>ICCAT code</v>
      </c>
      <c r="H34" s="15" t="str">
        <f>VLOOKUP("hSzclasslim",tblTrans3Langs[],LangNameID,FALSE)</f>
        <v>Identify the class boundary intervals (lower limit, central point, upper limit)</v>
      </c>
    </row>
    <row r="35" spans="1:8" x14ac:dyDescent="0.2">
      <c r="A35" s="266"/>
      <c r="B35" s="266"/>
      <c r="C35" s="288"/>
      <c r="D35" s="295" t="str">
        <f>VLOOKUP("H40",tblTrans3Langs[],LangFieldID,FALSE)</f>
        <v>Other attributes</v>
      </c>
      <c r="E35" s="296"/>
      <c r="F35" s="14" t="str">
        <f>VLOOKUP("hNotes",tblTrans3Langs[],LangFieldID,FALSE)</f>
        <v>Notes</v>
      </c>
      <c r="G35" s="140" t="str">
        <f>VLOOKUP("hNotes",tblTrans3Langs[],7,FALSE)</f>
        <v>string</v>
      </c>
      <c r="H35" s="15" t="str">
        <f>VLOOKUP("hNotes",tblTrans3Langs[],LangNameID,FALSE)</f>
        <v>Add additional (complementary) notes in respect to the overall dataset (if needed)</v>
      </c>
    </row>
    <row r="36" spans="1:8" x14ac:dyDescent="0.2">
      <c r="A36" s="266"/>
      <c r="B36" s="266"/>
      <c r="C36" s="271" t="str">
        <f>VLOOKUP("D00",tblTrans3Langs[],LangFieldID,FALSE)</f>
        <v>Detail</v>
      </c>
      <c r="D36" s="274" t="str">
        <f>VLOOKUP("D10",tblTrans3Langs[],LangFieldID,FALSE)</f>
        <v>CAS attributes</v>
      </c>
      <c r="E36" s="275" t="str">
        <f>VLOOKUP("D11",tblTrans3Langs[],LangFieldID,FALSE)</f>
        <v>Fleet ID</v>
      </c>
      <c r="F36" s="72" t="str">
        <f>VLOOKUP("FlagVesCd",tblTrans3Langs[],LangFieldID,FALSE)</f>
        <v>Flag of Vessel (cod)</v>
      </c>
      <c r="G36" s="141" t="str">
        <f>VLOOKUP("FlagVesCd",tblTrans3Langs[],7,FALSE)</f>
        <v>ICCAT code</v>
      </c>
      <c r="H36" s="11" t="str">
        <f>VLOOKUP("FlagVesCd",tblTrans3Langs[],LangNameID,FALSE)</f>
        <v>Choose the flag of the vessel for which the data apply (whether national or foreign flagged vessel)</v>
      </c>
    </row>
    <row r="37" spans="1:8" ht="23.1" x14ac:dyDescent="0.2">
      <c r="A37" s="266"/>
      <c r="B37" s="266"/>
      <c r="C37" s="272"/>
      <c r="D37" s="274"/>
      <c r="E37" s="275"/>
      <c r="F37" s="74" t="str">
        <f>VLOOKUP("FleetSuffix",tblTrans3Langs[],LangFieldID,FALSE)</f>
        <v xml:space="preserve">Fleet suffix </v>
      </c>
      <c r="G37" s="140" t="str">
        <f>VLOOKUP("FleetSuffix",tblTrans3Langs[],7,FALSE)</f>
        <v>string</v>
      </c>
      <c r="H37" s="15" t="str">
        <f>VLOOKUP("FleetSuffix",tblTrans3Langs[],LangNameID,FALSE)</f>
        <v>This field should be completed by those CPCs operating various fisheries with an independent data collection system (e.g. Portugal-Azores, Spain-Fuenterrabía, etc.). Additional fleet sufixes (former base ports/zones) can be adopted.</v>
      </c>
    </row>
    <row r="38" spans="1:8" ht="12.75" customHeight="1" x14ac:dyDescent="0.2">
      <c r="A38" s="266"/>
      <c r="B38" s="266"/>
      <c r="C38" s="272"/>
      <c r="D38" s="275"/>
      <c r="E38" s="268" t="str">
        <f>VLOOKUP("D12",tblTrans3Langs[],LangFieldID,FALSE)</f>
        <v>Catch strata associated to samples</v>
      </c>
      <c r="F38" s="73" t="str">
        <f>VLOOKUP("YearC",tblTrans3Langs[],LangFieldID,FALSE)</f>
        <v>Year (calendar)</v>
      </c>
      <c r="G38" s="139" t="str">
        <f>VLOOKUP("YearC",tblTrans3Langs[],7,FALSE)</f>
        <v>integer</v>
      </c>
      <c r="H38" s="13" t="str">
        <f>VLOOKUP("YearC",tblTrans3Langs[],LangNameID,FALSE)</f>
        <v>Calendar year (four digits) in which the catch was taken</v>
      </c>
    </row>
    <row r="39" spans="1:8" x14ac:dyDescent="0.2">
      <c r="A39" s="266"/>
      <c r="B39" s="266"/>
      <c r="C39" s="272"/>
      <c r="D39" s="275"/>
      <c r="E39" s="269"/>
      <c r="F39" s="73" t="str">
        <f>VLOOKUP("Month",tblTrans3Langs[],LangFieldID,FALSE)</f>
        <v>Month</v>
      </c>
      <c r="G39" s="139" t="str">
        <f>VLOOKUP("Month",tblTrans3Langs[],7,FALSE)</f>
        <v>ICCAT code</v>
      </c>
      <c r="H39" s="13" t="str">
        <f>VLOOKUP("Month",tblTrans3Langs[],LangNameID,FALSE)</f>
        <v>Catch and effort should be reported by month (January= 1; December= 12)</v>
      </c>
    </row>
    <row r="40" spans="1:8" x14ac:dyDescent="0.2">
      <c r="A40" s="266"/>
      <c r="B40" s="266"/>
      <c r="C40" s="272"/>
      <c r="D40" s="275"/>
      <c r="E40" s="269"/>
      <c r="F40" s="73" t="str">
        <f>VLOOKUP("GearCd",tblTrans3Langs[],LangFieldID,FALSE)</f>
        <v>Gear (cod)</v>
      </c>
      <c r="G40" s="139" t="str">
        <f>VLOOKUP("GearCd",tblTrans3Langs[],7,FALSE)</f>
        <v>ICCAT code</v>
      </c>
      <c r="H40" s="13" t="str">
        <f>VLOOKUP("GearCd",tblTrans3Langs[],LangNameID,FALSE)</f>
        <v>Choose the Gear code (ICCAT codes)</v>
      </c>
    </row>
    <row r="41" spans="1:8" x14ac:dyDescent="0.2">
      <c r="A41" s="266"/>
      <c r="B41" s="266"/>
      <c r="C41" s="272"/>
      <c r="D41" s="275"/>
      <c r="E41" s="269"/>
      <c r="F41" s="73" t="str">
        <f>VLOOKUP("CatchTypeCd",tblTrans3Langs[],LangFieldID,FALSE)</f>
        <v>Catch type (cod)</v>
      </c>
      <c r="G41" s="139" t="str">
        <f>VLOOKUP("CatchTypeCd",tblTrans3Langs[],7,FALSE)</f>
        <v>ICCAT code</v>
      </c>
      <c r="H41" s="13" t="str">
        <f>VLOOKUP("CatchTypeCd",tblTrans3Langs[],LangNameID,FALSE)</f>
        <v>Specify if associated samples are from catch landings or discards, and if discards whether there are live or dead discards</v>
      </c>
    </row>
    <row r="42" spans="1:8" ht="23.45" customHeight="1" x14ac:dyDescent="0.2">
      <c r="A42" s="266"/>
      <c r="B42" s="266"/>
      <c r="C42" s="272"/>
      <c r="D42" s="275"/>
      <c r="E42" s="269"/>
      <c r="F42" s="73" t="str">
        <f>VLOOKUP("SchooltypCd",tblTrans3Langs[],LangFieldID,FALSE)</f>
        <v>School t. (cod)</v>
      </c>
      <c r="G42" s="139" t="str">
        <f>VLOOKUP("SchooltypCd",tblTrans3Langs[],7,FALSE)</f>
        <v>ICCAT code</v>
      </c>
      <c r="H42" s="13" t="str">
        <f>VLOOKUP("SchooltypCd",tblTrans3Langs[],LangNameID,FALSE)</f>
        <v>For each species, enter the school type (FAD or Free School) if the gear is "purse seine". Not applicable (n/a or "blank") by default</v>
      </c>
    </row>
    <row r="43" spans="1:8" x14ac:dyDescent="0.2">
      <c r="A43" s="266"/>
      <c r="B43" s="266"/>
      <c r="C43" s="272"/>
      <c r="D43" s="275"/>
      <c r="E43" s="269"/>
      <c r="F43" s="73" t="str">
        <f>VLOOKUP("SaAreaCd",tblTrans3Langs[],LangFieldID,FALSE)</f>
        <v>Sampling area (cod)</v>
      </c>
      <c r="G43" s="139" t="str">
        <f>VLOOKUP("SaAreaCd",tblTrans3Langs[],7,FALSE)</f>
        <v>ICCAT code</v>
      </c>
      <c r="H43" s="13" t="str">
        <f>VLOOKUP("SaAreaCd",tblTrans3Langs[],LangNameID,FALSE)</f>
        <v>Choose the Sampling Area code of the species (within each stock)</v>
      </c>
    </row>
    <row r="44" spans="1:8" x14ac:dyDescent="0.2">
      <c r="A44" s="266"/>
      <c r="B44" s="266"/>
      <c r="C44" s="272"/>
      <c r="D44" s="275"/>
      <c r="E44" s="280" t="str">
        <f>VLOOKUP("D12a",tblTrans3Langs[],LangFieldID,FALSE)</f>
        <v>Geo Strata (5x5 squares)</v>
      </c>
      <c r="F44" s="73" t="str">
        <f>VLOOKUP("QuadCd",tblTrans3Langs[],LangFieldID,FALSE)</f>
        <v>Quad (cod)</v>
      </c>
      <c r="G44" s="139" t="str">
        <f>VLOOKUP("QuadCd",tblTrans3Langs[],7,FALSE)</f>
        <v>ICCAT code</v>
      </c>
      <c r="H44" s="13" t="str">
        <f>VLOOKUP("QuadCd",tblTrans3Langs[],LangNameID,FALSE)</f>
        <v>Choose the quadrant (ICCAT codes: NE(1); SE(2); SW(3); NW(4))</v>
      </c>
    </row>
    <row r="45" spans="1:8" x14ac:dyDescent="0.2">
      <c r="A45" s="266"/>
      <c r="B45" s="266"/>
      <c r="C45" s="272"/>
      <c r="D45" s="275"/>
      <c r="E45" s="280"/>
      <c r="F45" s="73" t="str">
        <f>VLOOKUP("Lat",tblTrans3Langs[],LangFieldID,FALSE)</f>
        <v>Lat</v>
      </c>
      <c r="G45" s="139" t="str">
        <f>VLOOKUP("Lat",tblTrans3Langs[],7,FALSE)</f>
        <v>integer</v>
      </c>
      <c r="H45" s="13" t="str">
        <f>VLOOKUP("Lat",tblTrans3Langs[],LangNameID,FALSE)</f>
        <v>Latitude of the corner of the square closest to 0º (multiples of the Square Type code)</v>
      </c>
    </row>
    <row r="46" spans="1:8" x14ac:dyDescent="0.2">
      <c r="A46" s="266"/>
      <c r="B46" s="266"/>
      <c r="C46" s="272"/>
      <c r="D46" s="275"/>
      <c r="E46" s="280"/>
      <c r="F46" s="73" t="str">
        <f>VLOOKUP("Lon",tblTrans3Langs[],LangFieldID,FALSE)</f>
        <v>Lon</v>
      </c>
      <c r="G46" s="139" t="str">
        <f>VLOOKUP("Lon",tblTrans3Langs[],7,FALSE)</f>
        <v>integer</v>
      </c>
      <c r="H46" s="13" t="str">
        <f>VLOOKUP("Lon",tblTrans3Langs[],LangNameID,FALSE)</f>
        <v>Longitude of the corner of the square closest to 0º (multiples of the Square Type code)</v>
      </c>
    </row>
    <row r="47" spans="1:8" x14ac:dyDescent="0.2">
      <c r="A47" s="266"/>
      <c r="B47" s="266"/>
      <c r="C47" s="272"/>
      <c r="D47" s="275"/>
      <c r="E47" s="280" t="str">
        <f>VLOOKUP("D12b",tblTrans3Langs[],LangFieldID,FALSE)</f>
        <v>Total catch</v>
      </c>
      <c r="F47" s="73" t="str">
        <f>VLOOKUP("TotCatchW",tblTrans3Langs[],LangFieldID,FALSE)</f>
        <v>Weight (kg)</v>
      </c>
      <c r="G47" s="139" t="str">
        <f>VLOOKUP("TotCatchW",tblTrans3Langs[],7,FALSE)</f>
        <v>float</v>
      </c>
      <c r="H47" s="13" t="str">
        <f>VLOOKUP("TotCatchW",tblTrans3Langs[],LangNameID,FALSE)</f>
        <v>Enter the Total catch in weight (kg) of the strata</v>
      </c>
    </row>
    <row r="48" spans="1:8" x14ac:dyDescent="0.2">
      <c r="A48" s="266"/>
      <c r="B48" s="266"/>
      <c r="C48" s="272"/>
      <c r="D48" s="275"/>
      <c r="E48" s="280"/>
      <c r="F48" s="73" t="str">
        <f>VLOOKUP("TotCatchN",tblTrans3Langs[],LangFieldID,FALSE)</f>
        <v>Number</v>
      </c>
      <c r="G48" s="139" t="str">
        <f>VLOOKUP("TotCatchN",tblTrans3Langs[],7,FALSE)</f>
        <v>float</v>
      </c>
      <c r="H48" s="13" t="str">
        <f>VLOOKUP("TotCatchN",tblTrans3Langs[],LangNameID,FALSE)</f>
        <v>Total catch in number of fish of the strata</v>
      </c>
    </row>
    <row r="49" spans="1:8" x14ac:dyDescent="0.2">
      <c r="A49" s="266"/>
      <c r="B49" s="266"/>
      <c r="C49" s="272"/>
      <c r="D49" s="275"/>
      <c r="E49" s="268" t="str">
        <f>VLOOKUP("D13",tblTrans3Langs[],LangFieldID,FALSE)</f>
        <v>Sampling details</v>
      </c>
      <c r="F49" s="72" t="str">
        <f>VLOOKUP("NrSamples",tblTrans3Langs[],LangFieldID,FALSE)</f>
        <v>Number of samples</v>
      </c>
      <c r="G49" s="139" t="str">
        <f>VLOOKUP("NrSamples",tblTrans3Langs[],7,FALSE)</f>
        <v>integer</v>
      </c>
      <c r="H49" s="13" t="str">
        <f>VLOOKUP("NrSamples",tblTrans3Langs[],LangNameID,FALSE)</f>
        <v>Number of samples combined used in each strata</v>
      </c>
    </row>
    <row r="50" spans="1:8" x14ac:dyDescent="0.2">
      <c r="A50" s="266"/>
      <c r="B50" s="266"/>
      <c r="C50" s="272"/>
      <c r="D50" s="275"/>
      <c r="E50" s="269"/>
      <c r="F50" s="73" t="str">
        <f>VLOOKUP("FishSampW",tblTrans3Langs[],LangFieldID,FALSE)</f>
        <v>Weight (kg)</v>
      </c>
      <c r="G50" s="139" t="str">
        <f>VLOOKUP("FishSampW",tblTrans3Langs[],7,FALSE)</f>
        <v>float</v>
      </c>
      <c r="H50" s="13" t="str">
        <f>VLOOKUP("FishSampW",tblTrans3Langs[],LangNameID,FALSE)</f>
        <v>Total weight (kg) of the fish sampled in the sampling unit</v>
      </c>
    </row>
    <row r="51" spans="1:8" x14ac:dyDescent="0.2">
      <c r="A51" s="266"/>
      <c r="B51" s="266"/>
      <c r="C51" s="272"/>
      <c r="D51" s="276"/>
      <c r="E51" s="270"/>
      <c r="F51" s="74" t="str">
        <f>VLOOKUP("FishSampN",tblTrans3Langs[],LangFieldID,FALSE)</f>
        <v>Number of fish</v>
      </c>
      <c r="G51" s="140" t="str">
        <f>VLOOKUP("FishSampN",tblTrans3Langs[],7,FALSE)</f>
        <v>float</v>
      </c>
      <c r="H51" s="15" t="str">
        <f>VLOOKUP("FishSampN",tblTrans3Langs[],LangNameID,FALSE)</f>
        <v>Total number of fish in the sampling unit</v>
      </c>
    </row>
    <row r="52" spans="1:8" ht="23.1" x14ac:dyDescent="0.2">
      <c r="A52" s="266"/>
      <c r="B52" s="266"/>
      <c r="C52" s="273"/>
      <c r="D52" s="276" t="str">
        <f>VLOOKUP("D20",tblTrans3Langs[],LangFieldID,FALSE)</f>
        <v>CAS details</v>
      </c>
      <c r="E52" s="75"/>
      <c r="F52" s="71" t="str">
        <f>VLOOKUP("szClass",tblTrans3Langs[],LangFieldID,FALSE)</f>
        <v>Size class</v>
      </c>
      <c r="G52" s="64" t="str">
        <f>VLOOKUP("szClass",tblTrans3Langs[],7,FALSE)</f>
        <v>integer</v>
      </c>
      <c r="H52" s="16" t="str">
        <f>VLOOKUP("szClass",tblTrans3Langs[],LangNameID,FALSE)</f>
        <v>The size class of the fish. In each sampling unit, it should start at the lowest size class and continue in multiples of the chosen Interval (header section). It is not necessary to enter size classes for which fish sampled is "zero"</v>
      </c>
    </row>
    <row r="53" spans="1:8" x14ac:dyDescent="0.2">
      <c r="A53" s="266"/>
      <c r="B53" s="266"/>
      <c r="C53" s="273"/>
      <c r="D53" s="300"/>
      <c r="E53" s="268" t="str">
        <f>VLOOKUP("D21",tblTrans3Langs[],LangFieldID,FALSE)</f>
        <v>Number &amp; Gender</v>
      </c>
      <c r="F53" s="76" t="str">
        <f>VLOOKUP("NoUc",tblTrans3Langs[],LangFieldID,FALSE)</f>
        <v xml:space="preserve">U </v>
      </c>
      <c r="G53" s="139" t="str">
        <f>VLOOKUP("NoUc",tblTrans3Langs[],7,FALSE)</f>
        <v>float</v>
      </c>
      <c r="H53" s="13" t="str">
        <f>VLOOKUP("NoUc",tblTrans3Langs[],LangNameID,FALSE)</f>
        <v>Add to each class the Number of fish caught (sex unknow)</v>
      </c>
    </row>
    <row r="54" spans="1:8" x14ac:dyDescent="0.2">
      <c r="A54" s="266"/>
      <c r="B54" s="266"/>
      <c r="C54" s="273"/>
      <c r="D54" s="300"/>
      <c r="E54" s="269"/>
      <c r="F54" s="76" t="str">
        <f>VLOOKUP("NoMc",tblTrans3Langs[],LangFieldID,FALSE)</f>
        <v>M</v>
      </c>
      <c r="G54" s="139" t="str">
        <f>VLOOKUP("NoMc",tblTrans3Langs[],7,FALSE)</f>
        <v>float</v>
      </c>
      <c r="H54" s="13" t="str">
        <f>VLOOKUP("NoMc",tblTrans3Langs[],LangNameID,FALSE)</f>
        <v>Add to each class the Number of fish caught (males)</v>
      </c>
    </row>
    <row r="55" spans="1:8" x14ac:dyDescent="0.2">
      <c r="A55" s="266"/>
      <c r="B55" s="266"/>
      <c r="C55" s="273"/>
      <c r="D55" s="300"/>
      <c r="E55" s="269"/>
      <c r="F55" s="76" t="str">
        <f>VLOOKUP("NoFc",tblTrans3Langs[],LangFieldID,FALSE)</f>
        <v>F</v>
      </c>
      <c r="G55" s="139" t="str">
        <f>VLOOKUP("NoFc",tblTrans3Langs[],7,FALSE)</f>
        <v>float</v>
      </c>
      <c r="H55" s="13" t="str">
        <f>VLOOKUP("NoFc",tblTrans3Langs[],LangNameID,FALSE)</f>
        <v>Add to each class the Number of fish caught (females)</v>
      </c>
    </row>
    <row r="56" spans="1:8" x14ac:dyDescent="0.2">
      <c r="A56" s="267"/>
      <c r="B56" s="267"/>
      <c r="C56" s="273"/>
      <c r="D56" s="301"/>
      <c r="E56" s="270"/>
      <c r="F56" s="77" t="str">
        <f>VLOOKUP("NoIc",tblTrans3Langs[],LangFieldID,FALSE)</f>
        <v>I</v>
      </c>
      <c r="G56" s="140" t="str">
        <f>VLOOKUP("NoIc",tblTrans3Langs[],7,FALSE)</f>
        <v>float</v>
      </c>
      <c r="H56" s="15" t="str">
        <f>VLOOKUP("NoIc",tblTrans3Langs[],LangNameID,FALSE)</f>
        <v>Add to each class the Number of fish caught (immatures)</v>
      </c>
    </row>
  </sheetData>
  <sheetProtection algorithmName="SHA-512" hashValue="4l9Y8IS0OkWq7P3VlIhl3fH0V+GcfSWs6HxO82uj5H3ln7twdQvRkoLjd+MqOev2eOLlyE2d8pBAXvB2E4RASw==" saltValue="2oQLcsEjOhOIB0GYOXCc9A==" spinCount="100000" sheet="1" objects="1" scenarios="1" formatCells="0" autoFilter="0"/>
  <mergeCells count="31">
    <mergeCell ref="E13:E15"/>
    <mergeCell ref="E16:E19"/>
    <mergeCell ref="A11:A56"/>
    <mergeCell ref="D20:D24"/>
    <mergeCell ref="D25:D34"/>
    <mergeCell ref="D35:E35"/>
    <mergeCell ref="E23:E24"/>
    <mergeCell ref="E20:E22"/>
    <mergeCell ref="E25:E30"/>
    <mergeCell ref="D52:D56"/>
    <mergeCell ref="A1:H1"/>
    <mergeCell ref="A2:E2"/>
    <mergeCell ref="B3:H3"/>
    <mergeCell ref="B4:H4"/>
    <mergeCell ref="B5:H5"/>
    <mergeCell ref="B6:H6"/>
    <mergeCell ref="B7:H7"/>
    <mergeCell ref="B11:B56"/>
    <mergeCell ref="E53:E56"/>
    <mergeCell ref="C36:C56"/>
    <mergeCell ref="D36:D51"/>
    <mergeCell ref="E32:E34"/>
    <mergeCell ref="E49:E51"/>
    <mergeCell ref="E44:E46"/>
    <mergeCell ref="E47:E48"/>
    <mergeCell ref="E36:E37"/>
    <mergeCell ref="E38:E43"/>
    <mergeCell ref="A9:E9"/>
    <mergeCell ref="C11:E12"/>
    <mergeCell ref="D13:D19"/>
    <mergeCell ref="C13:C3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5"/>
  <sheetViews>
    <sheetView zoomScaleNormal="100" workbookViewId="0">
      <selection activeCell="D25" sqref="D25"/>
    </sheetView>
  </sheetViews>
  <sheetFormatPr defaultColWidth="9.125" defaultRowHeight="11.55" x14ac:dyDescent="0.2"/>
  <cols>
    <col min="1" max="1" width="8.25" style="34" customWidth="1"/>
    <col min="2" max="2" width="7.75" style="34" customWidth="1"/>
    <col min="3" max="3" width="7.5" style="34" customWidth="1"/>
    <col min="4" max="4" width="74.75" style="34" customWidth="1"/>
    <col min="5" max="5" width="11" style="34" bestFit="1" customWidth="1"/>
    <col min="6" max="6" width="21.25" style="34" bestFit="1" customWidth="1"/>
    <col min="7" max="7" width="13.875" style="34" bestFit="1" customWidth="1"/>
    <col min="8" max="16384" width="9.125" style="34"/>
  </cols>
  <sheetData>
    <row r="1" spans="1:7" ht="19.05" x14ac:dyDescent="0.2">
      <c r="A1" s="303" t="s">
        <v>847</v>
      </c>
      <c r="B1" s="303"/>
      <c r="C1" s="303"/>
      <c r="D1" s="303"/>
      <c r="E1" s="303"/>
      <c r="F1" s="303"/>
      <c r="G1" s="33"/>
    </row>
    <row r="2" spans="1:7" x14ac:dyDescent="0.2">
      <c r="A2" s="35"/>
      <c r="B2" s="35"/>
      <c r="C2" s="35"/>
      <c r="D2" s="35"/>
      <c r="E2" s="35"/>
      <c r="F2" s="35"/>
    </row>
    <row r="3" spans="1:7" x14ac:dyDescent="0.2">
      <c r="A3" s="57" t="str">
        <f>VLOOKUP("SC01",tblTrans3Langs[],LangFieldID,FALSE)</f>
        <v>Form</v>
      </c>
      <c r="B3" s="58" t="s">
        <v>828</v>
      </c>
      <c r="C3" s="59" t="s">
        <v>428</v>
      </c>
      <c r="D3" s="58" t="s">
        <v>329</v>
      </c>
      <c r="E3" s="58" t="s">
        <v>829</v>
      </c>
      <c r="F3" s="58" t="s">
        <v>830</v>
      </c>
      <c r="G3" s="58" t="str">
        <f>"Status ("&amp;LEFT('ST05-T2CS'!Q2,4)&amp;")"</f>
        <v>Status (2025)</v>
      </c>
    </row>
    <row r="4" spans="1:7" x14ac:dyDescent="0.2">
      <c r="A4" s="304" t="str">
        <f>VLOOKUP("T00",tblTrans3Langs[],LangFieldID,FALSE)</f>
        <v>ST05-T2CS</v>
      </c>
      <c r="B4" s="307">
        <v>1</v>
      </c>
      <c r="C4" s="36" t="s">
        <v>435</v>
      </c>
      <c r="D4" s="37" t="s">
        <v>831</v>
      </c>
      <c r="E4" s="36" t="s">
        <v>832</v>
      </c>
      <c r="F4" s="38" t="str">
        <f>"{"&amp;LEFT('ST05-T2CS'!Q2,4)&amp;"a}*"</f>
        <v>{2025a}*</v>
      </c>
      <c r="G4" s="39" t="s">
        <v>840</v>
      </c>
    </row>
    <row r="5" spans="1:7" x14ac:dyDescent="0.2">
      <c r="A5" s="305"/>
      <c r="B5" s="308"/>
      <c r="C5" s="40" t="s">
        <v>436</v>
      </c>
      <c r="D5" s="41" t="s">
        <v>833</v>
      </c>
      <c r="E5" s="40" t="s">
        <v>832</v>
      </c>
      <c r="F5" s="42"/>
      <c r="G5" s="43" t="s">
        <v>840</v>
      </c>
    </row>
    <row r="6" spans="1:7" x14ac:dyDescent="0.2">
      <c r="A6" s="305"/>
      <c r="B6" s="308"/>
      <c r="C6" s="40" t="s">
        <v>437</v>
      </c>
      <c r="D6" s="41" t="s">
        <v>834</v>
      </c>
      <c r="E6" s="40" t="s">
        <v>832</v>
      </c>
      <c r="F6" s="42" t="s">
        <v>835</v>
      </c>
      <c r="G6" s="43" t="s">
        <v>840</v>
      </c>
    </row>
    <row r="7" spans="1:7" x14ac:dyDescent="0.2">
      <c r="A7" s="305"/>
      <c r="B7" s="307">
        <v>2</v>
      </c>
      <c r="C7" s="44" t="s">
        <v>435</v>
      </c>
      <c r="D7" s="45" t="s">
        <v>1050</v>
      </c>
      <c r="E7" s="46" t="s">
        <v>836</v>
      </c>
      <c r="F7" s="26" t="s">
        <v>1032</v>
      </c>
      <c r="G7" s="43" t="s">
        <v>840</v>
      </c>
    </row>
    <row r="8" spans="1:7" x14ac:dyDescent="0.2">
      <c r="A8" s="305"/>
      <c r="B8" s="308"/>
      <c r="C8" s="47" t="s">
        <v>436</v>
      </c>
      <c r="D8" s="1" t="s">
        <v>837</v>
      </c>
      <c r="E8" s="48" t="s">
        <v>836</v>
      </c>
      <c r="F8" s="27" t="s">
        <v>839</v>
      </c>
      <c r="G8" s="43" t="s">
        <v>840</v>
      </c>
    </row>
    <row r="9" spans="1:7" x14ac:dyDescent="0.2">
      <c r="A9" s="305"/>
      <c r="B9" s="308"/>
      <c r="C9" s="47" t="s">
        <v>437</v>
      </c>
      <c r="D9" s="49" t="s">
        <v>1217</v>
      </c>
      <c r="E9" s="48" t="s">
        <v>836</v>
      </c>
      <c r="F9" s="27" t="s">
        <v>1218</v>
      </c>
      <c r="G9" s="43" t="s">
        <v>840</v>
      </c>
    </row>
    <row r="10" spans="1:7" x14ac:dyDescent="0.2">
      <c r="A10" s="305"/>
      <c r="B10" s="308"/>
      <c r="C10" s="47" t="s">
        <v>438</v>
      </c>
      <c r="D10" s="49" t="s">
        <v>841</v>
      </c>
      <c r="E10" s="48" t="s">
        <v>836</v>
      </c>
      <c r="F10" s="50" t="s">
        <v>838</v>
      </c>
      <c r="G10" s="60" t="s">
        <v>1033</v>
      </c>
    </row>
    <row r="11" spans="1:7" x14ac:dyDescent="0.2">
      <c r="A11" s="306"/>
      <c r="B11" s="309"/>
      <c r="C11" s="51" t="s">
        <v>439</v>
      </c>
      <c r="D11" s="52" t="s">
        <v>904</v>
      </c>
      <c r="E11" s="53" t="s">
        <v>836</v>
      </c>
      <c r="F11" s="54" t="s">
        <v>838</v>
      </c>
      <c r="G11" s="61" t="s">
        <v>1033</v>
      </c>
    </row>
    <row r="13" spans="1:7" x14ac:dyDescent="0.2">
      <c r="A13" s="310" t="s">
        <v>1404</v>
      </c>
      <c r="B13" s="310"/>
      <c r="C13" s="310"/>
      <c r="D13" s="310"/>
      <c r="E13" s="310"/>
      <c r="F13" s="310"/>
      <c r="G13" s="310"/>
    </row>
    <row r="14" spans="1:7" x14ac:dyDescent="0.2">
      <c r="A14" s="310" t="s">
        <v>903</v>
      </c>
      <c r="B14" s="310"/>
      <c r="C14" s="310"/>
      <c r="D14" s="310"/>
      <c r="E14" s="310"/>
      <c r="F14" s="310"/>
      <c r="G14" s="310"/>
    </row>
    <row r="15" spans="1:7" x14ac:dyDescent="0.2">
      <c r="A15" s="302" t="s">
        <v>1381</v>
      </c>
      <c r="B15" s="302"/>
      <c r="C15" s="302"/>
      <c r="D15" s="302"/>
      <c r="E15" s="302"/>
      <c r="F15" s="302"/>
      <c r="G15" s="302"/>
    </row>
  </sheetData>
  <sheetProtection algorithmName="SHA-512" hashValue="xcVT4Y0+fAlDeu9RKyf56bhHK41UEDSEtU1KSTKJWGuQhFkvKQVuyEitX0EFTTkrCIlhmK+4H5MJocvExF8hAw==" saltValue="LVT75Xj8URL3ipv9f1Rd4g==" spinCount="100000" sheet="1" objects="1" scenarios="1"/>
  <mergeCells count="7">
    <mergeCell ref="A15:G15"/>
    <mergeCell ref="A1:F1"/>
    <mergeCell ref="A4:A11"/>
    <mergeCell ref="B4:B6"/>
    <mergeCell ref="B7:B11"/>
    <mergeCell ref="A13:G13"/>
    <mergeCell ref="A14:G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M89"/>
  <sheetViews>
    <sheetView topLeftCell="A34" zoomScale="85" zoomScaleNormal="85" workbookViewId="0">
      <selection activeCell="G52" sqref="G52"/>
    </sheetView>
  </sheetViews>
  <sheetFormatPr defaultColWidth="12.875" defaultRowHeight="10.9" x14ac:dyDescent="0.2"/>
  <cols>
    <col min="1" max="1" width="11" style="29" bestFit="1" customWidth="1"/>
    <col min="2" max="2" width="7.875" style="28" bestFit="1" customWidth="1"/>
    <col min="3" max="3" width="9" style="28" bestFit="1" customWidth="1"/>
    <col min="4" max="4" width="9" style="28" customWidth="1"/>
    <col min="5" max="5" width="9" style="28" bestFit="1" customWidth="1"/>
    <col min="6" max="6" width="8.25" style="29" bestFit="1" customWidth="1"/>
    <col min="7" max="7" width="10.875" style="29" bestFit="1" customWidth="1"/>
    <col min="8" max="10" width="26.75" style="29" customWidth="1"/>
    <col min="11" max="13" width="60.75" style="29" customWidth="1"/>
    <col min="14" max="16384" width="12.875" style="29"/>
  </cols>
  <sheetData>
    <row r="1" spans="1:13" ht="11.55" x14ac:dyDescent="0.2">
      <c r="A1" s="311" t="s">
        <v>440</v>
      </c>
      <c r="B1" s="311"/>
      <c r="C1" s="311"/>
      <c r="D1" s="109"/>
      <c r="H1" s="65" t="s">
        <v>1029</v>
      </c>
      <c r="I1" s="66">
        <f>IF(idiom="ENG",8,IF(idiom="FRA",9,10))</f>
        <v>8</v>
      </c>
    </row>
    <row r="2" spans="1:13" ht="11.55" x14ac:dyDescent="0.2">
      <c r="H2" s="65" t="s">
        <v>1030</v>
      </c>
      <c r="I2" s="66">
        <f>IF(idiom="ENG",11,IF(idiom="FRA",12,13))</f>
        <v>11</v>
      </c>
    </row>
    <row r="4" spans="1:13" x14ac:dyDescent="0.2">
      <c r="A4" s="30" t="s">
        <v>427</v>
      </c>
      <c r="B4" s="31" t="s">
        <v>1212</v>
      </c>
      <c r="C4" s="31" t="s">
        <v>1213</v>
      </c>
      <c r="D4" s="31" t="s">
        <v>1214</v>
      </c>
      <c r="E4" s="31" t="s">
        <v>358</v>
      </c>
      <c r="F4" s="31" t="s">
        <v>428</v>
      </c>
      <c r="G4" s="31" t="s">
        <v>649</v>
      </c>
      <c r="H4" s="31" t="s">
        <v>650</v>
      </c>
      <c r="I4" s="31" t="s">
        <v>651</v>
      </c>
      <c r="J4" s="31" t="s">
        <v>652</v>
      </c>
      <c r="K4" s="31" t="s">
        <v>653</v>
      </c>
      <c r="L4" s="31" t="s">
        <v>654</v>
      </c>
      <c r="M4" s="32" t="s">
        <v>655</v>
      </c>
    </row>
    <row r="5" spans="1:13" x14ac:dyDescent="0.2">
      <c r="A5" s="110" t="s">
        <v>725</v>
      </c>
      <c r="B5" s="111">
        <v>381</v>
      </c>
      <c r="C5" s="111" t="s">
        <v>1073</v>
      </c>
      <c r="D5" s="112" t="s">
        <v>1073</v>
      </c>
      <c r="E5" s="111" t="s">
        <v>1074</v>
      </c>
      <c r="F5" s="112" t="s">
        <v>432</v>
      </c>
      <c r="G5" s="112" t="s">
        <v>75</v>
      </c>
      <c r="H5" s="113" t="s">
        <v>1031</v>
      </c>
      <c r="I5" s="113" t="s">
        <v>1031</v>
      </c>
      <c r="J5" s="113" t="s">
        <v>1031</v>
      </c>
      <c r="K5" s="113" t="s">
        <v>1261</v>
      </c>
      <c r="L5" s="113" t="s">
        <v>1262</v>
      </c>
      <c r="M5" s="113" t="s">
        <v>1263</v>
      </c>
    </row>
    <row r="6" spans="1:13" ht="21.75" x14ac:dyDescent="0.2">
      <c r="A6" s="114" t="s">
        <v>656</v>
      </c>
      <c r="B6" s="111">
        <v>382</v>
      </c>
      <c r="C6" s="111" t="s">
        <v>1073</v>
      </c>
      <c r="D6" s="112" t="s">
        <v>1073</v>
      </c>
      <c r="E6" s="111" t="s">
        <v>1074</v>
      </c>
      <c r="F6" s="112" t="s">
        <v>431</v>
      </c>
      <c r="G6" s="112" t="s">
        <v>75</v>
      </c>
      <c r="H6" s="113" t="s">
        <v>65</v>
      </c>
      <c r="I6" s="113" t="s">
        <v>657</v>
      </c>
      <c r="J6" s="113" t="s">
        <v>658</v>
      </c>
      <c r="K6" s="113" t="s">
        <v>359</v>
      </c>
      <c r="L6" s="113" t="s">
        <v>360</v>
      </c>
      <c r="M6" s="113" t="s">
        <v>361</v>
      </c>
    </row>
    <row r="7" spans="1:13" x14ac:dyDescent="0.2">
      <c r="A7" s="110" t="s">
        <v>688</v>
      </c>
      <c r="B7" s="111">
        <v>383</v>
      </c>
      <c r="C7" s="111" t="s">
        <v>1073</v>
      </c>
      <c r="D7" s="112" t="s">
        <v>1073</v>
      </c>
      <c r="E7" s="111" t="s">
        <v>1074</v>
      </c>
      <c r="F7" s="111" t="s">
        <v>662</v>
      </c>
      <c r="G7" s="111" t="s">
        <v>75</v>
      </c>
      <c r="H7" s="113" t="s">
        <v>726</v>
      </c>
      <c r="I7" s="113" t="s">
        <v>727</v>
      </c>
      <c r="J7" s="113" t="s">
        <v>728</v>
      </c>
      <c r="K7" s="113" t="s">
        <v>729</v>
      </c>
      <c r="L7" s="113" t="s">
        <v>730</v>
      </c>
      <c r="M7" s="113" t="s">
        <v>731</v>
      </c>
    </row>
    <row r="8" spans="1:13" x14ac:dyDescent="0.2">
      <c r="A8" s="110" t="s">
        <v>1215</v>
      </c>
      <c r="B8" s="111">
        <v>383</v>
      </c>
      <c r="C8" s="111" t="s">
        <v>1073</v>
      </c>
      <c r="D8" s="112" t="s">
        <v>1073</v>
      </c>
      <c r="E8" s="111" t="s">
        <v>1074</v>
      </c>
      <c r="F8" s="111" t="s">
        <v>662</v>
      </c>
      <c r="G8" s="111" t="s">
        <v>75</v>
      </c>
      <c r="H8" s="113" t="s">
        <v>1216</v>
      </c>
      <c r="I8" s="113" t="s">
        <v>1216</v>
      </c>
      <c r="J8" s="113" t="s">
        <v>1216</v>
      </c>
      <c r="K8" s="115" t="s">
        <v>75</v>
      </c>
      <c r="L8" s="115" t="s">
        <v>75</v>
      </c>
      <c r="M8" s="115" t="s">
        <v>75</v>
      </c>
    </row>
    <row r="9" spans="1:13" x14ac:dyDescent="0.2">
      <c r="A9" s="114" t="s">
        <v>1075</v>
      </c>
      <c r="B9" s="111">
        <v>384</v>
      </c>
      <c r="C9" s="111" t="s">
        <v>1073</v>
      </c>
      <c r="D9" s="112" t="s">
        <v>1073</v>
      </c>
      <c r="E9" s="111" t="s">
        <v>1074</v>
      </c>
      <c r="F9" s="111" t="s">
        <v>444</v>
      </c>
      <c r="G9" s="111" t="s">
        <v>659</v>
      </c>
      <c r="H9" s="113" t="s">
        <v>412</v>
      </c>
      <c r="I9" s="113" t="s">
        <v>412</v>
      </c>
      <c r="J9" s="113" t="s">
        <v>660</v>
      </c>
      <c r="K9" s="113" t="s">
        <v>1076</v>
      </c>
      <c r="L9" s="113" t="s">
        <v>1077</v>
      </c>
      <c r="M9" s="113" t="s">
        <v>1078</v>
      </c>
    </row>
    <row r="10" spans="1:13" x14ac:dyDescent="0.2">
      <c r="A10" s="114" t="s">
        <v>1079</v>
      </c>
      <c r="B10" s="111">
        <v>385</v>
      </c>
      <c r="C10" s="111" t="s">
        <v>1073</v>
      </c>
      <c r="D10" s="112" t="s">
        <v>1073</v>
      </c>
      <c r="E10" s="111" t="s">
        <v>1074</v>
      </c>
      <c r="F10" s="111" t="s">
        <v>444</v>
      </c>
      <c r="G10" s="111" t="s">
        <v>661</v>
      </c>
      <c r="H10" s="113" t="s">
        <v>441</v>
      </c>
      <c r="I10" s="113" t="s">
        <v>442</v>
      </c>
      <c r="J10" s="113" t="s">
        <v>443</v>
      </c>
      <c r="K10" s="113" t="s">
        <v>1080</v>
      </c>
      <c r="L10" s="113" t="s">
        <v>1081</v>
      </c>
      <c r="M10" s="113" t="s">
        <v>1082</v>
      </c>
    </row>
    <row r="11" spans="1:13" x14ac:dyDescent="0.2">
      <c r="A11" s="110" t="s">
        <v>665</v>
      </c>
      <c r="B11" s="111">
        <v>386</v>
      </c>
      <c r="C11" s="111" t="s">
        <v>1073</v>
      </c>
      <c r="D11" s="112" t="s">
        <v>1073</v>
      </c>
      <c r="E11" s="111" t="s">
        <v>328</v>
      </c>
      <c r="F11" s="111" t="s">
        <v>432</v>
      </c>
      <c r="G11" s="112" t="s">
        <v>75</v>
      </c>
      <c r="H11" s="115" t="s">
        <v>328</v>
      </c>
      <c r="I11" s="115" t="s">
        <v>633</v>
      </c>
      <c r="J11" s="115" t="s">
        <v>399</v>
      </c>
      <c r="K11" s="115" t="s">
        <v>75</v>
      </c>
      <c r="L11" s="115" t="s">
        <v>75</v>
      </c>
      <c r="M11" s="115" t="s">
        <v>75</v>
      </c>
    </row>
    <row r="12" spans="1:13" x14ac:dyDescent="0.2">
      <c r="A12" s="110" t="s">
        <v>667</v>
      </c>
      <c r="B12" s="111">
        <v>387</v>
      </c>
      <c r="C12" s="111" t="s">
        <v>1073</v>
      </c>
      <c r="D12" s="112" t="s">
        <v>1073</v>
      </c>
      <c r="E12" s="111" t="s">
        <v>328</v>
      </c>
      <c r="F12" s="112" t="s">
        <v>662</v>
      </c>
      <c r="G12" s="112" t="s">
        <v>75</v>
      </c>
      <c r="H12" s="115" t="s">
        <v>0</v>
      </c>
      <c r="I12" s="115" t="s">
        <v>362</v>
      </c>
      <c r="J12" s="113" t="s">
        <v>732</v>
      </c>
      <c r="K12" s="113" t="s">
        <v>75</v>
      </c>
      <c r="L12" s="113" t="s">
        <v>75</v>
      </c>
      <c r="M12" s="113" t="s">
        <v>75</v>
      </c>
    </row>
    <row r="13" spans="1:13" x14ac:dyDescent="0.2">
      <c r="A13" s="114" t="s">
        <v>668</v>
      </c>
      <c r="B13" s="111">
        <v>388</v>
      </c>
      <c r="C13" s="111" t="s">
        <v>1073</v>
      </c>
      <c r="D13" s="112" t="s">
        <v>1073</v>
      </c>
      <c r="E13" s="111" t="s">
        <v>328</v>
      </c>
      <c r="F13" s="112" t="s">
        <v>663</v>
      </c>
      <c r="G13" s="112" t="s">
        <v>75</v>
      </c>
      <c r="H13" s="115" t="s">
        <v>334</v>
      </c>
      <c r="I13" s="115" t="s">
        <v>334</v>
      </c>
      <c r="J13" s="115" t="s">
        <v>400</v>
      </c>
      <c r="K13" s="115" t="s">
        <v>75</v>
      </c>
      <c r="L13" s="115" t="s">
        <v>75</v>
      </c>
      <c r="M13" s="115" t="s">
        <v>75</v>
      </c>
    </row>
    <row r="14" spans="1:13" x14ac:dyDescent="0.2">
      <c r="A14" s="114" t="s">
        <v>672</v>
      </c>
      <c r="B14" s="111">
        <v>389</v>
      </c>
      <c r="C14" s="111" t="s">
        <v>1073</v>
      </c>
      <c r="D14" s="112" t="s">
        <v>1073</v>
      </c>
      <c r="E14" s="111" t="s">
        <v>328</v>
      </c>
      <c r="F14" s="112" t="s">
        <v>663</v>
      </c>
      <c r="G14" s="112" t="s">
        <v>75</v>
      </c>
      <c r="H14" s="115" t="s">
        <v>18</v>
      </c>
      <c r="I14" s="115" t="s">
        <v>18</v>
      </c>
      <c r="J14" s="115" t="s">
        <v>367</v>
      </c>
      <c r="K14" s="115" t="s">
        <v>75</v>
      </c>
      <c r="L14" s="115" t="s">
        <v>75</v>
      </c>
      <c r="M14" s="115" t="s">
        <v>75</v>
      </c>
    </row>
    <row r="15" spans="1:13" x14ac:dyDescent="0.2">
      <c r="A15" s="114" t="s">
        <v>677</v>
      </c>
      <c r="B15" s="111">
        <v>390</v>
      </c>
      <c r="C15" s="111" t="s">
        <v>1073</v>
      </c>
      <c r="D15" s="112" t="s">
        <v>1073</v>
      </c>
      <c r="E15" s="111" t="s">
        <v>328</v>
      </c>
      <c r="F15" s="112" t="s">
        <v>662</v>
      </c>
      <c r="G15" s="112" t="s">
        <v>75</v>
      </c>
      <c r="H15" s="113" t="s">
        <v>717</v>
      </c>
      <c r="I15" s="113" t="s">
        <v>448</v>
      </c>
      <c r="J15" s="113" t="s">
        <v>733</v>
      </c>
      <c r="K15" s="113" t="s">
        <v>75</v>
      </c>
      <c r="L15" s="113" t="s">
        <v>75</v>
      </c>
      <c r="M15" s="113" t="s">
        <v>75</v>
      </c>
    </row>
    <row r="16" spans="1:13" x14ac:dyDescent="0.2">
      <c r="A16" s="116" t="s">
        <v>678</v>
      </c>
      <c r="B16" s="111">
        <v>391</v>
      </c>
      <c r="C16" s="111" t="s">
        <v>1073</v>
      </c>
      <c r="D16" s="112" t="s">
        <v>1073</v>
      </c>
      <c r="E16" s="111" t="s">
        <v>328</v>
      </c>
      <c r="F16" s="112" t="s">
        <v>663</v>
      </c>
      <c r="G16" s="112" t="s">
        <v>75</v>
      </c>
      <c r="H16" s="115" t="s">
        <v>734</v>
      </c>
      <c r="I16" s="113" t="s">
        <v>735</v>
      </c>
      <c r="J16" s="113" t="s">
        <v>736</v>
      </c>
      <c r="K16" s="113" t="s">
        <v>75</v>
      </c>
      <c r="L16" s="113" t="s">
        <v>75</v>
      </c>
      <c r="M16" s="113" t="s">
        <v>75</v>
      </c>
    </row>
    <row r="17" spans="1:13" x14ac:dyDescent="0.2">
      <c r="A17" s="114" t="s">
        <v>687</v>
      </c>
      <c r="B17" s="111">
        <v>392</v>
      </c>
      <c r="C17" s="111" t="s">
        <v>1073</v>
      </c>
      <c r="D17" s="112" t="s">
        <v>1073</v>
      </c>
      <c r="E17" s="111" t="s">
        <v>328</v>
      </c>
      <c r="F17" s="112" t="s">
        <v>662</v>
      </c>
      <c r="G17" s="112" t="s">
        <v>75</v>
      </c>
      <c r="H17" s="113" t="s">
        <v>8</v>
      </c>
      <c r="I17" s="113" t="s">
        <v>1083</v>
      </c>
      <c r="J17" s="113" t="s">
        <v>1084</v>
      </c>
      <c r="K17" s="113" t="s">
        <v>75</v>
      </c>
      <c r="L17" s="113" t="s">
        <v>75</v>
      </c>
      <c r="M17" s="113" t="s">
        <v>75</v>
      </c>
    </row>
    <row r="18" spans="1:13" x14ac:dyDescent="0.2">
      <c r="A18" s="114" t="s">
        <v>721</v>
      </c>
      <c r="B18" s="111">
        <v>393</v>
      </c>
      <c r="C18" s="111" t="s">
        <v>1073</v>
      </c>
      <c r="D18" s="112" t="s">
        <v>1073</v>
      </c>
      <c r="E18" s="111" t="s">
        <v>328</v>
      </c>
      <c r="F18" s="112" t="s">
        <v>663</v>
      </c>
      <c r="G18" s="112" t="s">
        <v>75</v>
      </c>
      <c r="H18" s="113" t="s">
        <v>738</v>
      </c>
      <c r="I18" s="113" t="s">
        <v>739</v>
      </c>
      <c r="J18" s="113" t="s">
        <v>740</v>
      </c>
      <c r="K18" s="113" t="s">
        <v>75</v>
      </c>
      <c r="L18" s="113" t="s">
        <v>75</v>
      </c>
      <c r="M18" s="113" t="s">
        <v>75</v>
      </c>
    </row>
    <row r="19" spans="1:13" x14ac:dyDescent="0.2">
      <c r="A19" s="116" t="s">
        <v>737</v>
      </c>
      <c r="B19" s="111">
        <v>394</v>
      </c>
      <c r="C19" s="111" t="s">
        <v>1073</v>
      </c>
      <c r="D19" s="112" t="s">
        <v>1073</v>
      </c>
      <c r="E19" s="111" t="s">
        <v>328</v>
      </c>
      <c r="F19" s="112" t="s">
        <v>663</v>
      </c>
      <c r="G19" s="112" t="s">
        <v>75</v>
      </c>
      <c r="H19" s="115" t="s">
        <v>14</v>
      </c>
      <c r="I19" s="115" t="s">
        <v>381</v>
      </c>
      <c r="J19" s="115" t="s">
        <v>741</v>
      </c>
      <c r="K19" s="115" t="s">
        <v>75</v>
      </c>
      <c r="L19" s="115" t="s">
        <v>75</v>
      </c>
      <c r="M19" s="115" t="s">
        <v>75</v>
      </c>
    </row>
    <row r="20" spans="1:13" x14ac:dyDescent="0.2">
      <c r="A20" s="110" t="s">
        <v>742</v>
      </c>
      <c r="B20" s="111">
        <v>395</v>
      </c>
      <c r="C20" s="111" t="s">
        <v>1073</v>
      </c>
      <c r="D20" s="112" t="s">
        <v>1073</v>
      </c>
      <c r="E20" s="111" t="s">
        <v>328</v>
      </c>
      <c r="F20" s="112" t="s">
        <v>662</v>
      </c>
      <c r="G20" s="112" t="s">
        <v>75</v>
      </c>
      <c r="H20" s="115" t="s">
        <v>743</v>
      </c>
      <c r="I20" s="113" t="s">
        <v>744</v>
      </c>
      <c r="J20" s="115" t="s">
        <v>745</v>
      </c>
      <c r="K20" s="115" t="s">
        <v>75</v>
      </c>
      <c r="L20" s="115" t="s">
        <v>75</v>
      </c>
      <c r="M20" s="115" t="s">
        <v>75</v>
      </c>
    </row>
    <row r="21" spans="1:13" ht="21.75" x14ac:dyDescent="0.2">
      <c r="A21" s="110" t="s">
        <v>669</v>
      </c>
      <c r="B21" s="111">
        <v>396</v>
      </c>
      <c r="C21" s="111" t="s">
        <v>1073</v>
      </c>
      <c r="D21" s="112" t="s">
        <v>1073</v>
      </c>
      <c r="E21" s="111" t="s">
        <v>328</v>
      </c>
      <c r="F21" s="112" t="s">
        <v>444</v>
      </c>
      <c r="G21" s="111" t="s">
        <v>1047</v>
      </c>
      <c r="H21" s="115" t="s">
        <v>1</v>
      </c>
      <c r="I21" s="115" t="s">
        <v>363</v>
      </c>
      <c r="J21" s="115" t="s">
        <v>364</v>
      </c>
      <c r="K21" s="115" t="s">
        <v>1085</v>
      </c>
      <c r="L21" s="115" t="s">
        <v>1086</v>
      </c>
      <c r="M21" s="115" t="s">
        <v>1087</v>
      </c>
    </row>
    <row r="22" spans="1:13" x14ac:dyDescent="0.2">
      <c r="A22" s="110" t="s">
        <v>670</v>
      </c>
      <c r="B22" s="111">
        <v>397</v>
      </c>
      <c r="C22" s="111" t="s">
        <v>1073</v>
      </c>
      <c r="D22" s="112" t="s">
        <v>1073</v>
      </c>
      <c r="E22" s="111" t="s">
        <v>328</v>
      </c>
      <c r="F22" s="112" t="s">
        <v>444</v>
      </c>
      <c r="G22" s="111" t="s">
        <v>1047</v>
      </c>
      <c r="H22" s="115" t="s">
        <v>2</v>
      </c>
      <c r="I22" s="115" t="s">
        <v>2</v>
      </c>
      <c r="J22" s="115" t="s">
        <v>2</v>
      </c>
      <c r="K22" s="115" t="s">
        <v>1088</v>
      </c>
      <c r="L22" s="115" t="s">
        <v>1089</v>
      </c>
      <c r="M22" s="115" t="s">
        <v>1090</v>
      </c>
    </row>
    <row r="23" spans="1:13" x14ac:dyDescent="0.2">
      <c r="A23" s="110" t="s">
        <v>671</v>
      </c>
      <c r="B23" s="111">
        <v>398</v>
      </c>
      <c r="C23" s="111" t="s">
        <v>1073</v>
      </c>
      <c r="D23" s="112" t="s">
        <v>1073</v>
      </c>
      <c r="E23" s="111" t="s">
        <v>328</v>
      </c>
      <c r="F23" s="112" t="s">
        <v>444</v>
      </c>
      <c r="G23" s="111" t="s">
        <v>1047</v>
      </c>
      <c r="H23" s="115" t="s">
        <v>3</v>
      </c>
      <c r="I23" s="115" t="s">
        <v>365</v>
      </c>
      <c r="J23" s="115" t="s">
        <v>366</v>
      </c>
      <c r="K23" s="115" t="s">
        <v>1091</v>
      </c>
      <c r="L23" s="115" t="s">
        <v>1092</v>
      </c>
      <c r="M23" s="115" t="s">
        <v>1093</v>
      </c>
    </row>
    <row r="24" spans="1:13" ht="21.75" x14ac:dyDescent="0.2">
      <c r="A24" s="110" t="s">
        <v>673</v>
      </c>
      <c r="B24" s="111">
        <v>399</v>
      </c>
      <c r="C24" s="111" t="s">
        <v>1073</v>
      </c>
      <c r="D24" s="112" t="s">
        <v>1073</v>
      </c>
      <c r="E24" s="111" t="s">
        <v>328</v>
      </c>
      <c r="F24" s="112" t="s">
        <v>444</v>
      </c>
      <c r="G24" s="111" t="s">
        <v>1047</v>
      </c>
      <c r="H24" s="115" t="s">
        <v>4</v>
      </c>
      <c r="I24" s="115" t="s">
        <v>4</v>
      </c>
      <c r="J24" s="115" t="s">
        <v>368</v>
      </c>
      <c r="K24" s="115" t="s">
        <v>1094</v>
      </c>
      <c r="L24" s="115" t="s">
        <v>1095</v>
      </c>
      <c r="M24" s="115" t="s">
        <v>1096</v>
      </c>
    </row>
    <row r="25" spans="1:13" x14ac:dyDescent="0.2">
      <c r="A25" s="110" t="s">
        <v>674</v>
      </c>
      <c r="B25" s="111">
        <v>400</v>
      </c>
      <c r="C25" s="111" t="s">
        <v>1073</v>
      </c>
      <c r="D25" s="112" t="s">
        <v>1073</v>
      </c>
      <c r="E25" s="111" t="s">
        <v>328</v>
      </c>
      <c r="F25" s="112" t="s">
        <v>444</v>
      </c>
      <c r="G25" s="111" t="s">
        <v>1047</v>
      </c>
      <c r="H25" s="115" t="s">
        <v>5</v>
      </c>
      <c r="I25" s="115" t="s">
        <v>369</v>
      </c>
      <c r="J25" s="115" t="s">
        <v>370</v>
      </c>
      <c r="K25" s="115" t="s">
        <v>1097</v>
      </c>
      <c r="L25" s="115" t="s">
        <v>1098</v>
      </c>
      <c r="M25" s="115" t="s">
        <v>1099</v>
      </c>
    </row>
    <row r="26" spans="1:13" x14ac:dyDescent="0.2">
      <c r="A26" s="110" t="s">
        <v>675</v>
      </c>
      <c r="B26" s="111">
        <v>401</v>
      </c>
      <c r="C26" s="111" t="s">
        <v>1073</v>
      </c>
      <c r="D26" s="112" t="s">
        <v>1073</v>
      </c>
      <c r="E26" s="111" t="s">
        <v>328</v>
      </c>
      <c r="F26" s="112" t="s">
        <v>444</v>
      </c>
      <c r="G26" s="111" t="s">
        <v>1047</v>
      </c>
      <c r="H26" s="115" t="s">
        <v>6</v>
      </c>
      <c r="I26" s="115" t="s">
        <v>371</v>
      </c>
      <c r="J26" s="115" t="s">
        <v>372</v>
      </c>
      <c r="K26" s="115" t="s">
        <v>1100</v>
      </c>
      <c r="L26" s="115" t="s">
        <v>1101</v>
      </c>
      <c r="M26" s="115" t="s">
        <v>1102</v>
      </c>
    </row>
    <row r="27" spans="1:13" x14ac:dyDescent="0.2">
      <c r="A27" s="110" t="s">
        <v>676</v>
      </c>
      <c r="B27" s="111">
        <v>402</v>
      </c>
      <c r="C27" s="111" t="s">
        <v>1073</v>
      </c>
      <c r="D27" s="112" t="s">
        <v>1073</v>
      </c>
      <c r="E27" s="111" t="s">
        <v>328</v>
      </c>
      <c r="F27" s="112" t="s">
        <v>444</v>
      </c>
      <c r="G27" s="111" t="s">
        <v>661</v>
      </c>
      <c r="H27" s="113" t="s">
        <v>7</v>
      </c>
      <c r="I27" s="115" t="s">
        <v>373</v>
      </c>
      <c r="J27" s="115" t="s">
        <v>374</v>
      </c>
      <c r="K27" s="115" t="s">
        <v>1103</v>
      </c>
      <c r="L27" s="115" t="s">
        <v>1104</v>
      </c>
      <c r="M27" s="115" t="s">
        <v>1105</v>
      </c>
    </row>
    <row r="28" spans="1:13" x14ac:dyDescent="0.2">
      <c r="A28" s="110" t="s">
        <v>746</v>
      </c>
      <c r="B28" s="111">
        <v>403</v>
      </c>
      <c r="C28" s="111" t="s">
        <v>1073</v>
      </c>
      <c r="D28" s="112" t="s">
        <v>1073</v>
      </c>
      <c r="E28" s="111" t="s">
        <v>328</v>
      </c>
      <c r="F28" s="112" t="s">
        <v>444</v>
      </c>
      <c r="G28" s="111" t="s">
        <v>661</v>
      </c>
      <c r="H28" s="113" t="s">
        <v>747</v>
      </c>
      <c r="I28" s="113" t="s">
        <v>375</v>
      </c>
      <c r="J28" s="113" t="s">
        <v>748</v>
      </c>
      <c r="K28" s="113" t="s">
        <v>1106</v>
      </c>
      <c r="L28" s="113" t="s">
        <v>1107</v>
      </c>
      <c r="M28" s="113" t="s">
        <v>1108</v>
      </c>
    </row>
    <row r="29" spans="1:13" ht="21.75" x14ac:dyDescent="0.2">
      <c r="A29" s="110" t="s">
        <v>1045</v>
      </c>
      <c r="B29" s="111">
        <v>404</v>
      </c>
      <c r="C29" s="111" t="s">
        <v>1073</v>
      </c>
      <c r="D29" s="112" t="s">
        <v>1073</v>
      </c>
      <c r="E29" s="111" t="s">
        <v>328</v>
      </c>
      <c r="F29" s="111" t="s">
        <v>444</v>
      </c>
      <c r="G29" s="111" t="s">
        <v>723</v>
      </c>
      <c r="H29" s="113" t="s">
        <v>1039</v>
      </c>
      <c r="I29" s="113" t="s">
        <v>1040</v>
      </c>
      <c r="J29" s="113" t="s">
        <v>1041</v>
      </c>
      <c r="K29" s="113" t="s">
        <v>1109</v>
      </c>
      <c r="L29" s="113" t="s">
        <v>1110</v>
      </c>
      <c r="M29" s="113" t="s">
        <v>1111</v>
      </c>
    </row>
    <row r="30" spans="1:13" ht="21.75" x14ac:dyDescent="0.2">
      <c r="A30" s="110" t="s">
        <v>1046</v>
      </c>
      <c r="B30" s="111">
        <v>405</v>
      </c>
      <c r="C30" s="111" t="s">
        <v>1073</v>
      </c>
      <c r="D30" s="112" t="s">
        <v>1073</v>
      </c>
      <c r="E30" s="111" t="s">
        <v>328</v>
      </c>
      <c r="F30" s="111" t="s">
        <v>444</v>
      </c>
      <c r="G30" s="111" t="s">
        <v>723</v>
      </c>
      <c r="H30" s="113" t="s">
        <v>1042</v>
      </c>
      <c r="I30" s="113" t="s">
        <v>1043</v>
      </c>
      <c r="J30" s="113" t="s">
        <v>1044</v>
      </c>
      <c r="K30" s="113" t="s">
        <v>1112</v>
      </c>
      <c r="L30" s="113" t="s">
        <v>1113</v>
      </c>
      <c r="M30" s="113" t="s">
        <v>1114</v>
      </c>
    </row>
    <row r="31" spans="1:13" ht="21.75" x14ac:dyDescent="0.2">
      <c r="A31" s="110" t="s">
        <v>679</v>
      </c>
      <c r="B31" s="111">
        <v>406</v>
      </c>
      <c r="C31" s="111" t="s">
        <v>1073</v>
      </c>
      <c r="D31" s="112" t="s">
        <v>1073</v>
      </c>
      <c r="E31" s="111" t="s">
        <v>328</v>
      </c>
      <c r="F31" s="112" t="s">
        <v>444</v>
      </c>
      <c r="G31" s="111" t="s">
        <v>661</v>
      </c>
      <c r="H31" s="115" t="s">
        <v>10</v>
      </c>
      <c r="I31" s="115" t="s">
        <v>376</v>
      </c>
      <c r="J31" s="115" t="s">
        <v>377</v>
      </c>
      <c r="K31" s="115" t="s">
        <v>1115</v>
      </c>
      <c r="L31" s="115" t="s">
        <v>1116</v>
      </c>
      <c r="M31" s="115" t="s">
        <v>1117</v>
      </c>
    </row>
    <row r="32" spans="1:13" ht="21.75" x14ac:dyDescent="0.2">
      <c r="A32" s="114" t="s">
        <v>689</v>
      </c>
      <c r="B32" s="111">
        <v>407</v>
      </c>
      <c r="C32" s="111" t="s">
        <v>1073</v>
      </c>
      <c r="D32" s="112" t="s">
        <v>1073</v>
      </c>
      <c r="E32" s="111" t="s">
        <v>328</v>
      </c>
      <c r="F32" s="111" t="s">
        <v>444</v>
      </c>
      <c r="G32" s="111" t="s">
        <v>661</v>
      </c>
      <c r="H32" s="113" t="s">
        <v>690</v>
      </c>
      <c r="I32" s="113" t="s">
        <v>691</v>
      </c>
      <c r="J32" s="113" t="s">
        <v>692</v>
      </c>
      <c r="K32" s="113" t="s">
        <v>1118</v>
      </c>
      <c r="L32" s="113" t="s">
        <v>1119</v>
      </c>
      <c r="M32" s="113" t="s">
        <v>1120</v>
      </c>
    </row>
    <row r="33" spans="1:13" x14ac:dyDescent="0.2">
      <c r="A33" s="116" t="s">
        <v>749</v>
      </c>
      <c r="B33" s="111">
        <v>408</v>
      </c>
      <c r="C33" s="111" t="s">
        <v>1073</v>
      </c>
      <c r="D33" s="112" t="s">
        <v>1073</v>
      </c>
      <c r="E33" s="111" t="s">
        <v>328</v>
      </c>
      <c r="F33" s="112" t="s">
        <v>444</v>
      </c>
      <c r="G33" s="111" t="s">
        <v>661</v>
      </c>
      <c r="H33" s="113" t="s">
        <v>750</v>
      </c>
      <c r="I33" s="113" t="s">
        <v>751</v>
      </c>
      <c r="J33" s="113" t="s">
        <v>752</v>
      </c>
      <c r="K33" s="113" t="s">
        <v>1121</v>
      </c>
      <c r="L33" s="113" t="s">
        <v>1122</v>
      </c>
      <c r="M33" s="113" t="s">
        <v>1123</v>
      </c>
    </row>
    <row r="34" spans="1:13" x14ac:dyDescent="0.2">
      <c r="A34" s="114" t="s">
        <v>753</v>
      </c>
      <c r="B34" s="111">
        <v>409</v>
      </c>
      <c r="C34" s="111" t="s">
        <v>1073</v>
      </c>
      <c r="D34" s="112" t="s">
        <v>1073</v>
      </c>
      <c r="E34" s="111" t="s">
        <v>328</v>
      </c>
      <c r="F34" s="112" t="s">
        <v>444</v>
      </c>
      <c r="G34" s="111" t="s">
        <v>659</v>
      </c>
      <c r="H34" s="115" t="s">
        <v>13</v>
      </c>
      <c r="I34" s="115" t="s">
        <v>379</v>
      </c>
      <c r="J34" s="115" t="s">
        <v>380</v>
      </c>
      <c r="K34" s="115" t="s">
        <v>1219</v>
      </c>
      <c r="L34" s="115" t="s">
        <v>1221</v>
      </c>
      <c r="M34" s="115" t="s">
        <v>1220</v>
      </c>
    </row>
    <row r="35" spans="1:13" ht="43.5" x14ac:dyDescent="0.2">
      <c r="A35" s="116" t="s">
        <v>680</v>
      </c>
      <c r="B35" s="111">
        <v>410</v>
      </c>
      <c r="C35" s="111" t="s">
        <v>1073</v>
      </c>
      <c r="D35" s="112" t="s">
        <v>1073</v>
      </c>
      <c r="E35" s="111" t="s">
        <v>328</v>
      </c>
      <c r="F35" s="112" t="s">
        <v>444</v>
      </c>
      <c r="G35" s="111" t="s">
        <v>661</v>
      </c>
      <c r="H35" s="115" t="s">
        <v>270</v>
      </c>
      <c r="I35" s="115" t="s">
        <v>382</v>
      </c>
      <c r="J35" s="115" t="s">
        <v>383</v>
      </c>
      <c r="K35" s="115" t="s">
        <v>1124</v>
      </c>
      <c r="L35" s="115" t="s">
        <v>1125</v>
      </c>
      <c r="M35" s="115" t="s">
        <v>1126</v>
      </c>
    </row>
    <row r="36" spans="1:13" x14ac:dyDescent="0.2">
      <c r="A36" s="116" t="s">
        <v>681</v>
      </c>
      <c r="B36" s="111">
        <v>411</v>
      </c>
      <c r="C36" s="111" t="s">
        <v>1073</v>
      </c>
      <c r="D36" s="112" t="s">
        <v>1073</v>
      </c>
      <c r="E36" s="111" t="s">
        <v>328</v>
      </c>
      <c r="F36" s="112" t="s">
        <v>444</v>
      </c>
      <c r="G36" s="112" t="s">
        <v>723</v>
      </c>
      <c r="H36" s="115" t="s">
        <v>333</v>
      </c>
      <c r="I36" s="115" t="s">
        <v>384</v>
      </c>
      <c r="J36" s="115" t="s">
        <v>385</v>
      </c>
      <c r="K36" s="115" t="s">
        <v>1127</v>
      </c>
      <c r="L36" s="115" t="s">
        <v>1128</v>
      </c>
      <c r="M36" s="115" t="s">
        <v>1129</v>
      </c>
    </row>
    <row r="37" spans="1:13" ht="21.75" x14ac:dyDescent="0.2">
      <c r="A37" s="116" t="s">
        <v>682</v>
      </c>
      <c r="B37" s="111">
        <v>412</v>
      </c>
      <c r="C37" s="111" t="s">
        <v>1073</v>
      </c>
      <c r="D37" s="112" t="s">
        <v>1073</v>
      </c>
      <c r="E37" s="111" t="s">
        <v>328</v>
      </c>
      <c r="F37" s="112" t="s">
        <v>444</v>
      </c>
      <c r="G37" s="111" t="s">
        <v>661</v>
      </c>
      <c r="H37" s="115" t="s">
        <v>19</v>
      </c>
      <c r="I37" s="115" t="s">
        <v>386</v>
      </c>
      <c r="J37" s="115" t="s">
        <v>387</v>
      </c>
      <c r="K37" s="115" t="s">
        <v>1130</v>
      </c>
      <c r="L37" s="115" t="s">
        <v>1131</v>
      </c>
      <c r="M37" s="115" t="s">
        <v>1132</v>
      </c>
    </row>
    <row r="38" spans="1:13" x14ac:dyDescent="0.2">
      <c r="A38" s="114" t="s">
        <v>683</v>
      </c>
      <c r="B38" s="111">
        <v>413</v>
      </c>
      <c r="C38" s="111" t="s">
        <v>1073</v>
      </c>
      <c r="D38" s="112" t="s">
        <v>1073</v>
      </c>
      <c r="E38" s="111" t="s">
        <v>328</v>
      </c>
      <c r="F38" s="112" t="s">
        <v>444</v>
      </c>
      <c r="G38" s="112" t="s">
        <v>724</v>
      </c>
      <c r="H38" s="115" t="s">
        <v>445</v>
      </c>
      <c r="I38" s="113" t="s">
        <v>754</v>
      </c>
      <c r="J38" s="115" t="s">
        <v>449</v>
      </c>
      <c r="K38" s="115" t="s">
        <v>717</v>
      </c>
      <c r="L38" s="115" t="s">
        <v>448</v>
      </c>
      <c r="M38" s="115" t="s">
        <v>755</v>
      </c>
    </row>
    <row r="39" spans="1:13" x14ac:dyDescent="0.2">
      <c r="A39" s="110" t="s">
        <v>684</v>
      </c>
      <c r="B39" s="111">
        <v>414</v>
      </c>
      <c r="C39" s="111" t="s">
        <v>1073</v>
      </c>
      <c r="D39" s="112" t="s">
        <v>1073</v>
      </c>
      <c r="E39" s="111" t="s">
        <v>328</v>
      </c>
      <c r="F39" s="112" t="s">
        <v>444</v>
      </c>
      <c r="G39" s="111" t="s">
        <v>661</v>
      </c>
      <c r="H39" s="115" t="s">
        <v>446</v>
      </c>
      <c r="I39" s="115" t="s">
        <v>450</v>
      </c>
      <c r="J39" s="115" t="s">
        <v>451</v>
      </c>
      <c r="K39" s="115" t="s">
        <v>717</v>
      </c>
      <c r="L39" s="115" t="s">
        <v>448</v>
      </c>
      <c r="M39" s="115" t="s">
        <v>733</v>
      </c>
    </row>
    <row r="40" spans="1:13" ht="21.75" x14ac:dyDescent="0.2">
      <c r="A40" s="114" t="s">
        <v>685</v>
      </c>
      <c r="B40" s="111">
        <v>415</v>
      </c>
      <c r="C40" s="111" t="s">
        <v>1073</v>
      </c>
      <c r="D40" s="112" t="s">
        <v>1073</v>
      </c>
      <c r="E40" s="111" t="s">
        <v>328</v>
      </c>
      <c r="F40" s="112" t="s">
        <v>444</v>
      </c>
      <c r="G40" s="111" t="s">
        <v>1047</v>
      </c>
      <c r="H40" s="113" t="s">
        <v>447</v>
      </c>
      <c r="I40" s="113" t="s">
        <v>452</v>
      </c>
      <c r="J40" s="113" t="s">
        <v>453</v>
      </c>
      <c r="K40" s="113" t="s">
        <v>756</v>
      </c>
      <c r="L40" s="113" t="s">
        <v>1133</v>
      </c>
      <c r="M40" s="113" t="s">
        <v>757</v>
      </c>
    </row>
    <row r="41" spans="1:13" x14ac:dyDescent="0.2">
      <c r="A41" s="114" t="s">
        <v>713</v>
      </c>
      <c r="B41" s="111">
        <v>416</v>
      </c>
      <c r="C41" s="111" t="s">
        <v>1073</v>
      </c>
      <c r="D41" s="112" t="s">
        <v>1073</v>
      </c>
      <c r="E41" s="111" t="s">
        <v>328</v>
      </c>
      <c r="F41" s="111" t="s">
        <v>444</v>
      </c>
      <c r="G41" s="111" t="s">
        <v>714</v>
      </c>
      <c r="H41" s="113" t="s">
        <v>639</v>
      </c>
      <c r="I41" s="113" t="s">
        <v>715</v>
      </c>
      <c r="J41" s="113" t="s">
        <v>716</v>
      </c>
      <c r="K41" s="113" t="s">
        <v>717</v>
      </c>
      <c r="L41" s="113" t="s">
        <v>448</v>
      </c>
      <c r="M41" s="113" t="s">
        <v>755</v>
      </c>
    </row>
    <row r="42" spans="1:13" x14ac:dyDescent="0.2">
      <c r="A42" s="114" t="s">
        <v>718</v>
      </c>
      <c r="B42" s="111">
        <v>417</v>
      </c>
      <c r="C42" s="111" t="s">
        <v>1073</v>
      </c>
      <c r="D42" s="112" t="s">
        <v>1073</v>
      </c>
      <c r="E42" s="111" t="s">
        <v>328</v>
      </c>
      <c r="F42" s="111" t="s">
        <v>444</v>
      </c>
      <c r="G42" s="111" t="s">
        <v>714</v>
      </c>
      <c r="H42" s="113" t="s">
        <v>640</v>
      </c>
      <c r="I42" s="113" t="s">
        <v>719</v>
      </c>
      <c r="J42" s="113" t="s">
        <v>720</v>
      </c>
      <c r="K42" s="113" t="s">
        <v>717</v>
      </c>
      <c r="L42" s="113" t="s">
        <v>448</v>
      </c>
      <c r="M42" s="113" t="s">
        <v>755</v>
      </c>
    </row>
    <row r="43" spans="1:13" ht="21.75" x14ac:dyDescent="0.2">
      <c r="A43" s="114" t="s">
        <v>686</v>
      </c>
      <c r="B43" s="111">
        <v>418</v>
      </c>
      <c r="C43" s="111" t="s">
        <v>1073</v>
      </c>
      <c r="D43" s="112" t="s">
        <v>1073</v>
      </c>
      <c r="E43" s="111" t="s">
        <v>328</v>
      </c>
      <c r="F43" s="112" t="s">
        <v>444</v>
      </c>
      <c r="G43" s="111" t="s">
        <v>1047</v>
      </c>
      <c r="H43" s="115" t="s">
        <v>327</v>
      </c>
      <c r="I43" s="115" t="s">
        <v>327</v>
      </c>
      <c r="J43" s="115" t="s">
        <v>388</v>
      </c>
      <c r="K43" s="115" t="s">
        <v>1134</v>
      </c>
      <c r="L43" s="115" t="s">
        <v>1135</v>
      </c>
      <c r="M43" s="115" t="s">
        <v>1136</v>
      </c>
    </row>
    <row r="44" spans="1:13" x14ac:dyDescent="0.2">
      <c r="A44" s="110" t="s">
        <v>666</v>
      </c>
      <c r="B44" s="111">
        <v>419</v>
      </c>
      <c r="C44" s="111" t="s">
        <v>1073</v>
      </c>
      <c r="D44" s="112" t="s">
        <v>1073</v>
      </c>
      <c r="E44" s="111" t="s">
        <v>326</v>
      </c>
      <c r="F44" s="111" t="s">
        <v>432</v>
      </c>
      <c r="G44" s="112" t="s">
        <v>75</v>
      </c>
      <c r="H44" s="113" t="s">
        <v>326</v>
      </c>
      <c r="I44" s="113" t="s">
        <v>634</v>
      </c>
      <c r="J44" s="113" t="s">
        <v>401</v>
      </c>
      <c r="K44" s="113" t="s">
        <v>75</v>
      </c>
      <c r="L44" s="113" t="s">
        <v>75</v>
      </c>
      <c r="M44" s="113" t="s">
        <v>75</v>
      </c>
    </row>
    <row r="45" spans="1:13" x14ac:dyDescent="0.2">
      <c r="A45" s="116" t="s">
        <v>705</v>
      </c>
      <c r="B45" s="111">
        <v>420</v>
      </c>
      <c r="C45" s="111" t="s">
        <v>1073</v>
      </c>
      <c r="D45" s="112" t="s">
        <v>1073</v>
      </c>
      <c r="E45" s="111" t="s">
        <v>326</v>
      </c>
      <c r="F45" s="112" t="s">
        <v>662</v>
      </c>
      <c r="G45" s="112" t="s">
        <v>75</v>
      </c>
      <c r="H45" s="115" t="s">
        <v>15</v>
      </c>
      <c r="I45" s="115" t="s">
        <v>758</v>
      </c>
      <c r="J45" s="115" t="s">
        <v>759</v>
      </c>
      <c r="K45" s="115" t="s">
        <v>75</v>
      </c>
      <c r="L45" s="115" t="s">
        <v>75</v>
      </c>
      <c r="M45" s="115" t="s">
        <v>75</v>
      </c>
    </row>
    <row r="46" spans="1:13" x14ac:dyDescent="0.2">
      <c r="A46" s="114" t="s">
        <v>707</v>
      </c>
      <c r="B46" s="111">
        <v>421</v>
      </c>
      <c r="C46" s="111" t="s">
        <v>1073</v>
      </c>
      <c r="D46" s="112" t="s">
        <v>1073</v>
      </c>
      <c r="E46" s="111" t="s">
        <v>326</v>
      </c>
      <c r="F46" s="112" t="s">
        <v>663</v>
      </c>
      <c r="G46" s="112" t="s">
        <v>75</v>
      </c>
      <c r="H46" s="113" t="s">
        <v>760</v>
      </c>
      <c r="I46" s="113" t="s">
        <v>761</v>
      </c>
      <c r="J46" s="113" t="s">
        <v>762</v>
      </c>
      <c r="K46" s="113" t="s">
        <v>75</v>
      </c>
      <c r="L46" s="113" t="s">
        <v>75</v>
      </c>
      <c r="M46" s="113" t="s">
        <v>75</v>
      </c>
    </row>
    <row r="47" spans="1:13" ht="21.75" x14ac:dyDescent="0.2">
      <c r="A47" s="116" t="s">
        <v>708</v>
      </c>
      <c r="B47" s="111">
        <v>422</v>
      </c>
      <c r="C47" s="111" t="s">
        <v>1073</v>
      </c>
      <c r="D47" s="112" t="s">
        <v>1073</v>
      </c>
      <c r="E47" s="111" t="s">
        <v>326</v>
      </c>
      <c r="F47" s="112" t="s">
        <v>663</v>
      </c>
      <c r="G47" s="112" t="s">
        <v>75</v>
      </c>
      <c r="H47" s="115" t="s">
        <v>17</v>
      </c>
      <c r="I47" s="115" t="s">
        <v>389</v>
      </c>
      <c r="J47" s="115" t="s">
        <v>390</v>
      </c>
      <c r="K47" s="115" t="s">
        <v>75</v>
      </c>
      <c r="L47" s="115" t="s">
        <v>75</v>
      </c>
      <c r="M47" s="115" t="s">
        <v>75</v>
      </c>
    </row>
    <row r="48" spans="1:13" x14ac:dyDescent="0.2">
      <c r="A48" s="116" t="s">
        <v>710</v>
      </c>
      <c r="B48" s="111">
        <v>423</v>
      </c>
      <c r="C48" s="111" t="s">
        <v>1073</v>
      </c>
      <c r="D48" s="112" t="s">
        <v>1073</v>
      </c>
      <c r="E48" s="111" t="s">
        <v>326</v>
      </c>
      <c r="F48" s="112" t="s">
        <v>663</v>
      </c>
      <c r="G48" s="112" t="s">
        <v>75</v>
      </c>
      <c r="H48" s="115" t="s">
        <v>763</v>
      </c>
      <c r="I48" s="115" t="s">
        <v>764</v>
      </c>
      <c r="J48" s="115" t="s">
        <v>765</v>
      </c>
      <c r="K48" s="115" t="s">
        <v>75</v>
      </c>
      <c r="L48" s="115" t="s">
        <v>75</v>
      </c>
      <c r="M48" s="115" t="s">
        <v>75</v>
      </c>
    </row>
    <row r="49" spans="1:13" x14ac:dyDescent="0.2">
      <c r="A49" s="116" t="s">
        <v>711</v>
      </c>
      <c r="B49" s="111">
        <v>424</v>
      </c>
      <c r="C49" s="111" t="s">
        <v>1073</v>
      </c>
      <c r="D49" s="112" t="s">
        <v>1073</v>
      </c>
      <c r="E49" s="111" t="s">
        <v>326</v>
      </c>
      <c r="F49" s="112" t="s">
        <v>663</v>
      </c>
      <c r="G49" s="112" t="s">
        <v>75</v>
      </c>
      <c r="H49" s="115" t="s">
        <v>324</v>
      </c>
      <c r="I49" s="115" t="s">
        <v>766</v>
      </c>
      <c r="J49" s="115" t="s">
        <v>391</v>
      </c>
      <c r="K49" s="115" t="s">
        <v>75</v>
      </c>
      <c r="L49" s="115" t="s">
        <v>75</v>
      </c>
      <c r="M49" s="115" t="s">
        <v>75</v>
      </c>
    </row>
    <row r="50" spans="1:13" x14ac:dyDescent="0.2">
      <c r="A50" s="116" t="s">
        <v>709</v>
      </c>
      <c r="B50" s="111">
        <v>425</v>
      </c>
      <c r="C50" s="111" t="s">
        <v>1073</v>
      </c>
      <c r="D50" s="112" t="s">
        <v>1073</v>
      </c>
      <c r="E50" s="111" t="s">
        <v>326</v>
      </c>
      <c r="F50" s="112" t="s">
        <v>663</v>
      </c>
      <c r="G50" s="112" t="s">
        <v>75</v>
      </c>
      <c r="H50" s="115" t="s">
        <v>825</v>
      </c>
      <c r="I50" s="115" t="s">
        <v>827</v>
      </c>
      <c r="J50" s="115" t="s">
        <v>826</v>
      </c>
      <c r="K50" s="115" t="s">
        <v>75</v>
      </c>
      <c r="L50" s="115" t="s">
        <v>75</v>
      </c>
      <c r="M50" s="115" t="s">
        <v>75</v>
      </c>
    </row>
    <row r="51" spans="1:13" x14ac:dyDescent="0.2">
      <c r="A51" s="116" t="s">
        <v>706</v>
      </c>
      <c r="B51" s="111">
        <v>426</v>
      </c>
      <c r="C51" s="111" t="s">
        <v>1073</v>
      </c>
      <c r="D51" s="112" t="s">
        <v>1073</v>
      </c>
      <c r="E51" s="111" t="s">
        <v>326</v>
      </c>
      <c r="F51" s="112" t="s">
        <v>662</v>
      </c>
      <c r="G51" s="112" t="s">
        <v>75</v>
      </c>
      <c r="H51" s="115" t="s">
        <v>767</v>
      </c>
      <c r="I51" s="115" t="s">
        <v>768</v>
      </c>
      <c r="J51" s="115" t="s">
        <v>769</v>
      </c>
      <c r="K51" s="115" t="s">
        <v>75</v>
      </c>
      <c r="L51" s="115" t="s">
        <v>75</v>
      </c>
      <c r="M51" s="115" t="s">
        <v>75</v>
      </c>
    </row>
    <row r="52" spans="1:13" x14ac:dyDescent="0.2">
      <c r="A52" s="116" t="s">
        <v>712</v>
      </c>
      <c r="B52" s="111">
        <v>427</v>
      </c>
      <c r="C52" s="111" t="s">
        <v>1073</v>
      </c>
      <c r="D52" s="112" t="s">
        <v>1073</v>
      </c>
      <c r="E52" s="111" t="s">
        <v>326</v>
      </c>
      <c r="F52" s="112" t="s">
        <v>663</v>
      </c>
      <c r="G52" s="112" t="s">
        <v>75</v>
      </c>
      <c r="H52" s="115" t="s">
        <v>395</v>
      </c>
      <c r="I52" s="115" t="s">
        <v>396</v>
      </c>
      <c r="J52" s="115" t="s">
        <v>397</v>
      </c>
      <c r="K52" s="115" t="s">
        <v>75</v>
      </c>
      <c r="L52" s="115" t="s">
        <v>75</v>
      </c>
      <c r="M52" s="115" t="s">
        <v>75</v>
      </c>
    </row>
    <row r="53" spans="1:13" ht="21.75" x14ac:dyDescent="0.2">
      <c r="A53" s="110" t="s">
        <v>770</v>
      </c>
      <c r="B53" s="111">
        <v>428</v>
      </c>
      <c r="C53" s="111" t="s">
        <v>1073</v>
      </c>
      <c r="D53" s="112" t="s">
        <v>1073</v>
      </c>
      <c r="E53" s="111" t="s">
        <v>326</v>
      </c>
      <c r="F53" s="112" t="s">
        <v>444</v>
      </c>
      <c r="G53" s="111" t="s">
        <v>661</v>
      </c>
      <c r="H53" s="113" t="s">
        <v>771</v>
      </c>
      <c r="I53" s="113" t="s">
        <v>772</v>
      </c>
      <c r="J53" s="113" t="s">
        <v>773</v>
      </c>
      <c r="K53" s="113" t="s">
        <v>1137</v>
      </c>
      <c r="L53" s="113" t="s">
        <v>1138</v>
      </c>
      <c r="M53" s="113" t="s">
        <v>1139</v>
      </c>
    </row>
    <row r="54" spans="1:13" ht="43.5" x14ac:dyDescent="0.2">
      <c r="A54" s="189" t="s">
        <v>1386</v>
      </c>
      <c r="B54" s="111">
        <v>429</v>
      </c>
      <c r="C54" s="111" t="s">
        <v>1073</v>
      </c>
      <c r="D54" s="112" t="s">
        <v>1073</v>
      </c>
      <c r="E54" s="111" t="s">
        <v>326</v>
      </c>
      <c r="F54" s="112" t="s">
        <v>444</v>
      </c>
      <c r="G54" s="111" t="s">
        <v>1047</v>
      </c>
      <c r="H54" s="193" t="s">
        <v>1387</v>
      </c>
      <c r="I54" s="190" t="s">
        <v>1388</v>
      </c>
      <c r="J54" s="190" t="s">
        <v>1389</v>
      </c>
      <c r="K54" s="191" t="s">
        <v>1390</v>
      </c>
      <c r="L54" s="190" t="s">
        <v>1391</v>
      </c>
      <c r="M54" s="192" t="s">
        <v>1392</v>
      </c>
    </row>
    <row r="55" spans="1:13" x14ac:dyDescent="0.2">
      <c r="A55" s="116" t="s">
        <v>1026</v>
      </c>
      <c r="B55" s="111">
        <v>430</v>
      </c>
      <c r="C55" s="111" t="s">
        <v>1073</v>
      </c>
      <c r="D55" s="112" t="s">
        <v>1073</v>
      </c>
      <c r="E55" s="111" t="s">
        <v>326</v>
      </c>
      <c r="F55" s="112" t="s">
        <v>444</v>
      </c>
      <c r="G55" s="112" t="s">
        <v>723</v>
      </c>
      <c r="H55" s="113" t="s">
        <v>1140</v>
      </c>
      <c r="I55" s="113" t="s">
        <v>1141</v>
      </c>
      <c r="J55" s="113" t="s">
        <v>1142</v>
      </c>
      <c r="K55" s="113" t="s">
        <v>1143</v>
      </c>
      <c r="L55" s="113" t="s">
        <v>1144</v>
      </c>
      <c r="M55" s="113" t="s">
        <v>1145</v>
      </c>
    </row>
    <row r="56" spans="1:13" x14ac:dyDescent="0.2">
      <c r="A56" s="116" t="s">
        <v>1027</v>
      </c>
      <c r="B56" s="111">
        <v>431</v>
      </c>
      <c r="C56" s="111" t="s">
        <v>1073</v>
      </c>
      <c r="D56" s="112" t="s">
        <v>1073</v>
      </c>
      <c r="E56" s="111" t="s">
        <v>326</v>
      </c>
      <c r="F56" s="112" t="s">
        <v>444</v>
      </c>
      <c r="G56" s="112" t="s">
        <v>661</v>
      </c>
      <c r="H56" s="115" t="s">
        <v>1027</v>
      </c>
      <c r="I56" s="115" t="s">
        <v>1028</v>
      </c>
      <c r="J56" s="115" t="s">
        <v>1146</v>
      </c>
      <c r="K56" s="115" t="s">
        <v>1147</v>
      </c>
      <c r="L56" s="115" t="s">
        <v>1148</v>
      </c>
      <c r="M56" s="115" t="s">
        <v>1149</v>
      </c>
    </row>
    <row r="57" spans="1:13" x14ac:dyDescent="0.2">
      <c r="A57" s="110" t="s">
        <v>774</v>
      </c>
      <c r="B57" s="111">
        <v>432</v>
      </c>
      <c r="C57" s="111" t="s">
        <v>1073</v>
      </c>
      <c r="D57" s="112" t="s">
        <v>1073</v>
      </c>
      <c r="E57" s="111" t="s">
        <v>326</v>
      </c>
      <c r="F57" s="112" t="s">
        <v>444</v>
      </c>
      <c r="G57" s="111" t="s">
        <v>661</v>
      </c>
      <c r="H57" s="113" t="s">
        <v>775</v>
      </c>
      <c r="I57" s="113" t="s">
        <v>776</v>
      </c>
      <c r="J57" s="113" t="s">
        <v>777</v>
      </c>
      <c r="K57" s="113" t="s">
        <v>1150</v>
      </c>
      <c r="L57" s="113" t="s">
        <v>1151</v>
      </c>
      <c r="M57" s="113" t="s">
        <v>402</v>
      </c>
    </row>
    <row r="58" spans="1:13" ht="21.75" x14ac:dyDescent="0.2">
      <c r="A58" s="116" t="s">
        <v>778</v>
      </c>
      <c r="B58" s="111">
        <v>433</v>
      </c>
      <c r="C58" s="111" t="s">
        <v>1073</v>
      </c>
      <c r="D58" s="112" t="s">
        <v>1073</v>
      </c>
      <c r="E58" s="111" t="s">
        <v>326</v>
      </c>
      <c r="F58" s="112" t="s">
        <v>444</v>
      </c>
      <c r="G58" s="112" t="s">
        <v>661</v>
      </c>
      <c r="H58" s="115" t="s">
        <v>779</v>
      </c>
      <c r="I58" s="115" t="s">
        <v>1034</v>
      </c>
      <c r="J58" s="115" t="s">
        <v>1035</v>
      </c>
      <c r="K58" s="115" t="s">
        <v>1152</v>
      </c>
      <c r="L58" s="115" t="s">
        <v>1153</v>
      </c>
      <c r="M58" s="115" t="s">
        <v>780</v>
      </c>
    </row>
    <row r="59" spans="1:13" ht="21.75" x14ac:dyDescent="0.2">
      <c r="A59" s="116" t="s">
        <v>781</v>
      </c>
      <c r="B59" s="111">
        <v>434</v>
      </c>
      <c r="C59" s="111" t="s">
        <v>1073</v>
      </c>
      <c r="D59" s="112" t="s">
        <v>1073</v>
      </c>
      <c r="E59" s="111" t="s">
        <v>326</v>
      </c>
      <c r="F59" s="112" t="s">
        <v>444</v>
      </c>
      <c r="G59" s="111" t="s">
        <v>661</v>
      </c>
      <c r="H59" s="115" t="s">
        <v>782</v>
      </c>
      <c r="I59" s="115" t="s">
        <v>783</v>
      </c>
      <c r="J59" s="115" t="s">
        <v>784</v>
      </c>
      <c r="K59" s="115" t="s">
        <v>1154</v>
      </c>
      <c r="L59" s="115" t="s">
        <v>1155</v>
      </c>
      <c r="M59" s="115" t="s">
        <v>1156</v>
      </c>
    </row>
    <row r="60" spans="1:13" x14ac:dyDescent="0.2">
      <c r="A60" s="110" t="s">
        <v>785</v>
      </c>
      <c r="B60" s="111">
        <v>435</v>
      </c>
      <c r="C60" s="111" t="s">
        <v>1073</v>
      </c>
      <c r="D60" s="112" t="s">
        <v>1073</v>
      </c>
      <c r="E60" s="111" t="s">
        <v>326</v>
      </c>
      <c r="F60" s="112" t="s">
        <v>444</v>
      </c>
      <c r="G60" s="111" t="s">
        <v>661</v>
      </c>
      <c r="H60" s="113" t="s">
        <v>786</v>
      </c>
      <c r="I60" s="113" t="s">
        <v>787</v>
      </c>
      <c r="J60" s="113" t="s">
        <v>788</v>
      </c>
      <c r="K60" s="113" t="s">
        <v>1157</v>
      </c>
      <c r="L60" s="113" t="s">
        <v>1158</v>
      </c>
      <c r="M60" s="113" t="s">
        <v>1159</v>
      </c>
    </row>
    <row r="61" spans="1:13" x14ac:dyDescent="0.2">
      <c r="A61" s="114" t="s">
        <v>789</v>
      </c>
      <c r="B61" s="111">
        <v>436</v>
      </c>
      <c r="C61" s="111" t="s">
        <v>1073</v>
      </c>
      <c r="D61" s="112" t="s">
        <v>1073</v>
      </c>
      <c r="E61" s="111" t="s">
        <v>326</v>
      </c>
      <c r="F61" s="112" t="s">
        <v>444</v>
      </c>
      <c r="G61" s="111" t="s">
        <v>661</v>
      </c>
      <c r="H61" s="113" t="s">
        <v>790</v>
      </c>
      <c r="I61" s="113" t="s">
        <v>791</v>
      </c>
      <c r="J61" s="113" t="s">
        <v>792</v>
      </c>
      <c r="K61" s="113" t="s">
        <v>1160</v>
      </c>
      <c r="L61" s="113" t="s">
        <v>1161</v>
      </c>
      <c r="M61" s="113" t="s">
        <v>1162</v>
      </c>
    </row>
    <row r="62" spans="1:13" ht="21.75" x14ac:dyDescent="0.2">
      <c r="A62" s="116" t="s">
        <v>16</v>
      </c>
      <c r="B62" s="111">
        <v>437</v>
      </c>
      <c r="C62" s="111" t="s">
        <v>1073</v>
      </c>
      <c r="D62" s="112" t="s">
        <v>1073</v>
      </c>
      <c r="E62" s="111" t="s">
        <v>326</v>
      </c>
      <c r="F62" s="112" t="s">
        <v>444</v>
      </c>
      <c r="G62" s="112" t="s">
        <v>723</v>
      </c>
      <c r="H62" s="115" t="s">
        <v>16</v>
      </c>
      <c r="I62" s="115" t="s">
        <v>16</v>
      </c>
      <c r="J62" s="115" t="s">
        <v>16</v>
      </c>
      <c r="K62" s="115" t="s">
        <v>1163</v>
      </c>
      <c r="L62" s="115" t="s">
        <v>1164</v>
      </c>
      <c r="M62" s="115" t="s">
        <v>1165</v>
      </c>
    </row>
    <row r="63" spans="1:13" ht="21.75" x14ac:dyDescent="0.2">
      <c r="A63" s="116" t="s">
        <v>325</v>
      </c>
      <c r="B63" s="111">
        <v>438</v>
      </c>
      <c r="C63" s="111" t="s">
        <v>1073</v>
      </c>
      <c r="D63" s="112" t="s">
        <v>1073</v>
      </c>
      <c r="E63" s="111" t="s">
        <v>326</v>
      </c>
      <c r="F63" s="112" t="s">
        <v>444</v>
      </c>
      <c r="G63" s="112" t="s">
        <v>723</v>
      </c>
      <c r="H63" s="115" t="s">
        <v>325</v>
      </c>
      <c r="I63" s="115" t="s">
        <v>325</v>
      </c>
      <c r="J63" s="115" t="s">
        <v>325</v>
      </c>
      <c r="K63" s="115" t="s">
        <v>1166</v>
      </c>
      <c r="L63" s="115" t="s">
        <v>1167</v>
      </c>
      <c r="M63" s="115" t="s">
        <v>1168</v>
      </c>
    </row>
    <row r="64" spans="1:13" x14ac:dyDescent="0.2">
      <c r="A64" s="116" t="s">
        <v>464</v>
      </c>
      <c r="B64" s="111">
        <v>439</v>
      </c>
      <c r="C64" s="111" t="s">
        <v>1073</v>
      </c>
      <c r="D64" s="112" t="s">
        <v>1073</v>
      </c>
      <c r="E64" s="111" t="s">
        <v>326</v>
      </c>
      <c r="F64" s="112" t="s">
        <v>444</v>
      </c>
      <c r="G64" s="112" t="s">
        <v>722</v>
      </c>
      <c r="H64" s="115" t="s">
        <v>466</v>
      </c>
      <c r="I64" s="115" t="s">
        <v>392</v>
      </c>
      <c r="J64" s="115" t="s">
        <v>393</v>
      </c>
      <c r="K64" s="115" t="s">
        <v>1169</v>
      </c>
      <c r="L64" s="115" t="s">
        <v>1170</v>
      </c>
      <c r="M64" s="115" t="s">
        <v>1171</v>
      </c>
    </row>
    <row r="65" spans="1:13" x14ac:dyDescent="0.2">
      <c r="A65" s="116" t="s">
        <v>465</v>
      </c>
      <c r="B65" s="111">
        <v>440</v>
      </c>
      <c r="C65" s="111" t="s">
        <v>1073</v>
      </c>
      <c r="D65" s="112" t="s">
        <v>1073</v>
      </c>
      <c r="E65" s="111" t="s">
        <v>326</v>
      </c>
      <c r="F65" s="112" t="s">
        <v>444</v>
      </c>
      <c r="G65" s="112" t="s">
        <v>722</v>
      </c>
      <c r="H65" s="115" t="s">
        <v>12</v>
      </c>
      <c r="I65" s="115" t="s">
        <v>364</v>
      </c>
      <c r="J65" s="115" t="s">
        <v>403</v>
      </c>
      <c r="K65" s="115" t="s">
        <v>1172</v>
      </c>
      <c r="L65" s="115" t="s">
        <v>1173</v>
      </c>
      <c r="M65" s="115" t="s">
        <v>1174</v>
      </c>
    </row>
    <row r="66" spans="1:13" x14ac:dyDescent="0.2">
      <c r="A66" s="116" t="s">
        <v>461</v>
      </c>
      <c r="B66" s="111">
        <v>441</v>
      </c>
      <c r="C66" s="111" t="s">
        <v>1073</v>
      </c>
      <c r="D66" s="112" t="s">
        <v>1073</v>
      </c>
      <c r="E66" s="111" t="s">
        <v>326</v>
      </c>
      <c r="F66" s="112" t="s">
        <v>444</v>
      </c>
      <c r="G66" s="112" t="s">
        <v>723</v>
      </c>
      <c r="H66" s="115" t="s">
        <v>332</v>
      </c>
      <c r="I66" s="115" t="s">
        <v>413</v>
      </c>
      <c r="J66" s="115" t="s">
        <v>404</v>
      </c>
      <c r="K66" s="115" t="s">
        <v>1175</v>
      </c>
      <c r="L66" s="115" t="s">
        <v>1176</v>
      </c>
      <c r="M66" s="115" t="s">
        <v>1177</v>
      </c>
    </row>
    <row r="67" spans="1:13" x14ac:dyDescent="0.2">
      <c r="A67" s="116" t="s">
        <v>462</v>
      </c>
      <c r="B67" s="111">
        <v>442</v>
      </c>
      <c r="C67" s="111" t="s">
        <v>1073</v>
      </c>
      <c r="D67" s="112" t="s">
        <v>1073</v>
      </c>
      <c r="E67" s="111" t="s">
        <v>326</v>
      </c>
      <c r="F67" s="112" t="s">
        <v>444</v>
      </c>
      <c r="G67" s="112" t="s">
        <v>722</v>
      </c>
      <c r="H67" s="115" t="s">
        <v>466</v>
      </c>
      <c r="I67" s="115" t="s">
        <v>793</v>
      </c>
      <c r="J67" s="115" t="s">
        <v>393</v>
      </c>
      <c r="K67" s="115" t="s">
        <v>1178</v>
      </c>
      <c r="L67" s="115" t="s">
        <v>1179</v>
      </c>
      <c r="M67" s="115" t="s">
        <v>1180</v>
      </c>
    </row>
    <row r="68" spans="1:13" x14ac:dyDescent="0.2">
      <c r="A68" s="116" t="s">
        <v>463</v>
      </c>
      <c r="B68" s="111">
        <v>443</v>
      </c>
      <c r="C68" s="111" t="s">
        <v>1073</v>
      </c>
      <c r="D68" s="112" t="s">
        <v>1073</v>
      </c>
      <c r="E68" s="111" t="s">
        <v>326</v>
      </c>
      <c r="F68" s="112" t="s">
        <v>444</v>
      </c>
      <c r="G68" s="112" t="s">
        <v>722</v>
      </c>
      <c r="H68" s="115" t="s">
        <v>638</v>
      </c>
      <c r="I68" s="115" t="s">
        <v>794</v>
      </c>
      <c r="J68" s="115" t="s">
        <v>394</v>
      </c>
      <c r="K68" s="115" t="s">
        <v>1181</v>
      </c>
      <c r="L68" s="115" t="s">
        <v>1182</v>
      </c>
      <c r="M68" s="115" t="s">
        <v>1183</v>
      </c>
    </row>
    <row r="69" spans="1:13" ht="43.5" x14ac:dyDescent="0.2">
      <c r="A69" s="116" t="s">
        <v>460</v>
      </c>
      <c r="B69" s="111">
        <v>444</v>
      </c>
      <c r="C69" s="111" t="s">
        <v>1073</v>
      </c>
      <c r="D69" s="112" t="s">
        <v>1073</v>
      </c>
      <c r="E69" s="111" t="s">
        <v>326</v>
      </c>
      <c r="F69" s="112" t="s">
        <v>444</v>
      </c>
      <c r="G69" s="112" t="s">
        <v>723</v>
      </c>
      <c r="H69" s="115" t="s">
        <v>637</v>
      </c>
      <c r="I69" s="115" t="s">
        <v>636</v>
      </c>
      <c r="J69" s="115" t="s">
        <v>635</v>
      </c>
      <c r="K69" s="115" t="s">
        <v>1184</v>
      </c>
      <c r="L69" s="115" t="s">
        <v>1185</v>
      </c>
      <c r="M69" s="115" t="s">
        <v>1186</v>
      </c>
    </row>
    <row r="70" spans="1:13" x14ac:dyDescent="0.2">
      <c r="A70" s="116" t="s">
        <v>795</v>
      </c>
      <c r="B70" s="111">
        <v>445</v>
      </c>
      <c r="C70" s="111" t="s">
        <v>1073</v>
      </c>
      <c r="D70" s="112" t="s">
        <v>1073</v>
      </c>
      <c r="E70" s="111" t="s">
        <v>326</v>
      </c>
      <c r="F70" s="112" t="s">
        <v>444</v>
      </c>
      <c r="G70" s="112" t="s">
        <v>722</v>
      </c>
      <c r="H70" s="115" t="s">
        <v>796</v>
      </c>
      <c r="I70" s="115" t="s">
        <v>456</v>
      </c>
      <c r="J70" s="115" t="s">
        <v>456</v>
      </c>
      <c r="K70" s="115" t="s">
        <v>797</v>
      </c>
      <c r="L70" s="115" t="s">
        <v>798</v>
      </c>
      <c r="M70" s="115" t="s">
        <v>1187</v>
      </c>
    </row>
    <row r="71" spans="1:13" x14ac:dyDescent="0.2">
      <c r="A71" s="116" t="s">
        <v>799</v>
      </c>
      <c r="B71" s="111">
        <v>446</v>
      </c>
      <c r="C71" s="111" t="s">
        <v>1073</v>
      </c>
      <c r="D71" s="112" t="s">
        <v>1073</v>
      </c>
      <c r="E71" s="111" t="s">
        <v>326</v>
      </c>
      <c r="F71" s="112" t="s">
        <v>444</v>
      </c>
      <c r="G71" s="112" t="s">
        <v>722</v>
      </c>
      <c r="H71" s="115" t="s">
        <v>457</v>
      </c>
      <c r="I71" s="115" t="s">
        <v>457</v>
      </c>
      <c r="J71" s="115" t="s">
        <v>457</v>
      </c>
      <c r="K71" s="115" t="s">
        <v>800</v>
      </c>
      <c r="L71" s="115" t="s">
        <v>801</v>
      </c>
      <c r="M71" s="115" t="s">
        <v>802</v>
      </c>
    </row>
    <row r="72" spans="1:13" x14ac:dyDescent="0.2">
      <c r="A72" s="116" t="s">
        <v>803</v>
      </c>
      <c r="B72" s="111">
        <v>447</v>
      </c>
      <c r="C72" s="111" t="s">
        <v>1073</v>
      </c>
      <c r="D72" s="112" t="s">
        <v>1073</v>
      </c>
      <c r="E72" s="111" t="s">
        <v>326</v>
      </c>
      <c r="F72" s="112" t="s">
        <v>444</v>
      </c>
      <c r="G72" s="112" t="s">
        <v>722</v>
      </c>
      <c r="H72" s="115" t="s">
        <v>458</v>
      </c>
      <c r="I72" s="115" t="s">
        <v>458</v>
      </c>
      <c r="J72" s="115" t="s">
        <v>458</v>
      </c>
      <c r="K72" s="115" t="s">
        <v>804</v>
      </c>
      <c r="L72" s="115" t="s">
        <v>805</v>
      </c>
      <c r="M72" s="115" t="s">
        <v>806</v>
      </c>
    </row>
    <row r="73" spans="1:13" x14ac:dyDescent="0.2">
      <c r="A73" s="116" t="s">
        <v>807</v>
      </c>
      <c r="B73" s="111">
        <v>448</v>
      </c>
      <c r="C73" s="111" t="s">
        <v>1073</v>
      </c>
      <c r="D73" s="112" t="s">
        <v>1073</v>
      </c>
      <c r="E73" s="111" t="s">
        <v>326</v>
      </c>
      <c r="F73" s="112" t="s">
        <v>444</v>
      </c>
      <c r="G73" s="112" t="s">
        <v>722</v>
      </c>
      <c r="H73" s="115" t="s">
        <v>459</v>
      </c>
      <c r="I73" s="115" t="s">
        <v>459</v>
      </c>
      <c r="J73" s="115" t="s">
        <v>459</v>
      </c>
      <c r="K73" s="115" t="s">
        <v>808</v>
      </c>
      <c r="L73" s="115" t="s">
        <v>809</v>
      </c>
      <c r="M73" s="115" t="s">
        <v>810</v>
      </c>
    </row>
    <row r="74" spans="1:13" x14ac:dyDescent="0.2">
      <c r="A74" s="110" t="s">
        <v>433</v>
      </c>
      <c r="B74" s="111">
        <v>449</v>
      </c>
      <c r="C74" s="111" t="s">
        <v>1073</v>
      </c>
      <c r="D74" s="111" t="s">
        <v>811</v>
      </c>
      <c r="E74" s="112" t="s">
        <v>331</v>
      </c>
      <c r="F74" s="112" t="s">
        <v>432</v>
      </c>
      <c r="G74" s="112" t="s">
        <v>75</v>
      </c>
      <c r="H74" s="113" t="s">
        <v>811</v>
      </c>
      <c r="I74" s="113" t="s">
        <v>811</v>
      </c>
      <c r="J74" s="113" t="s">
        <v>812</v>
      </c>
      <c r="K74" s="113" t="s">
        <v>813</v>
      </c>
      <c r="L74" s="113" t="s">
        <v>814</v>
      </c>
      <c r="M74" s="113" t="s">
        <v>815</v>
      </c>
    </row>
    <row r="75" spans="1:13" x14ac:dyDescent="0.2">
      <c r="A75" s="110" t="s">
        <v>816</v>
      </c>
      <c r="B75" s="111">
        <v>450</v>
      </c>
      <c r="C75" s="111" t="s">
        <v>1073</v>
      </c>
      <c r="D75" s="111" t="s">
        <v>811</v>
      </c>
      <c r="E75" s="112" t="s">
        <v>331</v>
      </c>
      <c r="F75" s="112" t="s">
        <v>431</v>
      </c>
      <c r="G75" s="112" t="s">
        <v>75</v>
      </c>
      <c r="H75" s="115" t="s">
        <v>331</v>
      </c>
      <c r="I75" s="115" t="s">
        <v>331</v>
      </c>
      <c r="J75" s="113" t="s">
        <v>331</v>
      </c>
      <c r="K75" s="113" t="s">
        <v>75</v>
      </c>
      <c r="L75" s="113" t="s">
        <v>75</v>
      </c>
      <c r="M75" s="113" t="s">
        <v>75</v>
      </c>
    </row>
    <row r="76" spans="1:13" ht="21.75" x14ac:dyDescent="0.2">
      <c r="A76" s="110" t="s">
        <v>434</v>
      </c>
      <c r="B76" s="111">
        <v>451</v>
      </c>
      <c r="C76" s="111" t="s">
        <v>1073</v>
      </c>
      <c r="D76" s="111" t="s">
        <v>811</v>
      </c>
      <c r="E76" s="112" t="s">
        <v>331</v>
      </c>
      <c r="F76" s="112" t="s">
        <v>430</v>
      </c>
      <c r="G76" s="111" t="s">
        <v>75</v>
      </c>
      <c r="H76" s="113" t="s">
        <v>693</v>
      </c>
      <c r="I76" s="113" t="s">
        <v>693</v>
      </c>
      <c r="J76" s="113" t="s">
        <v>693</v>
      </c>
      <c r="K76" s="113" t="s">
        <v>1188</v>
      </c>
      <c r="L76" s="113" t="s">
        <v>1189</v>
      </c>
      <c r="M76" s="113" t="s">
        <v>1190</v>
      </c>
    </row>
    <row r="77" spans="1:13" ht="32.6" x14ac:dyDescent="0.2">
      <c r="A77" s="110" t="s">
        <v>817</v>
      </c>
      <c r="B77" s="111">
        <v>452</v>
      </c>
      <c r="C77" s="111" t="s">
        <v>1073</v>
      </c>
      <c r="D77" s="111" t="s">
        <v>811</v>
      </c>
      <c r="E77" s="112" t="s">
        <v>331</v>
      </c>
      <c r="F77" s="112" t="s">
        <v>430</v>
      </c>
      <c r="G77" s="111" t="s">
        <v>75</v>
      </c>
      <c r="H77" s="113" t="s">
        <v>694</v>
      </c>
      <c r="I77" s="113" t="s">
        <v>694</v>
      </c>
      <c r="J77" s="113" t="s">
        <v>694</v>
      </c>
      <c r="K77" s="113" t="s">
        <v>1191</v>
      </c>
      <c r="L77" s="113" t="s">
        <v>1192</v>
      </c>
      <c r="M77" s="113" t="s">
        <v>1193</v>
      </c>
    </row>
    <row r="78" spans="1:13" ht="21.75" x14ac:dyDescent="0.2">
      <c r="A78" s="110" t="s">
        <v>818</v>
      </c>
      <c r="B78" s="111">
        <v>453</v>
      </c>
      <c r="C78" s="111" t="s">
        <v>1073</v>
      </c>
      <c r="D78" s="111" t="s">
        <v>811</v>
      </c>
      <c r="E78" s="112" t="s">
        <v>331</v>
      </c>
      <c r="F78" s="112" t="s">
        <v>430</v>
      </c>
      <c r="G78" s="111" t="s">
        <v>75</v>
      </c>
      <c r="H78" s="113" t="s">
        <v>695</v>
      </c>
      <c r="I78" s="113" t="s">
        <v>695</v>
      </c>
      <c r="J78" s="113" t="s">
        <v>695</v>
      </c>
      <c r="K78" s="113" t="s">
        <v>1194</v>
      </c>
      <c r="L78" s="113" t="s">
        <v>1195</v>
      </c>
      <c r="M78" s="113" t="s">
        <v>1196</v>
      </c>
    </row>
    <row r="79" spans="1:13" ht="32.6" x14ac:dyDescent="0.2">
      <c r="A79" s="110" t="s">
        <v>819</v>
      </c>
      <c r="B79" s="111">
        <v>454</v>
      </c>
      <c r="C79" s="111" t="s">
        <v>1073</v>
      </c>
      <c r="D79" s="111" t="s">
        <v>811</v>
      </c>
      <c r="E79" s="112" t="s">
        <v>331</v>
      </c>
      <c r="F79" s="112" t="s">
        <v>430</v>
      </c>
      <c r="G79" s="111" t="s">
        <v>75</v>
      </c>
      <c r="H79" s="113" t="s">
        <v>696</v>
      </c>
      <c r="I79" s="113" t="s">
        <v>696</v>
      </c>
      <c r="J79" s="113" t="s">
        <v>696</v>
      </c>
      <c r="K79" s="113" t="s">
        <v>1197</v>
      </c>
      <c r="L79" s="113" t="s">
        <v>1198</v>
      </c>
      <c r="M79" s="113" t="s">
        <v>820</v>
      </c>
    </row>
    <row r="80" spans="1:13" x14ac:dyDescent="0.2">
      <c r="A80" s="110" t="s">
        <v>821</v>
      </c>
      <c r="B80" s="111">
        <v>455</v>
      </c>
      <c r="C80" s="111" t="s">
        <v>1073</v>
      </c>
      <c r="D80" s="111" t="s">
        <v>811</v>
      </c>
      <c r="E80" s="112" t="s">
        <v>331</v>
      </c>
      <c r="F80" s="112" t="s">
        <v>430</v>
      </c>
      <c r="G80" s="111" t="s">
        <v>75</v>
      </c>
      <c r="H80" s="113" t="s">
        <v>697</v>
      </c>
      <c r="I80" s="113" t="s">
        <v>697</v>
      </c>
      <c r="J80" s="113" t="s">
        <v>697</v>
      </c>
      <c r="K80" s="113" t="s">
        <v>330</v>
      </c>
      <c r="L80" s="113" t="s">
        <v>1199</v>
      </c>
      <c r="M80" s="113" t="s">
        <v>1200</v>
      </c>
    </row>
    <row r="81" spans="1:13" x14ac:dyDescent="0.2">
      <c r="A81" s="110" t="s">
        <v>621</v>
      </c>
      <c r="B81" s="111">
        <v>456</v>
      </c>
      <c r="C81" s="111" t="s">
        <v>1073</v>
      </c>
      <c r="D81" s="111" t="s">
        <v>811</v>
      </c>
      <c r="E81" s="112" t="s">
        <v>1201</v>
      </c>
      <c r="F81" s="111" t="s">
        <v>431</v>
      </c>
      <c r="G81" s="112" t="s">
        <v>75</v>
      </c>
      <c r="H81" s="115" t="s">
        <v>622</v>
      </c>
      <c r="I81" s="115" t="s">
        <v>623</v>
      </c>
      <c r="J81" s="115" t="s">
        <v>624</v>
      </c>
      <c r="K81" s="115" t="s">
        <v>75</v>
      </c>
      <c r="L81" s="115" t="s">
        <v>75</v>
      </c>
      <c r="M81" s="115" t="s">
        <v>75</v>
      </c>
    </row>
    <row r="82" spans="1:13" x14ac:dyDescent="0.2">
      <c r="A82" s="116" t="s">
        <v>698</v>
      </c>
      <c r="B82" s="111">
        <v>457</v>
      </c>
      <c r="C82" s="111" t="s">
        <v>1073</v>
      </c>
      <c r="D82" s="111" t="s">
        <v>811</v>
      </c>
      <c r="E82" s="112" t="s">
        <v>1201</v>
      </c>
      <c r="F82" s="111" t="s">
        <v>430</v>
      </c>
      <c r="G82" s="111" t="s">
        <v>75</v>
      </c>
      <c r="H82" s="113" t="s">
        <v>664</v>
      </c>
      <c r="I82" s="113" t="s">
        <v>822</v>
      </c>
      <c r="J82" s="113" t="s">
        <v>823</v>
      </c>
      <c r="K82" s="113" t="s">
        <v>75</v>
      </c>
      <c r="L82" s="113" t="s">
        <v>75</v>
      </c>
      <c r="M82" s="113" t="s">
        <v>75</v>
      </c>
    </row>
    <row r="83" spans="1:13" x14ac:dyDescent="0.2">
      <c r="A83" s="114" t="s">
        <v>699</v>
      </c>
      <c r="B83" s="111">
        <v>458</v>
      </c>
      <c r="C83" s="111" t="s">
        <v>1073</v>
      </c>
      <c r="D83" s="111" t="s">
        <v>811</v>
      </c>
      <c r="E83" s="111" t="s">
        <v>1201</v>
      </c>
      <c r="F83" s="111" t="s">
        <v>430</v>
      </c>
      <c r="G83" s="111" t="s">
        <v>75</v>
      </c>
      <c r="H83" s="113" t="s">
        <v>1202</v>
      </c>
      <c r="I83" s="113" t="s">
        <v>1203</v>
      </c>
      <c r="J83" s="113" t="s">
        <v>1204</v>
      </c>
      <c r="K83" s="113" t="s">
        <v>75</v>
      </c>
      <c r="L83" s="113" t="s">
        <v>75</v>
      </c>
      <c r="M83" s="113" t="s">
        <v>75</v>
      </c>
    </row>
    <row r="84" spans="1:13" x14ac:dyDescent="0.2">
      <c r="A84" s="110" t="s">
        <v>700</v>
      </c>
      <c r="B84" s="111">
        <v>459</v>
      </c>
      <c r="C84" s="111" t="s">
        <v>1073</v>
      </c>
      <c r="D84" s="111" t="s">
        <v>811</v>
      </c>
      <c r="E84" s="112" t="s">
        <v>1201</v>
      </c>
      <c r="F84" s="111" t="s">
        <v>430</v>
      </c>
      <c r="G84" s="111" t="s">
        <v>75</v>
      </c>
      <c r="H84" s="115" t="s">
        <v>625</v>
      </c>
      <c r="I84" s="115" t="s">
        <v>626</v>
      </c>
      <c r="J84" s="115" t="s">
        <v>627</v>
      </c>
      <c r="K84" s="115" t="s">
        <v>75</v>
      </c>
      <c r="L84" s="115" t="s">
        <v>75</v>
      </c>
      <c r="M84" s="115" t="s">
        <v>75</v>
      </c>
    </row>
    <row r="85" spans="1:13" x14ac:dyDescent="0.2">
      <c r="A85" s="110" t="s">
        <v>701</v>
      </c>
      <c r="B85" s="111">
        <v>460</v>
      </c>
      <c r="C85" s="111" t="s">
        <v>1073</v>
      </c>
      <c r="D85" s="111" t="s">
        <v>811</v>
      </c>
      <c r="E85" s="112" t="s">
        <v>1201</v>
      </c>
      <c r="F85" s="111" t="s">
        <v>430</v>
      </c>
      <c r="G85" s="111" t="s">
        <v>75</v>
      </c>
      <c r="H85" s="115" t="s">
        <v>358</v>
      </c>
      <c r="I85" s="115" t="s">
        <v>628</v>
      </c>
      <c r="J85" s="115" t="s">
        <v>629</v>
      </c>
      <c r="K85" s="115" t="s">
        <v>75</v>
      </c>
      <c r="L85" s="115" t="s">
        <v>75</v>
      </c>
      <c r="M85" s="115" t="s">
        <v>75</v>
      </c>
    </row>
    <row r="86" spans="1:13" x14ac:dyDescent="0.2">
      <c r="A86" s="110" t="s">
        <v>702</v>
      </c>
      <c r="B86" s="111">
        <v>461</v>
      </c>
      <c r="C86" s="111" t="s">
        <v>1073</v>
      </c>
      <c r="D86" s="111" t="s">
        <v>811</v>
      </c>
      <c r="E86" s="112" t="s">
        <v>1201</v>
      </c>
      <c r="F86" s="111" t="s">
        <v>430</v>
      </c>
      <c r="G86" s="111" t="s">
        <v>75</v>
      </c>
      <c r="H86" s="115" t="s">
        <v>630</v>
      </c>
      <c r="I86" s="115" t="s">
        <v>631</v>
      </c>
      <c r="J86" s="115" t="s">
        <v>632</v>
      </c>
      <c r="K86" s="115" t="s">
        <v>75</v>
      </c>
      <c r="L86" s="115" t="s">
        <v>75</v>
      </c>
      <c r="M86" s="115" t="s">
        <v>75</v>
      </c>
    </row>
    <row r="87" spans="1:13" x14ac:dyDescent="0.2">
      <c r="A87" s="110" t="s">
        <v>704</v>
      </c>
      <c r="B87" s="111">
        <v>462</v>
      </c>
      <c r="C87" s="111" t="s">
        <v>1073</v>
      </c>
      <c r="D87" s="111" t="s">
        <v>811</v>
      </c>
      <c r="E87" s="112" t="s">
        <v>1201</v>
      </c>
      <c r="F87" s="111" t="s">
        <v>430</v>
      </c>
      <c r="G87" s="111" t="s">
        <v>75</v>
      </c>
      <c r="H87" s="113" t="s">
        <v>1205</v>
      </c>
      <c r="I87" s="113" t="s">
        <v>1206</v>
      </c>
      <c r="J87" s="113" t="s">
        <v>1207</v>
      </c>
      <c r="K87" s="113" t="s">
        <v>75</v>
      </c>
      <c r="L87" s="113" t="s">
        <v>75</v>
      </c>
      <c r="M87" s="113" t="s">
        <v>75</v>
      </c>
    </row>
    <row r="88" spans="1:13" x14ac:dyDescent="0.2">
      <c r="A88" s="110" t="s">
        <v>703</v>
      </c>
      <c r="B88" s="111">
        <v>463</v>
      </c>
      <c r="C88" s="111" t="s">
        <v>1073</v>
      </c>
      <c r="D88" s="111" t="s">
        <v>811</v>
      </c>
      <c r="E88" s="112" t="s">
        <v>1201</v>
      </c>
      <c r="F88" s="111" t="s">
        <v>430</v>
      </c>
      <c r="G88" s="111" t="s">
        <v>75</v>
      </c>
      <c r="H88" s="113" t="s">
        <v>1208</v>
      </c>
      <c r="I88" s="113" t="s">
        <v>1209</v>
      </c>
      <c r="J88" s="113" t="s">
        <v>1210</v>
      </c>
      <c r="K88" s="113" t="s">
        <v>75</v>
      </c>
      <c r="L88" s="113" t="s">
        <v>75</v>
      </c>
      <c r="M88" s="113" t="s">
        <v>75</v>
      </c>
    </row>
    <row r="89" spans="1:13" x14ac:dyDescent="0.2">
      <c r="A89" s="110" t="s">
        <v>1211</v>
      </c>
      <c r="B89" s="111">
        <v>464</v>
      </c>
      <c r="C89" s="111" t="s">
        <v>1073</v>
      </c>
      <c r="D89" s="111" t="s">
        <v>811</v>
      </c>
      <c r="E89" s="112" t="s">
        <v>1201</v>
      </c>
      <c r="F89" s="111" t="s">
        <v>430</v>
      </c>
      <c r="G89" s="111" t="s">
        <v>75</v>
      </c>
      <c r="H89" s="115" t="s">
        <v>329</v>
      </c>
      <c r="I89" s="115" t="s">
        <v>329</v>
      </c>
      <c r="J89" s="115" t="s">
        <v>398</v>
      </c>
      <c r="K89" s="115" t="s">
        <v>75</v>
      </c>
      <c r="L89" s="115" t="s">
        <v>75</v>
      </c>
      <c r="M89" s="115" t="s">
        <v>75</v>
      </c>
    </row>
  </sheetData>
  <sheetProtection algorithmName="SHA-512" hashValue="5Y4STRCxMCUfu8qZrLXCgEYLkhvtwb5EMv0WP1l3VBqhdZM+6w/3CmFLZDa7oUuIMxT8tb7Fpu5yLqqwdmtfMw==" saltValue="rNN229YA8W3FKzs78L9I9w==" spinCount="100000" sheet="1" objects="1" scenarios="1" formatCells="0" autoFilter="0"/>
  <mergeCells count="1">
    <mergeCell ref="A1:C1"/>
  </mergeCell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19</vt:i4>
      </vt:variant>
    </vt:vector>
  </HeadingPairs>
  <TitlesOfParts>
    <vt:vector size="24" baseType="lpstr">
      <vt:lpstr>ST05-T2CS</vt:lpstr>
      <vt:lpstr>Codes</vt:lpstr>
      <vt:lpstr>Instructions</vt:lpstr>
      <vt:lpstr>Filters</vt:lpstr>
      <vt:lpstr>Translation</vt:lpstr>
      <vt:lpstr>CatchTypeCode</vt:lpstr>
      <vt:lpstr>ClassLimitCode</vt:lpstr>
      <vt:lpstr>Content</vt:lpstr>
      <vt:lpstr>FlagA2ISO</vt:lpstr>
      <vt:lpstr>FlagA3ISO</vt:lpstr>
      <vt:lpstr>FlagCode</vt:lpstr>
      <vt:lpstr>FlagName</vt:lpstr>
      <vt:lpstr>FleetSuffix</vt:lpstr>
      <vt:lpstr>GearCode</vt:lpstr>
      <vt:lpstr>idiom</vt:lpstr>
      <vt:lpstr>LangFieldID</vt:lpstr>
      <vt:lpstr>LangNameID</vt:lpstr>
      <vt:lpstr>QuadCode</vt:lpstr>
      <vt:lpstr>SampAreaCode</vt:lpstr>
      <vt:lpstr>SchoolTypeCode</vt:lpstr>
      <vt:lpstr>SizeFreqTypeCode</vt:lpstr>
      <vt:lpstr>SpeciesCode</vt:lpstr>
      <vt:lpstr>StatusCPC</vt:lpstr>
      <vt:lpstr>Version</vt:lpstr>
    </vt:vector>
  </TitlesOfParts>
  <Company>ICCAT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cpalma</dc:creator>
  <cp:lastModifiedBy>Juan Luis Gallego</cp:lastModifiedBy>
  <cp:lastPrinted>2010-02-11T11:41:30Z</cp:lastPrinted>
  <dcterms:created xsi:type="dcterms:W3CDTF">2004-02-12T11:14:47Z</dcterms:created>
  <dcterms:modified xsi:type="dcterms:W3CDTF">2025-03-21T12:15:35Z</dcterms:modified>
</cp:coreProperties>
</file>