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tunadata\Compliance\2025_SharedDocs\eForms\WEB\"/>
    </mc:Choice>
  </mc:AlternateContent>
  <xr:revisionPtr revIDLastSave="0" documentId="13_ncr:1_{C7C6C260-777A-49D8-8BDB-948B460138B6}" xr6:coauthVersionLast="47" xr6:coauthVersionMax="47" xr10:uidLastSave="{00000000-0000-0000-0000-000000000000}"/>
  <workbookProtection workbookAlgorithmName="SHA-512" workbookHashValue="vdGz3xAYjzp64KhqlzDxATTHCqXZFcRProQH4dwfiVMNqvWm/1JtsVj9QP77FwJdVOxZQRY1jsm1Ae2OjuBLQw==" workbookSaltValue="eETbz7jyU8KLENT5OdAvDQ==" workbookSpinCount="100000" lockStructure="1"/>
  <bookViews>
    <workbookView xWindow="28680" yWindow="-120" windowWidth="29040" windowHeight="15720" xr2:uid="{00000000-000D-0000-FFFF-FFFF00000000}"/>
  </bookViews>
  <sheets>
    <sheet name="CP53 (Chartering Arrangements)" sheetId="5" r:id="rId1"/>
    <sheet name="Codes" sheetId="8" r:id="rId2"/>
    <sheet name="Instructions" sheetId="12" r:id="rId3"/>
    <sheet name="Translation" sheetId="9" state="veryHidden" r:id="rId4"/>
  </sheets>
  <definedNames>
    <definedName name="_xlnm._FilterDatabase" localSheetId="1" hidden="1">Codes!$A$2:$D$176</definedName>
    <definedName name="_xlnm._FilterDatabase" localSheetId="3" hidden="1">Translation!$A$4:$L$88</definedName>
    <definedName name="FisheryCode">Codes!$J$3:$J$15</definedName>
    <definedName name="FlagA2ISO">Codes!$D$3:$D$176</definedName>
    <definedName name="FlagCod">Codes!$B$3:$B$176</definedName>
    <definedName name="FlagName">Codes!$A$3:$A$176</definedName>
    <definedName name="ICCATSerialNo">'CP53 (Chartering Arrangements)'!$A$31:$A$57</definedName>
    <definedName name="Idiom">'CP53 (Chartering Arrangements)'!$O$2</definedName>
    <definedName name="IsscfgCod">Codes!$F$28:$F$50</definedName>
    <definedName name="IsscfvCod">Codes!$F$3:$F$24</definedName>
    <definedName name="LangFieldID">Translation!$H$1</definedName>
    <definedName name="LangNameID">Translation!$H$2</definedName>
    <definedName name="LenTypeCod">Codes!$F$54:$F$55</definedName>
    <definedName name="NatRegNo">'CP53 (Chartering Arrangements)'!$B$31:$B$57</definedName>
    <definedName name="Status">Codes!$C$3:$C$176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8" i="12" l="1"/>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W29" i="5" l="1"/>
  <c r="V29" i="5"/>
  <c r="U29" i="5"/>
  <c r="T29" i="5"/>
  <c r="S29" i="5"/>
  <c r="R29" i="5"/>
  <c r="Q29" i="5"/>
  <c r="P29" i="5"/>
  <c r="AA29" i="5" l="1"/>
  <c r="H2" i="9" l="1"/>
  <c r="I16" i="5"/>
  <c r="D14" i="5"/>
  <c r="I10" i="5"/>
  <c r="D8" i="5"/>
  <c r="AB29" i="5"/>
  <c r="Z29" i="5"/>
  <c r="Y29" i="5"/>
  <c r="X29" i="5"/>
  <c r="O29" i="5"/>
  <c r="G29" i="5"/>
  <c r="F29" i="5"/>
  <c r="D29" i="5"/>
  <c r="C29" i="5"/>
  <c r="L29" i="5"/>
  <c r="M29" i="5"/>
  <c r="H58" i="12" l="1"/>
  <c r="H54" i="12"/>
  <c r="H43" i="12"/>
  <c r="H17" i="12"/>
  <c r="H13" i="12"/>
  <c r="B6" i="12"/>
  <c r="H50" i="12"/>
  <c r="H39" i="12"/>
  <c r="B5" i="12"/>
  <c r="H35" i="12"/>
  <c r="H31" i="12"/>
  <c r="H24" i="12"/>
  <c r="H20" i="12"/>
  <c r="B3" i="12"/>
  <c r="H49" i="12"/>
  <c r="H38" i="12"/>
  <c r="H34" i="12"/>
  <c r="H23" i="12"/>
  <c r="H44" i="12"/>
  <c r="H33" i="12"/>
  <c r="H22" i="12"/>
  <c r="H57" i="12"/>
  <c r="H56" i="12"/>
  <c r="H41" i="12"/>
  <c r="H19" i="12"/>
  <c r="H15" i="12"/>
  <c r="H12" i="12"/>
  <c r="H52" i="12"/>
  <c r="H30" i="12"/>
  <c r="H55" i="12"/>
  <c r="H40" i="12"/>
  <c r="H18" i="12"/>
  <c r="H14" i="12"/>
  <c r="H11" i="12"/>
  <c r="H47" i="12"/>
  <c r="H36" i="12"/>
  <c r="H32" i="12"/>
  <c r="H29" i="12"/>
  <c r="H25" i="12"/>
  <c r="H21" i="12"/>
  <c r="B7" i="12"/>
  <c r="H46" i="12"/>
  <c r="H28" i="12"/>
  <c r="B4" i="12"/>
  <c r="H42" i="12"/>
  <c r="H16" i="12"/>
  <c r="H53" i="12"/>
  <c r="H45" i="12"/>
  <c r="H27" i="12"/>
  <c r="A1" i="12"/>
  <c r="H48" i="12"/>
  <c r="H37" i="12"/>
  <c r="H26" i="12"/>
  <c r="H51" i="12"/>
  <c r="B1" i="5"/>
  <c r="I29" i="5"/>
  <c r="H29" i="5"/>
  <c r="A29" i="5" l="1"/>
  <c r="I4" i="5" l="1"/>
  <c r="J15" i="5" s="1"/>
  <c r="B29" i="5" l="1"/>
  <c r="H1" i="9" l="1"/>
  <c r="F51" i="12" l="1"/>
  <c r="F47" i="12"/>
  <c r="E40" i="12"/>
  <c r="B11" i="12"/>
  <c r="F36" i="12"/>
  <c r="F29" i="12"/>
  <c r="F21" i="12"/>
  <c r="F17" i="12"/>
  <c r="H10" i="12"/>
  <c r="F46" i="12"/>
  <c r="F39" i="12"/>
  <c r="D13" i="12"/>
  <c r="F31" i="12"/>
  <c r="F28" i="12"/>
  <c r="C13" i="12"/>
  <c r="A2" i="12"/>
  <c r="E31" i="12"/>
  <c r="F16" i="12"/>
  <c r="E10" i="12"/>
  <c r="D10" i="12"/>
  <c r="C31" i="12"/>
  <c r="C10" i="12"/>
  <c r="F12" i="12"/>
  <c r="F58" i="12"/>
  <c r="E54" i="12"/>
  <c r="F57" i="12"/>
  <c r="F53" i="12"/>
  <c r="F49" i="12"/>
  <c r="F45" i="12"/>
  <c r="F38" i="12"/>
  <c r="D31" i="12"/>
  <c r="E38" i="12"/>
  <c r="F27" i="12"/>
  <c r="F41" i="12"/>
  <c r="F19" i="12"/>
  <c r="F56" i="12"/>
  <c r="E56" i="12"/>
  <c r="F52" i="12"/>
  <c r="F48" i="12"/>
  <c r="F44" i="12"/>
  <c r="A10" i="12"/>
  <c r="E44" i="12"/>
  <c r="F37" i="12"/>
  <c r="F33" i="12"/>
  <c r="F30" i="12"/>
  <c r="F26" i="12"/>
  <c r="F22" i="12"/>
  <c r="A9" i="12"/>
  <c r="F55" i="12"/>
  <c r="D44" i="12"/>
  <c r="F40" i="12"/>
  <c r="F18" i="12"/>
  <c r="F14" i="12"/>
  <c r="F11" i="12"/>
  <c r="F32" i="12"/>
  <c r="F25" i="12"/>
  <c r="A11" i="12"/>
  <c r="F54" i="12"/>
  <c r="F43" i="12"/>
  <c r="D21" i="12"/>
  <c r="F13" i="12"/>
  <c r="F50" i="12"/>
  <c r="G10" i="12"/>
  <c r="F35" i="12"/>
  <c r="F24" i="12"/>
  <c r="F10" i="12"/>
  <c r="F42" i="12"/>
  <c r="F20" i="12"/>
  <c r="B13" i="12"/>
  <c r="F34" i="12"/>
  <c r="F23" i="12"/>
  <c r="F15" i="12"/>
  <c r="B10" i="12"/>
  <c r="A25" i="5"/>
  <c r="AA28" i="5"/>
  <c r="Z28" i="5"/>
  <c r="N28" i="5"/>
  <c r="B28" i="5"/>
  <c r="A18" i="5"/>
  <c r="F11" i="5"/>
  <c r="J4" i="5"/>
  <c r="Y28" i="5"/>
  <c r="M28" i="5"/>
  <c r="A28" i="5"/>
  <c r="A11" i="5"/>
  <c r="A4" i="5"/>
  <c r="H28" i="5"/>
  <c r="A5" i="5"/>
  <c r="A17" i="5"/>
  <c r="X28" i="5"/>
  <c r="L28" i="5"/>
  <c r="Z27" i="5"/>
  <c r="J16" i="5"/>
  <c r="J10" i="5"/>
  <c r="B2" i="5"/>
  <c r="J28" i="5"/>
  <c r="J14" i="5"/>
  <c r="A8" i="5"/>
  <c r="I28" i="5"/>
  <c r="H27" i="5"/>
  <c r="A1" i="5"/>
  <c r="W28" i="5"/>
  <c r="K28" i="5"/>
  <c r="X27" i="5"/>
  <c r="A16" i="5"/>
  <c r="A10" i="5"/>
  <c r="O1" i="5"/>
  <c r="V28" i="5"/>
  <c r="N27" i="5"/>
  <c r="N1" i="5"/>
  <c r="J27" i="5"/>
  <c r="A7" i="5"/>
  <c r="A14" i="5"/>
  <c r="J6" i="5"/>
  <c r="E14" i="5"/>
  <c r="U28" i="5"/>
  <c r="T28" i="5"/>
  <c r="S28" i="5"/>
  <c r="G28" i="5"/>
  <c r="A27" i="5"/>
  <c r="A13" i="5"/>
  <c r="F6" i="5"/>
  <c r="Q28" i="5"/>
  <c r="F12" i="5"/>
  <c r="AB28" i="5"/>
  <c r="D28" i="5"/>
  <c r="F5" i="5"/>
  <c r="C28" i="5"/>
  <c r="J11" i="5"/>
  <c r="R28" i="5"/>
  <c r="F28" i="5"/>
  <c r="N26" i="5"/>
  <c r="J12" i="5"/>
  <c r="A6" i="5"/>
  <c r="E28" i="5"/>
  <c r="A26" i="5"/>
  <c r="J5" i="5"/>
  <c r="P28" i="5"/>
  <c r="A12" i="5"/>
  <c r="O28" i="5"/>
  <c r="C18" i="5"/>
  <c r="E29" i="5" l="1"/>
  <c r="K29" i="5" l="1"/>
  <c r="J29" i="5"/>
  <c r="N29" i="5"/>
</calcChain>
</file>

<file path=xl/sharedStrings.xml><?xml version="1.0" encoding="utf-8"?>
<sst xmlns="http://schemas.openxmlformats.org/spreadsheetml/2006/main" count="1859" uniqueCount="1171">
  <si>
    <t>Identification</t>
  </si>
  <si>
    <t>Name</t>
  </si>
  <si>
    <t>Phone</t>
  </si>
  <si>
    <t>Email</t>
  </si>
  <si>
    <t>Address</t>
  </si>
  <si>
    <t>Header</t>
  </si>
  <si>
    <t xml:space="preserve">Characteristics </t>
  </si>
  <si>
    <t>IsscfvName</t>
  </si>
  <si>
    <t>IsscfvGroup</t>
  </si>
  <si>
    <t>UN</t>
  </si>
  <si>
    <t>UNKNOWN</t>
  </si>
  <si>
    <t>TO</t>
  </si>
  <si>
    <t>TRAWLER</t>
  </si>
  <si>
    <t>SP</t>
  </si>
  <si>
    <t>Purse seiner</t>
  </si>
  <si>
    <t>SEINER</t>
  </si>
  <si>
    <t>SOX</t>
  </si>
  <si>
    <t>Seiner nei</t>
  </si>
  <si>
    <t>DO</t>
  </si>
  <si>
    <t>DREDGER</t>
  </si>
  <si>
    <t>GO</t>
  </si>
  <si>
    <t>GILLNETTER</t>
  </si>
  <si>
    <t>WO</t>
  </si>
  <si>
    <t>TRAP SETTER</t>
  </si>
  <si>
    <t>LH</t>
  </si>
  <si>
    <t>Handliner</t>
  </si>
  <si>
    <t>LINER</t>
  </si>
  <si>
    <t>LL</t>
  </si>
  <si>
    <t>Longliner</t>
  </si>
  <si>
    <t>LP</t>
  </si>
  <si>
    <t>Pole and liners</t>
  </si>
  <si>
    <t>LT</t>
  </si>
  <si>
    <t>Troller</t>
  </si>
  <si>
    <t>MO</t>
  </si>
  <si>
    <t>MULTIPURPOSE</t>
  </si>
  <si>
    <t>RO</t>
  </si>
  <si>
    <t>RECREATIONAL</t>
  </si>
  <si>
    <t>HO</t>
  </si>
  <si>
    <t>MOTHERSHIP</t>
  </si>
  <si>
    <t>FO</t>
  </si>
  <si>
    <t>CARRIER</t>
  </si>
  <si>
    <t>FX</t>
  </si>
  <si>
    <t>Fishing Vessel nei</t>
  </si>
  <si>
    <t>NOT SPECIFIED (FV)</t>
  </si>
  <si>
    <t>TW</t>
  </si>
  <si>
    <t>TOWING VESSEL</t>
  </si>
  <si>
    <t>AU</t>
  </si>
  <si>
    <t>AUXILIARY VESSEL</t>
  </si>
  <si>
    <t>SV</t>
  </si>
  <si>
    <t>SUPPORT VESSEL</t>
  </si>
  <si>
    <t>VOX</t>
  </si>
  <si>
    <t>NON-FISHING VESSEL nei</t>
  </si>
  <si>
    <t>IsscfgName</t>
  </si>
  <si>
    <t>PS</t>
  </si>
  <si>
    <t>SURROUNDING NET</t>
  </si>
  <si>
    <t xml:space="preserve">With purse lines (purse seines) </t>
  </si>
  <si>
    <t xml:space="preserve">SB </t>
  </si>
  <si>
    <t>SEINE NET</t>
  </si>
  <si>
    <t>Beach seines</t>
  </si>
  <si>
    <t>TB</t>
  </si>
  <si>
    <t>TRAWL NET</t>
  </si>
  <si>
    <t>Bottom trawls</t>
  </si>
  <si>
    <t>DRB</t>
  </si>
  <si>
    <t>DREDGE</t>
  </si>
  <si>
    <t xml:space="preserve">Boat dredges </t>
  </si>
  <si>
    <t>LIFT NET</t>
  </si>
  <si>
    <t xml:space="preserve">Portable hand lift nets </t>
  </si>
  <si>
    <t>FALLING GEAR</t>
  </si>
  <si>
    <t>Cast nets</t>
  </si>
  <si>
    <t>GNS</t>
  </si>
  <si>
    <t>GILLNET AND ENTANGLING NET</t>
  </si>
  <si>
    <t>Set Gillnets</t>
  </si>
  <si>
    <t>FPN</t>
  </si>
  <si>
    <t>TRAP</t>
  </si>
  <si>
    <t>Stationary uncovered pound nets</t>
  </si>
  <si>
    <t>HOOKS AND LINES (longlines)</t>
  </si>
  <si>
    <t>Longlines (not specified)</t>
  </si>
  <si>
    <t>LTL</t>
  </si>
  <si>
    <t>HOOKS AND LINES (trolling)</t>
  </si>
  <si>
    <t>Trolling lines</t>
  </si>
  <si>
    <t>LX</t>
  </si>
  <si>
    <t>HOOKS AND LINES</t>
  </si>
  <si>
    <t>Hooks and lines</t>
  </si>
  <si>
    <t>HAR</t>
  </si>
  <si>
    <t>Harpoons</t>
  </si>
  <si>
    <t>HMX</t>
  </si>
  <si>
    <t>HARVESTING MACHINE</t>
  </si>
  <si>
    <t>Harvesting machines</t>
  </si>
  <si>
    <t>MIS</t>
  </si>
  <si>
    <t>MISCELLANEUS GEAR</t>
  </si>
  <si>
    <t>Miscellaneus gear</t>
  </si>
  <si>
    <t>RG</t>
  </si>
  <si>
    <t>RECREATIONAL FISHING GEAR</t>
  </si>
  <si>
    <t>Recreational fishing gear</t>
  </si>
  <si>
    <t>NAP</t>
  </si>
  <si>
    <t>NOT APPLICABLE</t>
  </si>
  <si>
    <t>NK</t>
  </si>
  <si>
    <t>GEAR NOT KNOWN</t>
  </si>
  <si>
    <t>Gear not know or not specified</t>
  </si>
  <si>
    <t>FlagName</t>
  </si>
  <si>
    <t>FlagA2ISO</t>
  </si>
  <si>
    <t>USA</t>
  </si>
  <si>
    <t>US</t>
  </si>
  <si>
    <t>JPN</t>
  </si>
  <si>
    <t>Japan</t>
  </si>
  <si>
    <t>JP</t>
  </si>
  <si>
    <t>ZAF</t>
  </si>
  <si>
    <t>South Africa</t>
  </si>
  <si>
    <t>ZA</t>
  </si>
  <si>
    <t>GHA</t>
  </si>
  <si>
    <t>Ghana</t>
  </si>
  <si>
    <t>GH</t>
  </si>
  <si>
    <t>CAN</t>
  </si>
  <si>
    <t>Canada</t>
  </si>
  <si>
    <t>CA</t>
  </si>
  <si>
    <t>PM</t>
  </si>
  <si>
    <t>BRA</t>
  </si>
  <si>
    <t>Brazil</t>
  </si>
  <si>
    <t>BR</t>
  </si>
  <si>
    <t>MAR</t>
  </si>
  <si>
    <t>Maroc</t>
  </si>
  <si>
    <t>MA</t>
  </si>
  <si>
    <t>KOR</t>
  </si>
  <si>
    <t>KR</t>
  </si>
  <si>
    <t>CIV</t>
  </si>
  <si>
    <t>CI</t>
  </si>
  <si>
    <t>AGO</t>
  </si>
  <si>
    <t>Angola</t>
  </si>
  <si>
    <t>AO</t>
  </si>
  <si>
    <t>RUS</t>
  </si>
  <si>
    <t>Russian Federation</t>
  </si>
  <si>
    <t>RU</t>
  </si>
  <si>
    <t>GAB</t>
  </si>
  <si>
    <t>Gabon</t>
  </si>
  <si>
    <t>GA</t>
  </si>
  <si>
    <t>CPV</t>
  </si>
  <si>
    <t>Cape Verde</t>
  </si>
  <si>
    <t>CV</t>
  </si>
  <si>
    <t>URY</t>
  </si>
  <si>
    <t>Uruguay</t>
  </si>
  <si>
    <t>UY</t>
  </si>
  <si>
    <t>STP</t>
  </si>
  <si>
    <t>ST</t>
  </si>
  <si>
    <t>VEN</t>
  </si>
  <si>
    <t>Venezuela</t>
  </si>
  <si>
    <t>VE</t>
  </si>
  <si>
    <t>GNQ</t>
  </si>
  <si>
    <t>Guinea Ecuatorial</t>
  </si>
  <si>
    <t>GQ</t>
  </si>
  <si>
    <t>GIN</t>
  </si>
  <si>
    <t>GN</t>
  </si>
  <si>
    <t>SH</t>
  </si>
  <si>
    <t>BM</t>
  </si>
  <si>
    <t>TC</t>
  </si>
  <si>
    <t>VG</t>
  </si>
  <si>
    <t>LBY</t>
  </si>
  <si>
    <t>Libya</t>
  </si>
  <si>
    <t>LY</t>
  </si>
  <si>
    <t>CHN</t>
  </si>
  <si>
    <t>CN</t>
  </si>
  <si>
    <t>HR</t>
  </si>
  <si>
    <t>DK</t>
  </si>
  <si>
    <t>FR</t>
  </si>
  <si>
    <t>DE</t>
  </si>
  <si>
    <t>GR</t>
  </si>
  <si>
    <t>IT</t>
  </si>
  <si>
    <t>MT</t>
  </si>
  <si>
    <t>PL</t>
  </si>
  <si>
    <t>PT</t>
  </si>
  <si>
    <t>ES</t>
  </si>
  <si>
    <t>SE</t>
  </si>
  <si>
    <t>BG</t>
  </si>
  <si>
    <t>CY</t>
  </si>
  <si>
    <t>IE</t>
  </si>
  <si>
    <t>NL</t>
  </si>
  <si>
    <t>GB</t>
  </si>
  <si>
    <t>EE</t>
  </si>
  <si>
    <t>LV</t>
  </si>
  <si>
    <t>BE</t>
  </si>
  <si>
    <t>SI</t>
  </si>
  <si>
    <t>HU</t>
  </si>
  <si>
    <t>TUN</t>
  </si>
  <si>
    <t>Tunisie</t>
  </si>
  <si>
    <t>TN</t>
  </si>
  <si>
    <t>PAN</t>
  </si>
  <si>
    <t>Panama</t>
  </si>
  <si>
    <t>PA</t>
  </si>
  <si>
    <t>TTO</t>
  </si>
  <si>
    <t>Trinidad and Tobago</t>
  </si>
  <si>
    <t>TT</t>
  </si>
  <si>
    <t>NAM</t>
  </si>
  <si>
    <t>Namibia</t>
  </si>
  <si>
    <t>NA</t>
  </si>
  <si>
    <t>BRB</t>
  </si>
  <si>
    <t>Barbados</t>
  </si>
  <si>
    <t>BB</t>
  </si>
  <si>
    <t>HND</t>
  </si>
  <si>
    <t>Honduras</t>
  </si>
  <si>
    <t>HN</t>
  </si>
  <si>
    <t>DZA</t>
  </si>
  <si>
    <t>Algerie</t>
  </si>
  <si>
    <t>DZ</t>
  </si>
  <si>
    <t>MEX</t>
  </si>
  <si>
    <t>Mexico</t>
  </si>
  <si>
    <t>MX</t>
  </si>
  <si>
    <t>VUT</t>
  </si>
  <si>
    <t>Vanuatu</t>
  </si>
  <si>
    <t>VU</t>
  </si>
  <si>
    <t>ISL</t>
  </si>
  <si>
    <t>Iceland</t>
  </si>
  <si>
    <t>IS</t>
  </si>
  <si>
    <t>TUR</t>
  </si>
  <si>
    <t>TR</t>
  </si>
  <si>
    <t>PHL</t>
  </si>
  <si>
    <t>Philippines</t>
  </si>
  <si>
    <t>PH</t>
  </si>
  <si>
    <t>NOR</t>
  </si>
  <si>
    <t>Norway</t>
  </si>
  <si>
    <t>NO</t>
  </si>
  <si>
    <t>NIC</t>
  </si>
  <si>
    <t>Nicaragua</t>
  </si>
  <si>
    <t>NI</t>
  </si>
  <si>
    <t>GTM</t>
  </si>
  <si>
    <t>Guatemala</t>
  </si>
  <si>
    <t>GT</t>
  </si>
  <si>
    <t>SEN</t>
  </si>
  <si>
    <t>Senegal</t>
  </si>
  <si>
    <t>SN</t>
  </si>
  <si>
    <t>BLZ</t>
  </si>
  <si>
    <t>Belize</t>
  </si>
  <si>
    <t>BZ</t>
  </si>
  <si>
    <t>SYR</t>
  </si>
  <si>
    <t>SY</t>
  </si>
  <si>
    <t>VCT</t>
  </si>
  <si>
    <t>VC</t>
  </si>
  <si>
    <t>EGY</t>
  </si>
  <si>
    <t>Egypt</t>
  </si>
  <si>
    <t>EG</t>
  </si>
  <si>
    <t>ALB</t>
  </si>
  <si>
    <t>Albania</t>
  </si>
  <si>
    <t>AL</t>
  </si>
  <si>
    <t>SLE</t>
  </si>
  <si>
    <t>Sierra Leone</t>
  </si>
  <si>
    <t>SL</t>
  </si>
  <si>
    <t>TAI</t>
  </si>
  <si>
    <t>Chinese Taipei</t>
  </si>
  <si>
    <t>GUY</t>
  </si>
  <si>
    <t>Guyana</t>
  </si>
  <si>
    <t>GY</t>
  </si>
  <si>
    <t>Curaçao</t>
  </si>
  <si>
    <t>KNA</t>
  </si>
  <si>
    <t>Saint Kitts and Nevis</t>
  </si>
  <si>
    <t>KN</t>
  </si>
  <si>
    <t>ARG</t>
  </si>
  <si>
    <t>Argentina</t>
  </si>
  <si>
    <t>AR</t>
  </si>
  <si>
    <t>CUB</t>
  </si>
  <si>
    <t>Cuba</t>
  </si>
  <si>
    <t>CU</t>
  </si>
  <si>
    <t>GRD</t>
  </si>
  <si>
    <t>Grenada</t>
  </si>
  <si>
    <t>GD</t>
  </si>
  <si>
    <t>DOM</t>
  </si>
  <si>
    <t>Dominican Republic</t>
  </si>
  <si>
    <t>ISR</t>
  </si>
  <si>
    <t>Israel</t>
  </si>
  <si>
    <t>IL</t>
  </si>
  <si>
    <t>LBN</t>
  </si>
  <si>
    <t>Lebanon</t>
  </si>
  <si>
    <t>LB</t>
  </si>
  <si>
    <t>VIR</t>
  </si>
  <si>
    <t>US Virgin Islands</t>
  </si>
  <si>
    <t>VI</t>
  </si>
  <si>
    <t>LBR</t>
  </si>
  <si>
    <t>Liberia</t>
  </si>
  <si>
    <t>LR</t>
  </si>
  <si>
    <t>PRI</t>
  </si>
  <si>
    <t>Puerto Rico</t>
  </si>
  <si>
    <t>PR</t>
  </si>
  <si>
    <t>COL</t>
  </si>
  <si>
    <t>Colombia</t>
  </si>
  <si>
    <t>CO</t>
  </si>
  <si>
    <t>BEN</t>
  </si>
  <si>
    <t>Benin</t>
  </si>
  <si>
    <t>BJ</t>
  </si>
  <si>
    <t>COG</t>
  </si>
  <si>
    <t>Congo</t>
  </si>
  <si>
    <t>CG</t>
  </si>
  <si>
    <t>TGO</t>
  </si>
  <si>
    <t>Togo</t>
  </si>
  <si>
    <t>TG</t>
  </si>
  <si>
    <t>CYM</t>
  </si>
  <si>
    <t>Cayman Islands</t>
  </si>
  <si>
    <t>KY</t>
  </si>
  <si>
    <t>LCA</t>
  </si>
  <si>
    <t>LC</t>
  </si>
  <si>
    <t>MRT</t>
  </si>
  <si>
    <t>Mauritania</t>
  </si>
  <si>
    <t>MR</t>
  </si>
  <si>
    <t>CMR</t>
  </si>
  <si>
    <t>Cameroon</t>
  </si>
  <si>
    <t>CM</t>
  </si>
  <si>
    <t>NGA</t>
  </si>
  <si>
    <t>Nigeria</t>
  </si>
  <si>
    <t>NG</t>
  </si>
  <si>
    <t>ABW</t>
  </si>
  <si>
    <t>Aruba</t>
  </si>
  <si>
    <t>AW</t>
  </si>
  <si>
    <t>GNB</t>
  </si>
  <si>
    <t>Guinea Bissau</t>
  </si>
  <si>
    <t>GW</t>
  </si>
  <si>
    <t>UKR</t>
  </si>
  <si>
    <t>Ukraine</t>
  </si>
  <si>
    <t>UA</t>
  </si>
  <si>
    <t>ATG</t>
  </si>
  <si>
    <t>Antigua and Barbuda</t>
  </si>
  <si>
    <t>AG</t>
  </si>
  <si>
    <t>JAM</t>
  </si>
  <si>
    <t>Jamaica</t>
  </si>
  <si>
    <t>JM</t>
  </si>
  <si>
    <t>DMA</t>
  </si>
  <si>
    <t>Dominica</t>
  </si>
  <si>
    <t>DM</t>
  </si>
  <si>
    <t>CRI</t>
  </si>
  <si>
    <t>Costa Rica</t>
  </si>
  <si>
    <t>CR</t>
  </si>
  <si>
    <t>GEO</t>
  </si>
  <si>
    <t>Georgia</t>
  </si>
  <si>
    <t>GE</t>
  </si>
  <si>
    <t>GMB</t>
  </si>
  <si>
    <t>Gambia</t>
  </si>
  <si>
    <t>GM</t>
  </si>
  <si>
    <t>BLR</t>
  </si>
  <si>
    <t>Belarus</t>
  </si>
  <si>
    <t>BY</t>
  </si>
  <si>
    <t>FRO</t>
  </si>
  <si>
    <t>Faroe Islands</t>
  </si>
  <si>
    <t>KHM</t>
  </si>
  <si>
    <t>Cambodia</t>
  </si>
  <si>
    <t>KH</t>
  </si>
  <si>
    <t>SYC</t>
  </si>
  <si>
    <t>Seychelles</t>
  </si>
  <si>
    <t>SC</t>
  </si>
  <si>
    <t>MUS</t>
  </si>
  <si>
    <t>Mauritius</t>
  </si>
  <si>
    <t>MU</t>
  </si>
  <si>
    <t>IND</t>
  </si>
  <si>
    <t>India</t>
  </si>
  <si>
    <t>IN</t>
  </si>
  <si>
    <t>IRN</t>
  </si>
  <si>
    <t>IR</t>
  </si>
  <si>
    <t>MYS</t>
  </si>
  <si>
    <t>Malaysia</t>
  </si>
  <si>
    <t>MY</t>
  </si>
  <si>
    <t>SLV</t>
  </si>
  <si>
    <t>El Salvador</t>
  </si>
  <si>
    <t>AIA</t>
  </si>
  <si>
    <t>Anguilla</t>
  </si>
  <si>
    <t>AI</t>
  </si>
  <si>
    <t>THA</t>
  </si>
  <si>
    <t>Thailand</t>
  </si>
  <si>
    <t>TH</t>
  </si>
  <si>
    <t>CHL</t>
  </si>
  <si>
    <t>Chile</t>
  </si>
  <si>
    <t>CL</t>
  </si>
  <si>
    <t>BHS</t>
  </si>
  <si>
    <t>Bahamas</t>
  </si>
  <si>
    <t>BS</t>
  </si>
  <si>
    <t>SUR</t>
  </si>
  <si>
    <t>Suriname</t>
  </si>
  <si>
    <t>SR</t>
  </si>
  <si>
    <t>ECU</t>
  </si>
  <si>
    <t>Ecuador</t>
  </si>
  <si>
    <t>EC</t>
  </si>
  <si>
    <t>AUS</t>
  </si>
  <si>
    <t>Australia</t>
  </si>
  <si>
    <t>FJI</t>
  </si>
  <si>
    <t>Fiji Islands</t>
  </si>
  <si>
    <t>FJ</t>
  </si>
  <si>
    <t>GUM</t>
  </si>
  <si>
    <t>Guam</t>
  </si>
  <si>
    <t>GU</t>
  </si>
  <si>
    <t>IDN</t>
  </si>
  <si>
    <t>Indonesia</t>
  </si>
  <si>
    <t>ID</t>
  </si>
  <si>
    <t>KIR</t>
  </si>
  <si>
    <t>Kiribati</t>
  </si>
  <si>
    <t>KI</t>
  </si>
  <si>
    <t>MDV</t>
  </si>
  <si>
    <t>Maldives</t>
  </si>
  <si>
    <t>MV</t>
  </si>
  <si>
    <t>PNG</t>
  </si>
  <si>
    <t>Papua New Guinea</t>
  </si>
  <si>
    <t>PG</t>
  </si>
  <si>
    <t>LKA</t>
  </si>
  <si>
    <t>Sri Lanka</t>
  </si>
  <si>
    <t>LK</t>
  </si>
  <si>
    <t>VNM</t>
  </si>
  <si>
    <t>VN</t>
  </si>
  <si>
    <t>SGP</t>
  </si>
  <si>
    <t>Singapore</t>
  </si>
  <si>
    <t>SG</t>
  </si>
  <si>
    <t>OMN</t>
  </si>
  <si>
    <t>Oman</t>
  </si>
  <si>
    <t>OM</t>
  </si>
  <si>
    <t>NZL</t>
  </si>
  <si>
    <t>New Zealand</t>
  </si>
  <si>
    <t>NZ</t>
  </si>
  <si>
    <t>FSM</t>
  </si>
  <si>
    <t>Micronesia</t>
  </si>
  <si>
    <t>FM</t>
  </si>
  <si>
    <t>COK</t>
  </si>
  <si>
    <t>Cook Islands</t>
  </si>
  <si>
    <t>CK</t>
  </si>
  <si>
    <t>BOL</t>
  </si>
  <si>
    <t>Bolivia</t>
  </si>
  <si>
    <t>BO</t>
  </si>
  <si>
    <t>PLW</t>
  </si>
  <si>
    <t>Palau</t>
  </si>
  <si>
    <t>PW</t>
  </si>
  <si>
    <t>TON</t>
  </si>
  <si>
    <t>Tonga</t>
  </si>
  <si>
    <t>KEN</t>
  </si>
  <si>
    <t>Kenya</t>
  </si>
  <si>
    <t>KE</t>
  </si>
  <si>
    <t>PYF</t>
  </si>
  <si>
    <t>Polynesie Française</t>
  </si>
  <si>
    <t>PF</t>
  </si>
  <si>
    <t>PER</t>
  </si>
  <si>
    <t>PE</t>
  </si>
  <si>
    <t>CHE</t>
  </si>
  <si>
    <t>Switzerland</t>
  </si>
  <si>
    <t>CH</t>
  </si>
  <si>
    <t>TZA</t>
  </si>
  <si>
    <t>Tanzania</t>
  </si>
  <si>
    <t>TZ</t>
  </si>
  <si>
    <t>ARE</t>
  </si>
  <si>
    <t>United Arab Emirates</t>
  </si>
  <si>
    <t>AE</t>
  </si>
  <si>
    <t>HTI</t>
  </si>
  <si>
    <t>Haiti</t>
  </si>
  <si>
    <t>HT</t>
  </si>
  <si>
    <t>MDG</t>
  </si>
  <si>
    <t>Madagascar</t>
  </si>
  <si>
    <t>MG</t>
  </si>
  <si>
    <t>MOZ</t>
  </si>
  <si>
    <t>Mozambique</t>
  </si>
  <si>
    <t>MZ</t>
  </si>
  <si>
    <t>SLB</t>
  </si>
  <si>
    <t>Solomon Islands</t>
  </si>
  <si>
    <t>SB</t>
  </si>
  <si>
    <t>KWT</t>
  </si>
  <si>
    <t>Kuwait</t>
  </si>
  <si>
    <t>KW</t>
  </si>
  <si>
    <t>MHL</t>
  </si>
  <si>
    <t>Marshall Islands</t>
  </si>
  <si>
    <t>MH</t>
  </si>
  <si>
    <t>Section</t>
  </si>
  <si>
    <t>Detail</t>
  </si>
  <si>
    <t>Title</t>
  </si>
  <si>
    <t>Reporting Flag</t>
  </si>
  <si>
    <t>Reporting Agency</t>
  </si>
  <si>
    <t>Caractéristiques</t>
  </si>
  <si>
    <t>Características</t>
  </si>
  <si>
    <t>Identificación</t>
  </si>
  <si>
    <t>FieldID</t>
  </si>
  <si>
    <t>IRCS</t>
  </si>
  <si>
    <t>IsscfvID</t>
  </si>
  <si>
    <t>IsscfgID</t>
  </si>
  <si>
    <t>LengthM</t>
  </si>
  <si>
    <t>ICCATSerialNo</t>
  </si>
  <si>
    <t>Nom</t>
  </si>
  <si>
    <t>Nombre</t>
  </si>
  <si>
    <t>Adresse</t>
  </si>
  <si>
    <t>Dirección</t>
  </si>
  <si>
    <t>T01</t>
  </si>
  <si>
    <t>Téléphone</t>
  </si>
  <si>
    <t>Teléfono</t>
  </si>
  <si>
    <t>LenType</t>
  </si>
  <si>
    <t>NatRegNo</t>
  </si>
  <si>
    <t>Status</t>
  </si>
  <si>
    <t>CP</t>
  </si>
  <si>
    <t>NCC</t>
  </si>
  <si>
    <t>NCO</t>
  </si>
  <si>
    <t>China PR</t>
  </si>
  <si>
    <t>Iran</t>
  </si>
  <si>
    <t>Secretariat use only</t>
  </si>
  <si>
    <t>Agencia que informa</t>
  </si>
  <si>
    <t>Version</t>
  </si>
  <si>
    <t>Mandatory information (vessels)</t>
  </si>
  <si>
    <t>Information obligatoire (navires)</t>
  </si>
  <si>
    <t>Información obligatoria (buques)</t>
  </si>
  <si>
    <t>Notes</t>
  </si>
  <si>
    <t>Remarques</t>
  </si>
  <si>
    <t>Notas</t>
  </si>
  <si>
    <t>LenTypeEN</t>
  </si>
  <si>
    <t>LOA</t>
  </si>
  <si>
    <t>Length overall</t>
  </si>
  <si>
    <t>OTH</t>
  </si>
  <si>
    <t>(specify in notes)</t>
  </si>
  <si>
    <t>Vietnam</t>
  </si>
  <si>
    <t>Pavillon déclarant</t>
  </si>
  <si>
    <t>Agence déclarante</t>
  </si>
  <si>
    <t>Pabellón que informa</t>
  </si>
  <si>
    <t>CUW</t>
  </si>
  <si>
    <t>CW</t>
  </si>
  <si>
    <t>FLK</t>
  </si>
  <si>
    <t>Falklands</t>
  </si>
  <si>
    <t>FK</t>
  </si>
  <si>
    <t>Unknown (no info)</t>
  </si>
  <si>
    <t>Syria</t>
  </si>
  <si>
    <t>SVB</t>
  </si>
  <si>
    <t>SUPPORT VESSEL (BB/PS)</t>
  </si>
  <si>
    <t>MNE</t>
  </si>
  <si>
    <t>Montenegro</t>
  </si>
  <si>
    <t>ME</t>
  </si>
  <si>
    <t>PSE</t>
  </si>
  <si>
    <t>Palestine</t>
  </si>
  <si>
    <t>Perú</t>
  </si>
  <si>
    <t>WSM</t>
  </si>
  <si>
    <t>Samoa</t>
  </si>
  <si>
    <t>WS</t>
  </si>
  <si>
    <t>SRB</t>
  </si>
  <si>
    <t>Serbia</t>
  </si>
  <si>
    <t>RS</t>
  </si>
  <si>
    <t>TUV</t>
  </si>
  <si>
    <t>Tuvalu</t>
  </si>
  <si>
    <t>TV</t>
  </si>
  <si>
    <t>BND</t>
  </si>
  <si>
    <t>Brunei</t>
  </si>
  <si>
    <t>BN</t>
  </si>
  <si>
    <t>Description</t>
  </si>
  <si>
    <t>IsscfgGroup</t>
  </si>
  <si>
    <t>TM</t>
  </si>
  <si>
    <t xml:space="preserve">Midwater trawls </t>
  </si>
  <si>
    <t>LNP</t>
  </si>
  <si>
    <t>FCN</t>
  </si>
  <si>
    <t>GND</t>
  </si>
  <si>
    <t>Driftnets</t>
  </si>
  <si>
    <t>LHP</t>
  </si>
  <si>
    <t>Handline and pole-lines (hand operated)</t>
  </si>
  <si>
    <t>LHM</t>
  </si>
  <si>
    <t>Handline and pole-lines (mechanized)</t>
  </si>
  <si>
    <t>LLS</t>
  </si>
  <si>
    <t>Set longlines</t>
  </si>
  <si>
    <t>LLD</t>
  </si>
  <si>
    <t>Drifting longlines</t>
  </si>
  <si>
    <t>GRAPPLING AND WOUNDLING</t>
  </si>
  <si>
    <t>Not applicable (not a fishing vessel)</t>
  </si>
  <si>
    <t>Côte d'Ivoire</t>
  </si>
  <si>
    <t>AND</t>
  </si>
  <si>
    <t>Andorra</t>
  </si>
  <si>
    <t>AD</t>
  </si>
  <si>
    <t>NCL</t>
  </si>
  <si>
    <t>New Caledonia</t>
  </si>
  <si>
    <t>NC</t>
  </si>
  <si>
    <t>SAU</t>
  </si>
  <si>
    <t>Saudi Arabia</t>
  </si>
  <si>
    <t>SA</t>
  </si>
  <si>
    <t>Order</t>
  </si>
  <si>
    <t>Subform</t>
  </si>
  <si>
    <t>Item</t>
  </si>
  <si>
    <t>FieldType</t>
  </si>
  <si>
    <t>FldNameEN</t>
  </si>
  <si>
    <t>FldNameFR</t>
  </si>
  <si>
    <t>FldNameES</t>
  </si>
  <si>
    <t>n/a</t>
  </si>
  <si>
    <t>field</t>
  </si>
  <si>
    <t>ICCAT code</t>
  </si>
  <si>
    <t>Indicativo internacional de radio Debe estar compuesto solo por números y letras, por ejemplo, 7T2472 (sin espacios ni , “-“, “.”, u otros caracteres especiales). Si el buque es demasiado pequeño para tener un IRCS asignado, entonces debe indicar n/a</t>
  </si>
  <si>
    <t>La taille des navires doit correspondre à la longueur hors tout, à savoir la distance mesurée en ligne droite entre le point le plus en avant de la proue et le point le plus en arrière de la poupe. La taille doit se limiter à la première décimale (p. ex. 23,9)</t>
  </si>
  <si>
    <t>Translation for Forms</t>
  </si>
  <si>
    <t>LangFieldID</t>
  </si>
  <si>
    <t>LangNameID</t>
  </si>
  <si>
    <t>a)</t>
  </si>
  <si>
    <t>b)</t>
  </si>
  <si>
    <t>c)</t>
  </si>
  <si>
    <t>d)</t>
  </si>
  <si>
    <t>e)</t>
  </si>
  <si>
    <t>G00</t>
  </si>
  <si>
    <t>General</t>
  </si>
  <si>
    <t>title</t>
  </si>
  <si>
    <t>Instructions</t>
  </si>
  <si>
    <t>Instrucciones</t>
  </si>
  <si>
    <t>Instructions to complete the form</t>
  </si>
  <si>
    <t>Instructions pour remplir le formulaire</t>
  </si>
  <si>
    <t>Instrucciones para cumplimentar el formulario</t>
  </si>
  <si>
    <t>G01</t>
  </si>
  <si>
    <t>subtitle</t>
  </si>
  <si>
    <t>G01a</t>
  </si>
  <si>
    <t>item</t>
  </si>
  <si>
    <t>General01</t>
  </si>
  <si>
    <t>G01b</t>
  </si>
  <si>
    <t>General02</t>
  </si>
  <si>
    <t>G01c</t>
  </si>
  <si>
    <t>General03</t>
  </si>
  <si>
    <t>G01d</t>
  </si>
  <si>
    <t>General04</t>
  </si>
  <si>
    <t>G01e</t>
  </si>
  <si>
    <t>General05</t>
  </si>
  <si>
    <t>Leave "blank" the fields for which you don't collect information</t>
  </si>
  <si>
    <t>S00</t>
  </si>
  <si>
    <t>Specific</t>
  </si>
  <si>
    <t>Specific (by field)</t>
  </si>
  <si>
    <t>Spécifique (par champ)</t>
  </si>
  <si>
    <t>Específico (por campo)</t>
  </si>
  <si>
    <t>SC01</t>
  </si>
  <si>
    <t>Form</t>
  </si>
  <si>
    <t>Formulaire</t>
  </si>
  <si>
    <t>Formulario</t>
  </si>
  <si>
    <t>SC02</t>
  </si>
  <si>
    <t>Sub-form</t>
  </si>
  <si>
    <t>Sous-formulaire</t>
  </si>
  <si>
    <t>Subformulario</t>
  </si>
  <si>
    <t>SC03</t>
  </si>
  <si>
    <t>Part</t>
  </si>
  <si>
    <t>Partie</t>
  </si>
  <si>
    <t>Parte</t>
  </si>
  <si>
    <t>SC04</t>
  </si>
  <si>
    <t xml:space="preserve">Section </t>
  </si>
  <si>
    <t>Sección</t>
  </si>
  <si>
    <t>SC05</t>
  </si>
  <si>
    <t>Sub-section</t>
  </si>
  <si>
    <t>Sous-section</t>
  </si>
  <si>
    <t>Sub-secciones</t>
  </si>
  <si>
    <t>SC06</t>
  </si>
  <si>
    <t>Field (name)</t>
  </si>
  <si>
    <t>Champ (nom)</t>
  </si>
  <si>
    <t>Campo (nombre)</t>
  </si>
  <si>
    <t>SC07</t>
  </si>
  <si>
    <t>Field (format)</t>
  </si>
  <si>
    <t>Champ (format)</t>
  </si>
  <si>
    <t>Campo (formato)</t>
  </si>
  <si>
    <t>SC08</t>
  </si>
  <si>
    <t>Descripción</t>
  </si>
  <si>
    <t>2-Instructions</t>
  </si>
  <si>
    <t>Titre</t>
  </si>
  <si>
    <t>Título</t>
  </si>
  <si>
    <t>Form Title</t>
  </si>
  <si>
    <t>Titre du formulaire</t>
  </si>
  <si>
    <t>Título del formulario</t>
  </si>
  <si>
    <t>ICCAT</t>
  </si>
  <si>
    <t>CICTA</t>
  </si>
  <si>
    <t>CICAA</t>
  </si>
  <si>
    <t>INTERNATIONAL COMMISSION FOR THE CONSERVATION OF ATLANTIC TUNAS</t>
  </si>
  <si>
    <t>COMMISSION INTERNATIONALE POUR LA CONSERVATION DES THONIDÉS DE L'ATLANTIQUE</t>
  </si>
  <si>
    <t>COMISIÓN INTERNACIONAL PARA LA CONSERVACIÓN DEL ATÚN ATLÁNTICO</t>
  </si>
  <si>
    <t>T02</t>
  </si>
  <si>
    <t>(fixed)</t>
  </si>
  <si>
    <t>Versión</t>
  </si>
  <si>
    <t>Always use the lastest version of this form.</t>
  </si>
  <si>
    <t>T03</t>
  </si>
  <si>
    <t>Language</t>
  </si>
  <si>
    <t>Langue</t>
  </si>
  <si>
    <t>Idioma</t>
  </si>
  <si>
    <t>Choose the language (EN, FR, ES) for form translation</t>
  </si>
  <si>
    <t>T00</t>
  </si>
  <si>
    <t>section</t>
  </si>
  <si>
    <t>Nat. Registry Nº (NRN)</t>
  </si>
  <si>
    <t>Nº Registre Nat. (NRN)</t>
  </si>
  <si>
    <t>Nº Registro Nac. (NRN)</t>
  </si>
  <si>
    <t>Length (m)</t>
  </si>
  <si>
    <t>Longueur (m)</t>
  </si>
  <si>
    <t>Eslora (m)</t>
  </si>
  <si>
    <t>Length type</t>
  </si>
  <si>
    <t>Type longueur</t>
  </si>
  <si>
    <t>Tipo eslora</t>
  </si>
  <si>
    <t>Vessel type (ISSCFV)</t>
  </si>
  <si>
    <t>Type navire (ISSCFV)</t>
  </si>
  <si>
    <t>Tipo buque (ISSCFV)</t>
  </si>
  <si>
    <t>Gear type (ISSCFG)</t>
  </si>
  <si>
    <t>Type d'engin (ISSCFG)</t>
  </si>
  <si>
    <t>Tipo arte (ISSCFG)</t>
  </si>
  <si>
    <t>string</t>
  </si>
  <si>
    <t>integer</t>
  </si>
  <si>
    <t>float</t>
  </si>
  <si>
    <t>hNotes</t>
  </si>
  <si>
    <t>BFA</t>
  </si>
  <si>
    <t>Burkina Faso</t>
  </si>
  <si>
    <t>BF</t>
  </si>
  <si>
    <t>H00</t>
  </si>
  <si>
    <t>H10</t>
  </si>
  <si>
    <t>H20</t>
  </si>
  <si>
    <t>Tête</t>
  </si>
  <si>
    <t>Cabecera</t>
  </si>
  <si>
    <t>Filters</t>
  </si>
  <si>
    <t>subsection</t>
  </si>
  <si>
    <t>Réservé au Secrétariat</t>
  </si>
  <si>
    <t>Reservado a la Secretaría</t>
  </si>
  <si>
    <t>H30</t>
  </si>
  <si>
    <t>Data set characteristics</t>
  </si>
  <si>
    <t>date</t>
  </si>
  <si>
    <t>Date reported</t>
  </si>
  <si>
    <t>Date de déclaration</t>
  </si>
  <si>
    <t>Fecha de notificación</t>
  </si>
  <si>
    <t>Reservado a la Sacretaría</t>
  </si>
  <si>
    <t>hRef</t>
  </si>
  <si>
    <t>Reference Nº</t>
  </si>
  <si>
    <t>Nº Reference</t>
  </si>
  <si>
    <t>Nº Referencia</t>
  </si>
  <si>
    <t>File name (proposed)</t>
  </si>
  <si>
    <t>(reserved)</t>
  </si>
  <si>
    <t>Table. Flags</t>
  </si>
  <si>
    <t>Table. ISSCFV (FAO vessel types)</t>
  </si>
  <si>
    <t>Table. ISSCFG (FAO gears)</t>
  </si>
  <si>
    <t>Table. Length types (vessels)</t>
  </si>
  <si>
    <t>FlagCod</t>
  </si>
  <si>
    <t>IsscfvCod</t>
  </si>
  <si>
    <t>IsscfgCod</t>
  </si>
  <si>
    <t>LenTypeCod</t>
  </si>
  <si>
    <t>tVersion</t>
  </si>
  <si>
    <t>tLang</t>
  </si>
  <si>
    <t>hDateRep</t>
  </si>
  <si>
    <t>hFName</t>
  </si>
  <si>
    <t>D00</t>
  </si>
  <si>
    <t>Détail</t>
  </si>
  <si>
    <t>Detalle</t>
  </si>
  <si>
    <t>D10</t>
  </si>
  <si>
    <t>D20</t>
  </si>
  <si>
    <t>D11</t>
  </si>
  <si>
    <t>D12</t>
  </si>
  <si>
    <t>D13</t>
  </si>
  <si>
    <t>D14</t>
  </si>
  <si>
    <t>D21</t>
  </si>
  <si>
    <t>International Radio Call Sign. This must comprise only letters and numbers, e.g. 7T2472 (no spaces, "-", ".", or any other special character are allowed. If the vessel is too small to have an IRCS assigned, then "n/a" should be entered</t>
  </si>
  <si>
    <t>Please check the code sheet for a list of valid 3 Alpha codes. Only one type can be selected for each vessel (choose from the available vessel type codes)</t>
  </si>
  <si>
    <t>Please check the code sheet for a list of valid 3 Alpha codes. Only one type can be selected for each fishing gear (choose from the available fishing gear type codes)</t>
  </si>
  <si>
    <t>Two codes are available: LOA (length overall) and OTH (other). The length type should be length overall (LOA). If OTH is reported, an explanation should accompany the submission</t>
  </si>
  <si>
    <t>Send the form to ICCAT with the proposed file name (if required, adding a suffix at the end of the filename: [suffix])</t>
  </si>
  <si>
    <t>Enviar el formulario a ICCAT con el nombre del archivo propuesto (si es necesario, agregue un sufijo al final del nombre del archivo: [suffix])</t>
  </si>
  <si>
    <t>Nom fichier (proposé)</t>
  </si>
  <si>
    <t>Nombre archivo (propuesto)</t>
  </si>
  <si>
    <t>Características conjunto de datos</t>
  </si>
  <si>
    <t>Caractéristiques jeu de données</t>
  </si>
  <si>
    <t>fldDescEN</t>
  </si>
  <si>
    <t>fldDescFR</t>
  </si>
  <si>
    <t>fldDescES</t>
  </si>
  <si>
    <t>Utilisez toujours la dernière version de ce formulaire</t>
  </si>
  <si>
    <t>Utilice siempre la última versión de este formulario</t>
  </si>
  <si>
    <t>Choisissez la langue (EN, FR, ES) pour la traduction du formulaire</t>
  </si>
  <si>
    <t>Elija el idioma (EN, FR, ES) para la traducción del formulario</t>
  </si>
  <si>
    <t>Envoyez le formulaire à l'ICCAT avec le nom du fichier proposé (si nécessaire, ajoutez un suffixe à la fin du nom de fichier: [suffix])</t>
  </si>
  <si>
    <t>Indicatif international d’appel radio. Cet indicatif ne comportera que des lettres et des chiffres, par ex. 7T2472 (sans espace, « - », « . », ou tout autre caractère spécial). Si le navire est trop petit pour qu’un IRCS lui soit attribué, saisissez « (n/a) »</t>
  </si>
  <si>
    <t>Veuillez consulter la liste de codes pour obtenir les codes valides de deux lettres. Seul un type peut être sélectionné pour chaque navire (à choisir parmi les codes de types de navires disponibles)</t>
  </si>
  <si>
    <t>Compruebe la hoja de códigos que incluye una lista de códigos válidos de tres letras. Solo puede seleccionarse un tipo para cada buque (a escoger de la lista de códigos de tipos de buques disponible)</t>
  </si>
  <si>
    <t>Veuillez consulter la liste de codes pour obtenir les codes valides de deux lettres. Seul un type peut être sélectionné pour chaque engin de pêche (à choisir parmi les codes de types d’engins de pêche disponibles)</t>
  </si>
  <si>
    <t>Compruebe la hoja de códigos que incluye una lista de códigos válidos de tres letras. Solo puede seleccionarse un tipo para cada arte de pesca (a escoger de la lista de códigos de tipos de artes disponibles)</t>
  </si>
  <si>
    <t>La eslora debe ser la eslora total, definida como la distancia medida en una línea recta entre el punto más saliente anterior de la proa y el punto más saliente posterior de la popa. Para la eslora solo se incluirá el primer decimal (Por ejemplo, 23,9)</t>
  </si>
  <si>
    <t>Deux codes sont disponibles : LOA (longueur hors tout) et OTH (autres). Le type de longueur doit être la longueur hors tout (LOA.) Si OTH est déclaré, une explication doit être jointe à la soumission</t>
  </si>
  <si>
    <t>Hay dos códigos disponibles: LOA (eslora total) y OTH (otros). El tipo de eslora debe ser la eslora total (LOA). Si se indica OTH debe incluirse una explicación</t>
  </si>
  <si>
    <t>Veuillez compléter dans la plus grande mesure du possible les rubriques « En-tête » et « Informations détaillées ». Ne laissez pas de cellules vides si l’information est connue</t>
  </si>
  <si>
    <t>Cumplimentar con la mayor información posible las secciones "cabecera" y "detalles" (no dejar campos vacíos cuando se conoce la información)</t>
  </si>
  <si>
    <t>Dans la rubrique « En-tête », seules les cellules blanches sont à remplir (manuellement ou en sélectionnant le code correspondant dans le menu déroulant)</t>
  </si>
  <si>
    <t>En la sección de cabecera, sólo pueden cumplimentarse las celdas en blanco (manualmente o seleccionando en la pestaña desplegable el código correspondiente)</t>
  </si>
  <si>
    <t>Utilisez toujours les codes standard de l’ICCAT (si l’élément « Autres » des menus déroulants de plusieurs champs est requis, une explication détaillée doit être apportée au point « Notes »)</t>
  </si>
  <si>
    <t>Utilice siempre los códigos estándar ICCAT (cuando se requiere el elemento "OTROS" de varios campos, éste debe describirse explícitamente en las "Notas")</t>
  </si>
  <si>
    <t>Recommendation for users with databases: To paste an entire dataset into the Detail section (must have the same structure and format) use "Paste special (values)"</t>
  </si>
  <si>
    <t>Recommandation pour les utilisateurs de bases de données: pour copier un jeu de données complet dans la rubrique « Informations détaillées ». (qui doivent avoir la même structure et le même format), utilisez « Collage spécial &gt; Coller valeurs »</t>
  </si>
  <si>
    <t>Recomendación para los usuarios con bases de datos: para pegar un conjunto de datos completo en la sección de información detallada (debe tener la misma estructura y formato) se debe utilizar "Pegado especial (valores)"</t>
  </si>
  <si>
    <t>Laisser en blanc les champs pour lesquels vous ne recueillez pas d'informations</t>
  </si>
  <si>
    <t>Deje en blanco los campos para los que no se ha recopilado información</t>
  </si>
  <si>
    <t>Internat. RCS</t>
  </si>
  <si>
    <t>RCS internat.</t>
  </si>
  <si>
    <t>RCS internac.</t>
  </si>
  <si>
    <t>Length should be length overall, defined as the distance measured in a straight line between the foremost point of the bow and the aftermost point of the stern. Length should be limited to 1 decimal place (e.g. 23.9)</t>
  </si>
  <si>
    <t>AT</t>
  </si>
  <si>
    <t>Djibouti</t>
  </si>
  <si>
    <t>DJI</t>
  </si>
  <si>
    <t>DJ</t>
  </si>
  <si>
    <t>CZ</t>
  </si>
  <si>
    <t>FI</t>
  </si>
  <si>
    <t>LU</t>
  </si>
  <si>
    <t>SK</t>
  </si>
  <si>
    <t>Bosnia and Herzegovina</t>
  </si>
  <si>
    <t>BIH</t>
  </si>
  <si>
    <t>BA</t>
  </si>
  <si>
    <t>Isle of Man</t>
  </si>
  <si>
    <t>IMN</t>
  </si>
  <si>
    <t>IM</t>
  </si>
  <si>
    <t>Mongolia</t>
  </si>
  <si>
    <t>MNG</t>
  </si>
  <si>
    <t>MN</t>
  </si>
  <si>
    <t>MKD</t>
  </si>
  <si>
    <t>MK</t>
  </si>
  <si>
    <t>Qatar</t>
  </si>
  <si>
    <t>QAT</t>
  </si>
  <si>
    <t>QA</t>
  </si>
  <si>
    <t>CP53-ChartrCP_FS</t>
  </si>
  <si>
    <t>CP53</t>
  </si>
  <si>
    <t>VESSELS CHARTERING ARRANGEMENT REGISTRATION</t>
  </si>
  <si>
    <t>Vessels chartering arrangement registration details</t>
  </si>
  <si>
    <t>H40</t>
  </si>
  <si>
    <t>1-CP53</t>
  </si>
  <si>
    <t>hPerson1</t>
  </si>
  <si>
    <t>hAgency1</t>
  </si>
  <si>
    <t>hAddress1</t>
  </si>
  <si>
    <t>hEmail1</t>
  </si>
  <si>
    <t>hPhone1</t>
  </si>
  <si>
    <t>hFlagRep1</t>
  </si>
  <si>
    <t>hPerson2</t>
  </si>
  <si>
    <t>hAgency2</t>
  </si>
  <si>
    <t>hAddress2</t>
  </si>
  <si>
    <t>hEmail2</t>
  </si>
  <si>
    <t>hPhone2</t>
  </si>
  <si>
    <t>hFlagRep2</t>
  </si>
  <si>
    <t>or Other (specify)</t>
  </si>
  <si>
    <t>Ou autre (spécifier)</t>
  </si>
  <si>
    <t>u Otros (especificar)</t>
  </si>
  <si>
    <t>hFlagOth</t>
  </si>
  <si>
    <t>ICCAT serial number (unique) of the Vessel registered. To be completed if the vessel is over 20 m and currently entered on the ICCAT Record of Vessels by the Flag State</t>
  </si>
  <si>
    <t>ICCAT Serial Number
(If applicable)</t>
  </si>
  <si>
    <t>Numéro de série ICCAT (le cas échéant)</t>
  </si>
  <si>
    <t>Número de serie ICCAT (si procede)</t>
  </si>
  <si>
    <t>IMONo</t>
  </si>
  <si>
    <t>IMO Number</t>
  </si>
  <si>
    <t>Numéro OMI</t>
  </si>
  <si>
    <t>Número OMI</t>
  </si>
  <si>
    <t>IMO number. All vessels of 20 m or greater must have an IMO number, except wooden LSFVs that are not authorized to fish on the high seas or LSFVs unable to obtain an IMO number</t>
  </si>
  <si>
    <t>Numéro OMI. Tous les navires de 20 m ou plus doivent avoir un numéro OMI, à l'exception des LSFV en bois qui ne sont pas autorisés à pêcher en haute mer ou des LSFV qui ne peuvent pas obtenir de  numéro OMI</t>
  </si>
  <si>
    <t>Número OMI. Todos los buques de 20 m o más deben tener un número OMI, excepto los GPA de madera que no están autorizados a pescar en alta mar o los GPA que no pueden obtener un número OMI.</t>
  </si>
  <si>
    <t>VesselName</t>
  </si>
  <si>
    <t>Vessel name (Latin)</t>
  </si>
  <si>
    <t>Nom navire (latin)</t>
  </si>
  <si>
    <t>Nombre del buque (latin)</t>
  </si>
  <si>
    <t>Vessel name in Latin script</t>
  </si>
  <si>
    <t>Nom du navire en caractères latins</t>
  </si>
  <si>
    <t>El nombre del buque en caracteres latinos</t>
  </si>
  <si>
    <t>FlagCPCd</t>
  </si>
  <si>
    <t>FlagFsCd</t>
  </si>
  <si>
    <t>FlagCpCd</t>
  </si>
  <si>
    <t>Flag (Chartering)</t>
  </si>
  <si>
    <t>Flag (Flag State)</t>
  </si>
  <si>
    <t>Ownership details</t>
  </si>
  <si>
    <t>Détails de propriété</t>
  </si>
  <si>
    <t>Detalles de propiedad</t>
  </si>
  <si>
    <t>hPeriod</t>
  </si>
  <si>
    <t>hPeriodFrom</t>
  </si>
  <si>
    <t>From</t>
  </si>
  <si>
    <t>Du</t>
  </si>
  <si>
    <t>Desde</t>
  </si>
  <si>
    <t>hPeriodTo</t>
  </si>
  <si>
    <t>to</t>
  </si>
  <si>
    <t>à</t>
  </si>
  <si>
    <t>a</t>
  </si>
  <si>
    <t>Time period of Chartering</t>
  </si>
  <si>
    <t>Fishing Activities</t>
  </si>
  <si>
    <t>AdptMeasCP</t>
  </si>
  <si>
    <t>ConsentCP</t>
  </si>
  <si>
    <t>ConsentFS</t>
  </si>
  <si>
    <t>AdptMeasFS</t>
  </si>
  <si>
    <t>Indicate whether the consent of the chartering Contracting Party is attached or not (Yes/No)</t>
  </si>
  <si>
    <t>Indicate whether the measures adopted by the chartering Contracting Party to implement these provisions are attached or not (Yes/No)</t>
  </si>
  <si>
    <t>CP consent att.</t>
  </si>
  <si>
    <t>FS consent att.</t>
  </si>
  <si>
    <t>CP Adopted Meas.</t>
  </si>
  <si>
    <t>FS Adopted Meas.</t>
  </si>
  <si>
    <t>Mandatory information (arrangement)</t>
  </si>
  <si>
    <t>Consent of CP</t>
  </si>
  <si>
    <t>D22</t>
  </si>
  <si>
    <t>Consent of FS</t>
  </si>
  <si>
    <t>Enter the name of the person of the chartering Party to be contacted in the event of enquiries</t>
  </si>
  <si>
    <t>Enter the name of your ministry, institute or agency of the chartering Party</t>
  </si>
  <si>
    <t>Enter the street address of your ministry, institute or agency of the chartering Party</t>
  </si>
  <si>
    <t>Enter the email address of the person of the chartering Party to be contacted</t>
  </si>
  <si>
    <t>Enter the telephone number of the person of the chartering Party to be contacted</t>
  </si>
  <si>
    <t>Enter the flag of the chartering Party submitting the information</t>
  </si>
  <si>
    <t>Enter the telephone number of the person of the CPC (Party, Entity or Fishing Entity) to be contacted</t>
  </si>
  <si>
    <t>FlagFSCd</t>
  </si>
  <si>
    <t>OwName</t>
  </si>
  <si>
    <t>OwAddrs</t>
  </si>
  <si>
    <t>Street address of person or company who owns the vessel</t>
  </si>
  <si>
    <t>The national registry number as it appears in the registry of its CPC</t>
  </si>
  <si>
    <t>Initial date for time period of chartering</t>
  </si>
  <si>
    <t>End date for time period of chartering</t>
  </si>
  <si>
    <t>Espace reservé aux notes pertinentes</t>
  </si>
  <si>
    <t>Para cualquier nota relevante</t>
  </si>
  <si>
    <t>For any relevant notes</t>
  </si>
  <si>
    <t>Select the flag (choose from available flag codes) under which the vessel to be chartered is registered</t>
  </si>
  <si>
    <t>AutoTerm</t>
  </si>
  <si>
    <t>Auto Termination</t>
  </si>
  <si>
    <t>Indicate whether Chartering to be considered automatically terminated at end date of the Time Period defined (Yes/No)</t>
  </si>
  <si>
    <t>Table. ICCAT major fisheries</t>
  </si>
  <si>
    <t>FisheryCode</t>
  </si>
  <si>
    <t>Fishery</t>
  </si>
  <si>
    <t>ALBN</t>
  </si>
  <si>
    <t>ALB Northern stock</t>
  </si>
  <si>
    <t>ALBS</t>
  </si>
  <si>
    <t>ALBM</t>
  </si>
  <si>
    <t>SWON</t>
  </si>
  <si>
    <t>SWO Northern stock</t>
  </si>
  <si>
    <t>SWOS</t>
  </si>
  <si>
    <t>TROP</t>
  </si>
  <si>
    <t>Targeting Tropicals (YFT/BET/SKJ)</t>
  </si>
  <si>
    <t>BFTW</t>
  </si>
  <si>
    <t>BFT Western stock</t>
  </si>
  <si>
    <t>SMTuna</t>
  </si>
  <si>
    <t>Targeting small tuna sp.</t>
  </si>
  <si>
    <t>SHARKS</t>
  </si>
  <si>
    <t>MULTIFISH</t>
  </si>
  <si>
    <t>Multiple fisheries (&gt;=6 ICCAT fisheries)</t>
  </si>
  <si>
    <t>SWOM</t>
  </si>
  <si>
    <t>BFTE</t>
  </si>
  <si>
    <t>BFT Eastern stock (ATE + MED)</t>
  </si>
  <si>
    <t>Fishery1Cd</t>
  </si>
  <si>
    <t>Fishery 1 (cod)</t>
  </si>
  <si>
    <t>Pêcherie 1 (cod)</t>
  </si>
  <si>
    <t>Pesquería 1 (cód)</t>
  </si>
  <si>
    <t>Choose fishery in which the Vessel is going to participate (option 1)</t>
  </si>
  <si>
    <t>ALB Mediterranean stock</t>
  </si>
  <si>
    <t>ALB Southern stock</t>
  </si>
  <si>
    <t>SWO Southern stock</t>
  </si>
  <si>
    <t>SWO Mediterranean stock</t>
  </si>
  <si>
    <t>Targeting sharks (major sp.)*</t>
  </si>
  <si>
    <t>* Only Permitted Species</t>
  </si>
  <si>
    <t>Quota1CP</t>
  </si>
  <si>
    <t>Quota 1 allocated (t)</t>
  </si>
  <si>
    <t>Quota 1 alloué (t)</t>
  </si>
  <si>
    <t>Cuota 1 asignada (t)</t>
  </si>
  <si>
    <t>Show the quota (in tonnes) allocated to the chartering Party (option 1)</t>
  </si>
  <si>
    <t>Fishery2Cd</t>
  </si>
  <si>
    <t>Quota2CP</t>
  </si>
  <si>
    <t>Fishery 2 (cod)</t>
  </si>
  <si>
    <t>Pêcherie 2 (cod)</t>
  </si>
  <si>
    <t>Pesquería 2 (cód)</t>
  </si>
  <si>
    <t>Choose fishery in which the Vessel is going to participate (option 2)</t>
  </si>
  <si>
    <t>Quota 2 allocated (t)</t>
  </si>
  <si>
    <t>Quota 2 alloué (t)</t>
  </si>
  <si>
    <t>Cuota 2 asignada (t)</t>
  </si>
  <si>
    <t>Show the quota (in tonnes) allocated to the chartering Party (option 2)</t>
  </si>
  <si>
    <t>Fishery 3 (cod)</t>
  </si>
  <si>
    <t>Pêcherie 3 (cod)</t>
  </si>
  <si>
    <t>Pesquería 3 (cód)</t>
  </si>
  <si>
    <t>Choose fishery in which the Vessel is going to participate (option 3)</t>
  </si>
  <si>
    <t>Quota 3 allocated (t)</t>
  </si>
  <si>
    <t>Quota 3 alloué (t)</t>
  </si>
  <si>
    <t>Cuota 3 asignada (t)</t>
  </si>
  <si>
    <t>Show the quota (in tonnes) allocated to the chartering Party (option 3)</t>
  </si>
  <si>
    <t>Fishery 4 (cod)</t>
  </si>
  <si>
    <t>Pêcherie 4 (cod)</t>
  </si>
  <si>
    <t>Pesquería 4 (cód)</t>
  </si>
  <si>
    <t>Choose fishery in which the Vessel is going to participate (option 4)</t>
  </si>
  <si>
    <t>Quota 4 allocated (t)</t>
  </si>
  <si>
    <t>Quota 4 alloué (t)</t>
  </si>
  <si>
    <t>Cuota 4 asignada (t)</t>
  </si>
  <si>
    <t>Show the quota (in tonnes) allocated to the chartering Party (option 4)</t>
  </si>
  <si>
    <t>Fishery 5 (cod)</t>
  </si>
  <si>
    <t>Pêcherie 5 (cod)</t>
  </si>
  <si>
    <t>Pesquería 5 (cód)</t>
  </si>
  <si>
    <t>Choose fishery in which the Vessel is going to participate (option 5)</t>
  </si>
  <si>
    <t>Quota 5 allocated (t)</t>
  </si>
  <si>
    <t>Quota 5 alloué (t)</t>
  </si>
  <si>
    <t>Cuota 5 asignada (t)</t>
  </si>
  <si>
    <t>Show the quota (in tonnes) allocated to the chartering Party (option 5)</t>
  </si>
  <si>
    <t>Fishery5Cd</t>
  </si>
  <si>
    <t>Quota5CP</t>
  </si>
  <si>
    <t>Fishery4Cd</t>
  </si>
  <si>
    <t>Quota4CP</t>
  </si>
  <si>
    <t>Fishery3Cd</t>
  </si>
  <si>
    <t>Quota3CP</t>
  </si>
  <si>
    <t>Chartering Correspondent (CP)</t>
  </si>
  <si>
    <t>Flag State Correspondent (FS)</t>
  </si>
  <si>
    <t>Correspondant de l'affrétement (CP)</t>
  </si>
  <si>
    <t>Corresponsal de fletamento (CP9</t>
  </si>
  <si>
    <t>Correspondant de l'État de pavillon (FS)</t>
  </si>
  <si>
    <t>Corresponsal del Estado de pabellón (FS)</t>
  </si>
  <si>
    <t>Période de l'affrétement</t>
  </si>
  <si>
    <t>Periodo de fletamento</t>
  </si>
  <si>
    <t>Activités de pêche</t>
  </si>
  <si>
    <t>Actividades pesqueras</t>
  </si>
  <si>
    <t>Consentement de la CP</t>
  </si>
  <si>
    <t>Consentimiento de CP</t>
  </si>
  <si>
    <t>Consentement de FS</t>
  </si>
  <si>
    <t>Consentimiento de FS</t>
  </si>
  <si>
    <t>Pavillon (Partie affréteuse)</t>
  </si>
  <si>
    <t>Pabellón (Parte fletadora)</t>
  </si>
  <si>
    <t>Pavillon (État de pavillon)</t>
  </si>
  <si>
    <t>Pabellón (Estado de pabellón)</t>
  </si>
  <si>
    <t>Consentement CP joint</t>
  </si>
  <si>
    <t>Consentimiento CP adj</t>
  </si>
  <si>
    <t>Mesures adoptées CP</t>
  </si>
  <si>
    <t>Medidas adoptadas CP</t>
  </si>
  <si>
    <t>Consentement FS joint</t>
  </si>
  <si>
    <t>Consentimiento FS adj</t>
  </si>
  <si>
    <t>Mesures adoptées FS</t>
  </si>
  <si>
    <t>Medidas adoptadas FS</t>
  </si>
  <si>
    <t>Résiliation automatique</t>
  </si>
  <si>
    <t>Finalización automática</t>
  </si>
  <si>
    <t>INSCRIPTION DE L'ACCORD D'AFFRÈTEMENT DU NAVIRE</t>
  </si>
  <si>
    <t>REGISTRO DE ACUERDO DE FLETAMENTO DE BUQUES</t>
  </si>
  <si>
    <t>Détails de l'inscription de l'accord d'affrètement du navire</t>
  </si>
  <si>
    <t>Información detallada del resgistro del acuerdo de fletamento del buque</t>
  </si>
  <si>
    <t>Saisissez le nom de la personne de la Partie affréteuse à contacter en cas d'enquête</t>
  </si>
  <si>
    <t>Introduzca el nombre de la persona de la Parte fletadora con la que contactar en caso de consultas</t>
  </si>
  <si>
    <t xml:space="preserve">Saisissez le nom du ministère, de l'institut ou de l'agence de la Partie affréteuse </t>
  </si>
  <si>
    <t>Introduzca el nombre del ministerio, institución o agencia (Parte fletadora)</t>
  </si>
  <si>
    <t>Saisissez l'adresse postale du ministère, de l'institut ou de l'agence de la Partie affréteuse</t>
  </si>
  <si>
    <t>Introduzca la dirección del ministerio, institución o agencia (Parte fletadora)</t>
  </si>
  <si>
    <t xml:space="preserve">Saisissez l'adresse e-mail de la personne de contact de la Partie affréteuse </t>
  </si>
  <si>
    <t>Introduzca la dirección de correo electrónico de la persona de contacto de la Parte fletadora</t>
  </si>
  <si>
    <t xml:space="preserve">Saisissez le numéro de téléphone de la personne de contact de la Partie affréteuse </t>
  </si>
  <si>
    <t>Introduzca el número de teléfono de la persona de contacto de la Parte fletadora</t>
  </si>
  <si>
    <t>Saisissez le pavillon de la Partie affréteuse soumettant l'information</t>
  </si>
  <si>
    <t>Introduzca el pabellón de la Parte fletadora que presenta la información</t>
  </si>
  <si>
    <t>Enter the name of the person of the CPC (Party, Entity or Fishing Entity) that is going to charter the Fishing Vessel to be contacted in the event of enquiries</t>
  </si>
  <si>
    <t>Saisissez le nom de la personne de la CPC (Partie, Entité ou Entité de pêche) qui va affréter le navire de pêche à contacter en cas d'enquête</t>
  </si>
  <si>
    <t>Introduzca el nombre de la persona de la CPC (Parte, Entidad o Entidad pesquera) que va a fletar el buque pesquero con la que contactar en caso de consulta</t>
  </si>
  <si>
    <t>Enter the name of the ministry, institute or agency of the CPC (Party, Entity or Fishing Entity) that is going to charter the Fishing Vessel</t>
  </si>
  <si>
    <t xml:space="preserve">Saisissez le nom du ministère, de l'institut ou de l'agence de la CPC (Partie, Entité ou Entité de pêche) qui va affréter le navire de pêche </t>
  </si>
  <si>
    <t>Introduzca el nombre del ministerio, institución o agencia de la CPC (Parte, Entidad o Entidad pesquera) que va a fletar el buque pesquero</t>
  </si>
  <si>
    <t>Enter the street address of the ministry, institute or agency of the CPC (Party, Entity or Fishing Entity) that is going to charter the Fishing Vessel</t>
  </si>
  <si>
    <t xml:space="preserve">Saisissez l'adresse postale du ministère, de l'institut ou de l'agence de la CPC (Partie, Entité ou Entité de pêche) qui va affréter le navire de pêche </t>
  </si>
  <si>
    <t>Introduzca la dirección del ministerio, institución o agencia de la CPC (Parte, Entidad o Entidad pesquera) que va a fletar el buque pesquero</t>
  </si>
  <si>
    <t>Enter the email address of the person to be contacted of the CPC (Party, Entity or Fishing Entity) that is going to charter the Fishing Vessel</t>
  </si>
  <si>
    <t xml:space="preserve">Saisissez l'adresse e-mail de la personne de contact de la CPC (Partie, Entité ou Entité de pêche) qui va affréter le navire de pêche </t>
  </si>
  <si>
    <t>Introduzca la dirección de correo electrónico de la persona de contacto de la CPC (Parte, Entidad o Entidad pesquera) que va a fletar el buque pesquero</t>
  </si>
  <si>
    <t xml:space="preserve">Saisissez le numéro de téléphone de la personne de contact de la CPC (Partie, Entité ou Entité de pêche) qui va affréter le navire de pêche </t>
  </si>
  <si>
    <t>Introduzca el número de teléfono de la persona de contacto de la CPC (Parte, Entidad o Entidad pesquera) que va a fletar el buque pesquero</t>
  </si>
  <si>
    <t>Enter the flag of the CPC (Party, Entity or Fishing Entity) that is going to charter the Fishing Vessel and submit the information</t>
  </si>
  <si>
    <t>Saisissez le pavillon de la CPC (Partie, Entité ou Entité de pêche)  qui va affréter le navire de pêche et qui soumet l'information</t>
  </si>
  <si>
    <t>Introduzca el pabellón de la CPC (Parte, Entidad o Entidad pesquera) que va a fletar el buque y presentar la información</t>
  </si>
  <si>
    <t>Enter the flag of the Non Contracting Party or other entity not included in the ICCAT codes that is going to charter the Fishing Vessel</t>
  </si>
  <si>
    <t>Saisissez le pavillon de la Partie ou autre Entité non contractante qui ne figure pas dans les codes ICCAT qui va affréter le navire de pêche</t>
  </si>
  <si>
    <t xml:space="preserve">Introduzca el pabellón de la Parte u otra entidad no contratante que no esté incluida en los códigos de ICCAT  que va a fletar el buque </t>
  </si>
  <si>
    <t>Date de début de la période de l'affrétement</t>
  </si>
  <si>
    <t>Fecha inicial para el periodo de fletamento</t>
  </si>
  <si>
    <t>Date de fin de la période de l'affrétement</t>
  </si>
  <si>
    <t>Fecha final para el periodo de fletamento</t>
  </si>
  <si>
    <t>Numéro de série de l'ICCAT (unique) du navire inscrit. À remplir si le navire mesure plus de 20 m et est actuellement inscrit dans le registre des navires de l'ICCAT par l'État de pavillon</t>
  </si>
  <si>
    <t>Número de serie ICCAT (único) del buque registrado. Cumplimentar si el buque tiene una eslora de más de 20 m y ha sido inscrito en el registro ICCAT de buques por el Estado de pabellón</t>
  </si>
  <si>
    <t>Le numéro de registre national est celui qui apparaît dans le registre de sa CPC</t>
  </si>
  <si>
    <t>Número de registro nacional, tal y como aparece en el registro de su CPC</t>
  </si>
  <si>
    <t>Select the flag (choose from available flag codes) of the chartering party</t>
  </si>
  <si>
    <t xml:space="preserve">Sélectionnez le pavillon (à choisir parmi les codes de pavillons disponibles) de la Partie affréteuse </t>
  </si>
  <si>
    <t>Seleccionar el pabellón (consultar los códigos de pabellón disponibles) de la Parte fletadora</t>
  </si>
  <si>
    <t>Sélectionnez le pavillon (à choisir parmi les codes de pavillons disponibles) sous lequel le navire à affréter est inscrit</t>
  </si>
  <si>
    <t>Seleccionar el pabellón (consultar los códigos de pabellón disponibles) con el que está registrado el buque que se va a fletar.</t>
  </si>
  <si>
    <t xml:space="preserve">Name of person or company who owns the vessel. If a given vessel has more than one owner these should be separated by  the character "|" (vertical bar). (Max. 150 characters) </t>
  </si>
  <si>
    <t>Nom de la personne ou de la société qui est propriétaire du navire. Si un navire donné a plus d’un propriétaire, ceux-ci doivent être séparés par le caractère "|" (barre verticale). Ce champ ne peut pas dépasser 150 caractères.</t>
  </si>
  <si>
    <t>Nombre de la persona o empresa propietaria del buque. Si un buque determinado tiene más de un armador, estos deben separarse mediante el carácter "|" (barra vertical). Este campo no puede tener más de 150 caracteres.</t>
  </si>
  <si>
    <t>Adresse postale de la personne ou de la société qui est propriétaire du navire.</t>
  </si>
  <si>
    <t>Dirección de la persona o empresa propietaria del buque</t>
  </si>
  <si>
    <t>Choisissez la pêcherie à laquelle le navire va participer (option 1)</t>
  </si>
  <si>
    <t>Escoger la pesquería en la que va a participar el buque (opción 1)</t>
  </si>
  <si>
    <t>Indiquez le quota (en t) alloué à la Partie affréteuse (option 1)</t>
  </si>
  <si>
    <t>Indicar la cuota (en t) asignada a la Parte fletadora (opción 1)</t>
  </si>
  <si>
    <t>Choisissez la pêcherie à laquelle le navire va participer (option 2)</t>
  </si>
  <si>
    <t>Escoger la pesquería en la que va a participar el buque (opción 2)</t>
  </si>
  <si>
    <t>Indiquez le quota (en t) alloué à la Partie affréteuse (option 2)</t>
  </si>
  <si>
    <t>Indicar la cuota (en t) asignada a la Parte fletadora (opción 2)</t>
  </si>
  <si>
    <t>Choisissez la pêcherie à laquelle le navire va participer (option 3)</t>
  </si>
  <si>
    <t>Escoger la pesquería en la que va a participar el buque (opción 3)</t>
  </si>
  <si>
    <t>Indiquez le quota (en t) alloué à la Partie affréteuse (option 3)</t>
  </si>
  <si>
    <t>Indicar la cuota (en t) asignada a la Parte fletadora (opción 3)</t>
  </si>
  <si>
    <t>Choisissez la pêcherie à laquelle le navire va participer (option 4)</t>
  </si>
  <si>
    <t>Escoger la pesquería en la que va a participar el buque (opción 4)</t>
  </si>
  <si>
    <t>Indiquez le quota (en t) alloué à la Partie affréteuse (option 4)</t>
  </si>
  <si>
    <t>Indicar la cuota (en t) asignada a la Parte fletadora (opción 4)</t>
  </si>
  <si>
    <t>Choisissez la pêcherie à laquelle le navire va participer (option 5)</t>
  </si>
  <si>
    <t>Escoger la pesquería en la que va a participar el buque (opción 5)</t>
  </si>
  <si>
    <t>Indiquez le quota (en t) alloué à la Partie affréteuse (option 5)</t>
  </si>
  <si>
    <t>Indicar la cuota (en t) asignada a la Parte fletadora (opción 5)</t>
  </si>
  <si>
    <t>Indiquez si le consentement de la Partie contractante affréteuse est joint ou non (oui/non)</t>
  </si>
  <si>
    <t>Indicar si se adjunta o no el consentimiento de la Parte contratante fletadora (Sí/No)</t>
  </si>
  <si>
    <t>Indiquez si les mesures adoptées par la Partie contractante affréteuse pour mettre en oeuvre ces dispositions sont jointes ou non (oui/non)</t>
  </si>
  <si>
    <t>Indicar si se adjuntan o no las medidas adoptadas por la Parte contratante fletadora para implementar estas disposiciones (Sí /No)</t>
  </si>
  <si>
    <t>Indicate whether the consent of the flag CPC (Party, Entity or Fishing Entity) is attached or not (Yes/No)</t>
  </si>
  <si>
    <t>Indiquez si le consentement de la CPC de pavillon (Partie, Entité ou Entité de pêche) est joint ou non (oui/non)</t>
  </si>
  <si>
    <t>Indicar si se adjunta o no el consentimiento de la CPC de pabellón (Parte, Entidad o Entidad pesquera)   (Sí/No)</t>
  </si>
  <si>
    <t>Indicate whether the measures adopted by the flag CPC (Party, Entity or Fishing Entity) to implement these provisions are attached or not (Yes/No)</t>
  </si>
  <si>
    <t>Indiquez si les mesures adoptées par la CPC de pavillon (Partie, Entité ou Entité de pêche) pour mettre en oeuvre ces dispositions sont jointes ou non (oui/non)</t>
  </si>
  <si>
    <t>Indicar si se adjuntan o no las medidas adoptadas por  la CPC de pabellón (Parte, Entidad o Entidad pesquera)  para implementar estas disposiciones (Sí /No)</t>
  </si>
  <si>
    <t>Indiquez si l'affrétement est considéré comme étant automatiquement résilié à la date de fin de la période définie (oui/non)</t>
  </si>
  <si>
    <t>Indicar si se considera la finalización automática del fletamento en la fecha final del periodo definido (Sí/No)</t>
  </si>
  <si>
    <t>Complete as far as possible the Header and Detail sections (don't leave fields empty where information is known)</t>
  </si>
  <si>
    <t>In Header section, only white cells can be filled (manually or by selecting from the Combo Box the corresponding code)</t>
  </si>
  <si>
    <t>Always use ICCAT standard codes (when element "OTHERS" of various fields is required it must be explicitly described in "Notes")</t>
  </si>
  <si>
    <t>Information obligatoire (accord)</t>
  </si>
  <si>
    <t>Información obligatoria (acuerdo)</t>
  </si>
  <si>
    <t>ENG</t>
  </si>
  <si>
    <t>EU-Austria</t>
  </si>
  <si>
    <t>EU-AUT</t>
  </si>
  <si>
    <t>EU-Belgium</t>
  </si>
  <si>
    <t>EU-BEL</t>
  </si>
  <si>
    <t>EU-Bulgaria</t>
  </si>
  <si>
    <t>EU-BGR</t>
  </si>
  <si>
    <t>EU-Croatia</t>
  </si>
  <si>
    <t>EU-HRV</t>
  </si>
  <si>
    <t>EU-Cyprus</t>
  </si>
  <si>
    <t>EU-CYP</t>
  </si>
  <si>
    <t>EU-Czechia</t>
  </si>
  <si>
    <t>EU-CZE</t>
  </si>
  <si>
    <t>EU-Denmark</t>
  </si>
  <si>
    <t>EU-DNK</t>
  </si>
  <si>
    <t>EU-España</t>
  </si>
  <si>
    <t>EU-ESP</t>
  </si>
  <si>
    <t>EU-Estonia</t>
  </si>
  <si>
    <t>EU-EST</t>
  </si>
  <si>
    <t>EU-Finland</t>
  </si>
  <si>
    <t>EU-FIN</t>
  </si>
  <si>
    <t>EU-France</t>
  </si>
  <si>
    <t>EU-FRA</t>
  </si>
  <si>
    <t>EU-Germany</t>
  </si>
  <si>
    <t>EU-DEU</t>
  </si>
  <si>
    <t>EU-Greece</t>
  </si>
  <si>
    <t>EU-GRC</t>
  </si>
  <si>
    <t>EU-Hungary</t>
  </si>
  <si>
    <t>EU-HUN</t>
  </si>
  <si>
    <t>EU-Ireland</t>
  </si>
  <si>
    <t>EU-IRL</t>
  </si>
  <si>
    <t>EU-Italy</t>
  </si>
  <si>
    <t>EU-ITA</t>
  </si>
  <si>
    <t>EU-Latvia</t>
  </si>
  <si>
    <t>EU-LVA</t>
  </si>
  <si>
    <t>EU-Lithuania</t>
  </si>
  <si>
    <t>EU-LTU</t>
  </si>
  <si>
    <t>EU-Luxemburg</t>
  </si>
  <si>
    <t>EU-LUX</t>
  </si>
  <si>
    <t>EU-Malta</t>
  </si>
  <si>
    <t>EU-MLT</t>
  </si>
  <si>
    <t>EU-Netherlands</t>
  </si>
  <si>
    <t>EU-NLD</t>
  </si>
  <si>
    <t>EU-Poland</t>
  </si>
  <si>
    <t>EU-POL</t>
  </si>
  <si>
    <t>EU-Portugal</t>
  </si>
  <si>
    <t>EU-PRT</t>
  </si>
  <si>
    <t>EU-Rumania</t>
  </si>
  <si>
    <t>EU-ROU</t>
  </si>
  <si>
    <t>EU-Slovakia</t>
  </si>
  <si>
    <t>EU-SVK</t>
  </si>
  <si>
    <t>EU-Slovenia</t>
  </si>
  <si>
    <t>EU-SVN</t>
  </si>
  <si>
    <t>EU-Sweden</t>
  </si>
  <si>
    <t>EU-SWE</t>
  </si>
  <si>
    <t>England</t>
  </si>
  <si>
    <t>GB-ENG</t>
  </si>
  <si>
    <t>FR-St Pierre et Miquelon</t>
  </si>
  <si>
    <t>FR-SPM</t>
  </si>
  <si>
    <t>Great Britain</t>
  </si>
  <si>
    <t>GBR</t>
  </si>
  <si>
    <t>Guinée Rep</t>
  </si>
  <si>
    <t>Korea Rep</t>
  </si>
  <si>
    <t>Northern Ireland</t>
  </si>
  <si>
    <t>GB-NIR</t>
  </si>
  <si>
    <t>S Tomé e Príncipe</t>
  </si>
  <si>
    <t>Scotland</t>
  </si>
  <si>
    <t>GB-SCT</t>
  </si>
  <si>
    <t>St Vincent and Grenadines</t>
  </si>
  <si>
    <t>UK-Bermuda</t>
  </si>
  <si>
    <t>UK-BMU</t>
  </si>
  <si>
    <t>UK-British Virgin Islands</t>
  </si>
  <si>
    <t>UK-VGB</t>
  </si>
  <si>
    <t>UK-Sta Helena</t>
  </si>
  <si>
    <t>UK-SHN</t>
  </si>
  <si>
    <t>UK-Turks and Caicos</t>
  </si>
  <si>
    <t>UK-TCA</t>
  </si>
  <si>
    <t>Wales</t>
  </si>
  <si>
    <t>GB-WLS</t>
  </si>
  <si>
    <t>Gibraltar</t>
  </si>
  <si>
    <t>GIB</t>
  </si>
  <si>
    <t>GI</t>
  </si>
  <si>
    <t>North Macedonia Rep</t>
  </si>
  <si>
    <t>San Marino</t>
  </si>
  <si>
    <t>SMR</t>
  </si>
  <si>
    <t>SM</t>
  </si>
  <si>
    <t>Sta Lucia</t>
  </si>
  <si>
    <t>VOP</t>
  </si>
  <si>
    <t>PROCESSING VESSEL</t>
  </si>
  <si>
    <t>Türkiye</t>
  </si>
  <si>
    <t>2025a</t>
  </si>
  <si>
    <t>European Union</t>
  </si>
  <si>
    <t>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</si>
</sst>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40" x14ac:knownFonts="1">
    <font>
      <sz val="11"/>
      <color theme="1"/>
      <name val="Calibri"/>
      <family val="2"/>
      <scheme val="minor"/>
    </font>
    <font>
      <u/>
      <sz val="11"/>
      <color theme="10"/>
      <name val="Calibri"/>
      <family val="2"/>
      <scheme val="minor"/>
    </font>
    <font>
      <sz val="9"/>
      <color theme="1"/>
      <name val="Calibri"/>
      <family val="2"/>
      <scheme val="minor"/>
    </font>
    <font>
      <sz val="9"/>
      <name val="Calibri"/>
      <family val="2"/>
      <scheme val="minor"/>
    </font>
    <font>
      <sz val="10"/>
      <color indexed="8"/>
      <name val="Arial"/>
      <family val="2"/>
    </font>
    <font>
      <sz val="10"/>
      <color indexed="8"/>
      <name val="Arial"/>
      <family val="2"/>
    </font>
    <font>
      <sz val="10"/>
      <name val="Arial"/>
      <family val="2"/>
    </font>
    <font>
      <b/>
      <sz val="9"/>
      <color theme="1"/>
      <name val="Calibri"/>
      <family val="2"/>
      <scheme val="minor"/>
    </font>
    <font>
      <b/>
      <sz val="9"/>
      <color rgb="FFFF0000"/>
      <name val="Calibri"/>
      <family val="2"/>
      <scheme val="minor"/>
    </font>
    <font>
      <sz val="8"/>
      <color theme="1"/>
      <name val="Calibri"/>
      <family val="2"/>
      <scheme val="minor"/>
    </font>
    <font>
      <sz val="8"/>
      <name val="Calibri"/>
      <family val="2"/>
      <scheme val="minor"/>
    </font>
    <font>
      <u/>
      <sz val="8"/>
      <color theme="10"/>
      <name val="Calibri"/>
      <family val="2"/>
      <scheme val="minor"/>
    </font>
    <font>
      <b/>
      <sz val="8"/>
      <name val="Calibri"/>
      <family val="2"/>
      <scheme val="minor"/>
    </font>
    <font>
      <b/>
      <sz val="8"/>
      <color theme="1"/>
      <name val="Calibri"/>
      <family val="2"/>
      <scheme val="minor"/>
    </font>
    <font>
      <b/>
      <sz val="10"/>
      <name val="Calibri"/>
      <family val="2"/>
      <scheme val="minor"/>
    </font>
    <font>
      <sz val="9"/>
      <color indexed="8"/>
      <name val="Calibri"/>
      <family val="2"/>
      <scheme val="minor"/>
    </font>
    <font>
      <b/>
      <sz val="8"/>
      <color theme="0"/>
      <name val="Calibri"/>
      <family val="2"/>
      <scheme val="minor"/>
    </font>
    <font>
      <sz val="8"/>
      <color rgb="FF000000"/>
      <name val="Calibri"/>
      <family val="2"/>
      <scheme val="minor"/>
    </font>
    <font>
      <b/>
      <sz val="9"/>
      <color rgb="FF00B050"/>
      <name val="Calibri"/>
      <family val="2"/>
      <scheme val="minor"/>
    </font>
    <font>
      <b/>
      <u/>
      <sz val="8"/>
      <color theme="1"/>
      <name val="Calibri"/>
      <family val="2"/>
      <scheme val="minor"/>
    </font>
    <font>
      <b/>
      <sz val="16"/>
      <color rgb="FF0070C0"/>
      <name val="Calibri"/>
      <family val="2"/>
      <scheme val="minor"/>
    </font>
    <font>
      <u/>
      <sz val="8"/>
      <color rgb="FF0000FF"/>
      <name val="Calibri"/>
      <family val="2"/>
      <scheme val="minor"/>
    </font>
    <font>
      <b/>
      <sz val="8"/>
      <color theme="3"/>
      <name val="Calibri"/>
      <family val="2"/>
      <scheme val="minor"/>
    </font>
    <font>
      <sz val="9"/>
      <color indexed="8"/>
      <name val="Calibri"/>
      <family val="2"/>
    </font>
    <font>
      <sz val="9"/>
      <color rgb="FF0070C0"/>
      <name val="Calibri"/>
      <family val="2"/>
      <scheme val="minor"/>
    </font>
    <font>
      <b/>
      <sz val="9"/>
      <color rgb="FF0000FF"/>
      <name val="Calibri"/>
      <family val="2"/>
      <scheme val="minor"/>
    </font>
    <font>
      <b/>
      <sz val="8"/>
      <color rgb="FF0070C0"/>
      <name val="Calibri"/>
      <family val="2"/>
      <scheme val="minor"/>
    </font>
    <font>
      <b/>
      <u/>
      <sz val="8"/>
      <name val="Calibri"/>
      <family val="2"/>
      <scheme val="minor"/>
    </font>
    <font>
      <u/>
      <sz val="8"/>
      <color theme="1"/>
      <name val="Calibri"/>
      <family val="2"/>
      <scheme val="minor"/>
    </font>
    <font>
      <i/>
      <u/>
      <sz val="8"/>
      <name val="Calibri"/>
      <family val="2"/>
      <scheme val="minor"/>
    </font>
    <font>
      <b/>
      <sz val="11"/>
      <name val="Calibri"/>
      <family val="2"/>
      <scheme val="minor"/>
    </font>
    <font>
      <sz val="9"/>
      <name val="Times New Roman"/>
      <family val="1"/>
    </font>
    <font>
      <sz val="9"/>
      <color rgb="FFFF0000"/>
      <name val="Times New Roman"/>
      <family val="1"/>
    </font>
    <font>
      <b/>
      <sz val="9"/>
      <color theme="0"/>
      <name val="Calibri"/>
      <family val="2"/>
      <scheme val="minor"/>
    </font>
    <font>
      <b/>
      <sz val="10"/>
      <color theme="0"/>
      <name val="Calibri"/>
      <family val="2"/>
      <scheme val="minor"/>
    </font>
    <font>
      <b/>
      <sz val="12"/>
      <color theme="0"/>
      <name val="Calibri"/>
      <family val="2"/>
      <scheme val="minor"/>
    </font>
    <font>
      <sz val="8"/>
      <color rgb="FFFF0000"/>
      <name val="Calibri"/>
      <family val="2"/>
      <scheme val="minor"/>
    </font>
    <font>
      <b/>
      <sz val="9"/>
      <name val="Calibri"/>
      <family val="2"/>
      <scheme val="minor"/>
    </font>
    <font>
      <sz val="8"/>
      <color theme="0" tint="-4.9989318521683403E-2"/>
      <name val="Calibri"/>
      <family val="2"/>
      <scheme val="minor"/>
    </font>
    <font>
      <b/>
      <sz val="9"/>
      <color rgb="FF0070C0"/>
      <name val="Calibri"/>
      <family val="2"/>
      <scheme val="minor"/>
    </font>
  </fonts>
  <fills count="13">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theme="6" tint="0.59999389629810485"/>
        <bgColor indexed="0"/>
      </patternFill>
    </fill>
    <fill>
      <patternFill patternType="solid">
        <fgColor rgb="FFFFFF00"/>
        <bgColor indexed="64"/>
      </patternFill>
    </fill>
    <fill>
      <patternFill patternType="solid">
        <fgColor theme="6" tint="0.79998168889431442"/>
        <bgColor theme="6" tint="0.79998168889431442"/>
      </patternFill>
    </fill>
    <fill>
      <patternFill patternType="solid">
        <fgColor theme="7"/>
        <bgColor theme="7"/>
      </patternFill>
    </fill>
    <fill>
      <patternFill patternType="solid">
        <fgColor rgb="FFFFFF00"/>
        <bgColor theme="1"/>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7" tint="0.39997558519241921"/>
      </top>
      <bottom/>
      <diagonal/>
    </border>
    <border>
      <left/>
      <right/>
      <top style="thin">
        <color theme="7"/>
      </top>
      <bottom/>
      <diagonal/>
    </border>
    <border>
      <left/>
      <right style="thin">
        <color theme="7"/>
      </right>
      <top style="thin">
        <color theme="7"/>
      </top>
      <bottom/>
      <diagonal/>
    </border>
    <border>
      <left style="thin">
        <color theme="7"/>
      </left>
      <right/>
      <top style="thin">
        <color theme="7"/>
      </top>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7" tint="0.39997558519241921"/>
      </left>
      <right/>
      <top style="thin">
        <color theme="7" tint="0.39997558519241921"/>
      </top>
      <bottom/>
      <diagonal/>
    </border>
    <border>
      <left style="thin">
        <color theme="7"/>
      </left>
      <right/>
      <top style="thin">
        <color theme="7" tint="0.39997558519241921"/>
      </top>
      <bottom/>
      <diagonal/>
    </border>
    <border>
      <left/>
      <right style="thin">
        <color theme="7" tint="0.39997558519241921"/>
      </right>
      <top style="thin">
        <color theme="7" tint="0.39997558519241921"/>
      </top>
      <bottom/>
      <diagonal/>
    </border>
    <border>
      <left/>
      <right style="thin">
        <color theme="7"/>
      </right>
      <top style="thin">
        <color theme="7" tint="0.39997558519241921"/>
      </top>
      <bottom/>
      <diagonal/>
    </border>
    <border>
      <left style="thin">
        <color theme="6"/>
      </left>
      <right/>
      <top style="thin">
        <color theme="6"/>
      </top>
      <bottom/>
      <diagonal/>
    </border>
    <border>
      <left style="thin">
        <color theme="6"/>
      </left>
      <right style="thin">
        <color theme="6"/>
      </right>
      <top style="thin">
        <color theme="6"/>
      </top>
      <bottom/>
      <diagonal/>
    </border>
    <border>
      <left style="thin">
        <color theme="6"/>
      </left>
      <right/>
      <top style="medium">
        <color theme="6"/>
      </top>
      <bottom/>
      <diagonal/>
    </border>
    <border>
      <left style="thin">
        <color theme="6"/>
      </left>
      <right style="thin">
        <color theme="6"/>
      </right>
      <top style="medium">
        <color theme="6"/>
      </top>
      <bottom/>
      <diagonal/>
    </border>
    <border>
      <left/>
      <right/>
      <top style="thin">
        <color theme="6"/>
      </top>
      <bottom/>
      <diagonal/>
    </border>
    <border>
      <left/>
      <right/>
      <top style="medium">
        <color theme="6"/>
      </top>
      <bottom/>
      <diagonal/>
    </border>
    <border>
      <left style="thin">
        <color theme="6"/>
      </left>
      <right/>
      <top/>
      <bottom/>
      <diagonal/>
    </border>
    <border>
      <left style="thin">
        <color theme="6"/>
      </left>
      <right style="thin">
        <color theme="6"/>
      </right>
      <top/>
      <bottom style="medium">
        <color theme="6"/>
      </bottom>
      <diagonal/>
    </border>
    <border>
      <left style="thin">
        <color theme="6"/>
      </left>
      <right/>
      <top/>
      <bottom style="medium">
        <color theme="6"/>
      </bottom>
      <diagonal/>
    </border>
  </borders>
  <cellStyleXfs count="6">
    <xf numFmtId="0" fontId="0" fillId="0" borderId="0"/>
    <xf numFmtId="0" fontId="1" fillId="0" borderId="0" applyNumberFormat="0" applyFill="0" applyBorder="0" applyAlignment="0" applyProtection="0"/>
    <xf numFmtId="0" fontId="5" fillId="0" borderId="0"/>
    <xf numFmtId="0" fontId="4" fillId="0" borderId="0"/>
    <xf numFmtId="0" fontId="6" fillId="0" borderId="0"/>
    <xf numFmtId="0" fontId="4" fillId="0" borderId="0"/>
  </cellStyleXfs>
  <cellXfs count="275">
    <xf numFmtId="0" fontId="0" fillId="0" borderId="0" xfId="0"/>
    <xf numFmtId="0" fontId="8" fillId="0" borderId="8" xfId="0" applyFont="1" applyBorder="1" applyAlignment="1" applyProtection="1">
      <alignment horizontal="center" vertical="top"/>
      <protection locked="0"/>
    </xf>
    <xf numFmtId="0" fontId="3" fillId="0" borderId="0" xfId="0" applyFont="1" applyAlignment="1" applyProtection="1">
      <alignment vertical="top"/>
      <protection locked="0"/>
    </xf>
    <xf numFmtId="0" fontId="2" fillId="0" borderId="0" xfId="0" applyFont="1" applyAlignment="1" applyProtection="1">
      <alignment vertical="top"/>
      <protection locked="0"/>
    </xf>
    <xf numFmtId="0" fontId="2" fillId="0" borderId="0" xfId="0" applyFont="1" applyAlignment="1" applyProtection="1">
      <alignment vertical="top"/>
      <protection hidden="1"/>
    </xf>
    <xf numFmtId="0" fontId="9" fillId="0" borderId="0" xfId="0" applyFont="1" applyProtection="1">
      <protection locked="0"/>
    </xf>
    <xf numFmtId="0" fontId="10" fillId="0" borderId="0" xfId="0" applyFont="1" applyAlignment="1" applyProtection="1">
      <alignment vertical="top" wrapText="1"/>
      <protection hidden="1"/>
    </xf>
    <xf numFmtId="0" fontId="9" fillId="0" borderId="0" xfId="0" applyFont="1" applyAlignment="1" applyProtection="1">
      <alignment vertical="top"/>
      <protection hidden="1"/>
    </xf>
    <xf numFmtId="0" fontId="9" fillId="4" borderId="6" xfId="0" applyFont="1" applyFill="1" applyBorder="1" applyAlignment="1" applyProtection="1">
      <alignment vertical="top"/>
      <protection hidden="1"/>
    </xf>
    <xf numFmtId="0" fontId="7" fillId="4" borderId="2" xfId="0" applyFont="1" applyFill="1" applyBorder="1" applyAlignment="1" applyProtection="1">
      <alignment horizontal="center" vertical="top"/>
      <protection hidden="1"/>
    </xf>
    <xf numFmtId="0" fontId="7" fillId="4" borderId="3" xfId="0" applyFont="1" applyFill="1" applyBorder="1" applyAlignment="1" applyProtection="1">
      <alignment horizontal="center" vertical="top"/>
      <protection hidden="1"/>
    </xf>
    <xf numFmtId="0" fontId="18" fillId="4" borderId="7" xfId="0" applyFont="1" applyFill="1" applyBorder="1" applyAlignment="1" applyProtection="1">
      <alignment horizontal="center" vertical="top"/>
      <protection hidden="1"/>
    </xf>
    <xf numFmtId="0" fontId="9" fillId="4" borderId="8" xfId="0" applyFont="1" applyFill="1" applyBorder="1" applyAlignment="1" applyProtection="1">
      <alignment vertical="top"/>
      <protection hidden="1"/>
    </xf>
    <xf numFmtId="0" fontId="9" fillId="4" borderId="7" xfId="0" applyFont="1" applyFill="1" applyBorder="1" applyAlignment="1" applyProtection="1">
      <alignment vertical="top"/>
      <protection hidden="1"/>
    </xf>
    <xf numFmtId="0" fontId="16" fillId="4" borderId="0" xfId="0" applyFont="1" applyFill="1" applyAlignment="1" applyProtection="1">
      <alignment vertical="top"/>
      <protection hidden="1"/>
    </xf>
    <xf numFmtId="0" fontId="15" fillId="0" borderId="0" xfId="2" applyFont="1" applyProtection="1">
      <protection hidden="1"/>
    </xf>
    <xf numFmtId="0" fontId="2" fillId="0" borderId="0" xfId="0" applyFont="1" applyProtection="1">
      <protection hidden="1"/>
    </xf>
    <xf numFmtId="0" fontId="23" fillId="0" borderId="0" xfId="5" applyFont="1"/>
    <xf numFmtId="0" fontId="26" fillId="4" borderId="2" xfId="0" applyFont="1" applyFill="1" applyBorder="1" applyAlignment="1" applyProtection="1">
      <alignment horizontal="center" vertical="top"/>
      <protection hidden="1"/>
    </xf>
    <xf numFmtId="0" fontId="9" fillId="4" borderId="0" xfId="0" applyFont="1" applyFill="1" applyAlignment="1" applyProtection="1">
      <alignment vertical="top" wrapText="1"/>
      <protection hidden="1"/>
    </xf>
    <xf numFmtId="0" fontId="9" fillId="4" borderId="5" xfId="0" applyFont="1" applyFill="1" applyBorder="1" applyAlignment="1" applyProtection="1">
      <alignment vertical="top"/>
      <protection hidden="1"/>
    </xf>
    <xf numFmtId="0" fontId="26" fillId="4" borderId="0" xfId="0" applyFont="1" applyFill="1" applyAlignment="1" applyProtection="1">
      <alignment horizontal="center" vertical="top"/>
      <protection hidden="1"/>
    </xf>
    <xf numFmtId="0" fontId="9" fillId="4" borderId="0" xfId="0" applyFont="1" applyFill="1" applyAlignment="1" applyProtection="1">
      <alignment horizontal="center" vertical="top"/>
      <protection hidden="1"/>
    </xf>
    <xf numFmtId="0" fontId="9" fillId="4" borderId="10" xfId="0" applyFont="1" applyFill="1" applyBorder="1" applyAlignment="1" applyProtection="1">
      <alignment vertical="top" wrapText="1" shrinkToFit="1"/>
      <protection hidden="1"/>
    </xf>
    <xf numFmtId="0" fontId="11" fillId="4" borderId="10" xfId="1" applyFont="1" applyFill="1" applyBorder="1" applyAlignment="1" applyProtection="1">
      <alignment vertical="top" wrapText="1" shrinkToFit="1"/>
      <protection hidden="1"/>
    </xf>
    <xf numFmtId="49" fontId="9" fillId="4" borderId="0" xfId="0" applyNumberFormat="1" applyFont="1" applyFill="1" applyAlignment="1" applyProtection="1">
      <alignment vertical="top"/>
      <protection hidden="1"/>
    </xf>
    <xf numFmtId="0" fontId="9" fillId="4" borderId="7" xfId="0" applyFont="1" applyFill="1" applyBorder="1" applyAlignment="1" applyProtection="1">
      <alignment horizontal="center" vertical="top"/>
      <protection hidden="1"/>
    </xf>
    <xf numFmtId="0" fontId="29" fillId="4" borderId="6" xfId="0" applyFont="1" applyFill="1" applyBorder="1" applyAlignment="1" applyProtection="1">
      <alignment vertical="top"/>
      <protection hidden="1"/>
    </xf>
    <xf numFmtId="0" fontId="10" fillId="0" borderId="0" xfId="0" applyFont="1" applyAlignment="1" applyProtection="1">
      <alignment vertical="top"/>
      <protection locked="0"/>
    </xf>
    <xf numFmtId="0" fontId="9" fillId="0" borderId="0" xfId="0" applyFont="1" applyAlignment="1" applyProtection="1">
      <alignment vertical="top"/>
      <protection locked="0"/>
    </xf>
    <xf numFmtId="0" fontId="10" fillId="0" borderId="0" xfId="0" applyFont="1" applyAlignment="1" applyProtection="1">
      <alignment vertical="center" wrapText="1"/>
      <protection hidden="1"/>
    </xf>
    <xf numFmtId="0" fontId="9" fillId="0" borderId="0" xfId="0" applyFont="1"/>
    <xf numFmtId="0" fontId="27" fillId="0" borderId="0" xfId="0" applyFont="1" applyAlignment="1" applyProtection="1">
      <alignment horizontal="center" vertical="top"/>
      <protection hidden="1"/>
    </xf>
    <xf numFmtId="0" fontId="10" fillId="0" borderId="0" xfId="4" applyFont="1" applyAlignment="1" applyProtection="1">
      <alignment vertical="top"/>
      <protection hidden="1"/>
    </xf>
    <xf numFmtId="0" fontId="10" fillId="0" borderId="0" xfId="4" applyFont="1" applyAlignment="1" applyProtection="1">
      <alignment vertical="top" wrapText="1"/>
      <protection hidden="1"/>
    </xf>
    <xf numFmtId="0" fontId="10" fillId="0" borderId="0" xfId="0" applyFont="1" applyAlignment="1" applyProtection="1">
      <alignment horizontal="center" vertical="top" wrapText="1"/>
      <protection hidden="1"/>
    </xf>
    <xf numFmtId="0" fontId="12" fillId="6" borderId="13" xfId="0" applyFont="1" applyFill="1" applyBorder="1" applyAlignment="1" applyProtection="1">
      <alignment vertical="top" wrapText="1"/>
      <protection hidden="1"/>
    </xf>
    <xf numFmtId="0" fontId="12" fillId="6" borderId="13" xfId="0" applyFont="1" applyFill="1" applyBorder="1" applyAlignment="1" applyProtection="1">
      <alignment horizontal="center" vertical="top" wrapText="1"/>
      <protection hidden="1"/>
    </xf>
    <xf numFmtId="0" fontId="27" fillId="0" borderId="0" xfId="0" applyFont="1" applyAlignment="1" applyProtection="1">
      <alignment horizontal="left" vertical="top"/>
      <protection hidden="1"/>
    </xf>
    <xf numFmtId="0" fontId="10" fillId="0" borderId="0" xfId="0" applyFont="1" applyAlignment="1" applyProtection="1">
      <alignment horizontal="left" vertical="top" wrapText="1"/>
      <protection hidden="1"/>
    </xf>
    <xf numFmtId="0" fontId="12" fillId="6" borderId="13" xfId="0" applyFont="1" applyFill="1" applyBorder="1" applyAlignment="1" applyProtection="1">
      <alignment horizontal="left" vertical="top" wrapText="1"/>
      <protection hidden="1"/>
    </xf>
    <xf numFmtId="0" fontId="9" fillId="0" borderId="0" xfId="0" applyFont="1" applyAlignment="1">
      <alignment horizontal="left"/>
    </xf>
    <xf numFmtId="0" fontId="9" fillId="4" borderId="0" xfId="0" applyFont="1" applyFill="1" applyAlignment="1" applyProtection="1">
      <alignment vertical="top"/>
      <protection hidden="1"/>
    </xf>
    <xf numFmtId="49" fontId="9" fillId="0" borderId="0" xfId="0" applyNumberFormat="1" applyFont="1" applyAlignment="1" applyProtection="1">
      <alignment vertical="top"/>
      <protection locked="0"/>
    </xf>
    <xf numFmtId="0" fontId="9" fillId="4" borderId="4" xfId="0" applyFont="1" applyFill="1" applyBorder="1" applyAlignment="1" applyProtection="1">
      <alignment horizontal="right" vertical="top"/>
      <protection hidden="1"/>
    </xf>
    <xf numFmtId="0" fontId="9" fillId="4" borderId="0" xfId="0" applyFont="1" applyFill="1" applyAlignment="1" applyProtection="1">
      <alignment horizontal="right" vertical="top"/>
      <protection hidden="1"/>
    </xf>
    <xf numFmtId="0" fontId="9" fillId="0" borderId="0" xfId="0" applyFont="1" applyAlignment="1" applyProtection="1">
      <alignment horizontal="center" vertical="top"/>
      <protection hidden="1"/>
    </xf>
    <xf numFmtId="164" fontId="10" fillId="4" borderId="0" xfId="0" applyNumberFormat="1" applyFont="1" applyFill="1" applyAlignment="1" applyProtection="1">
      <alignment vertical="center"/>
      <protection hidden="1"/>
    </xf>
    <xf numFmtId="0" fontId="9" fillId="4" borderId="10" xfId="0" applyFont="1" applyFill="1" applyBorder="1" applyAlignment="1" applyProtection="1">
      <alignment vertical="top" wrapText="1"/>
      <protection hidden="1"/>
    </xf>
    <xf numFmtId="0" fontId="2" fillId="0" borderId="0" xfId="0" applyFont="1" applyAlignment="1">
      <alignment vertical="top" wrapText="1"/>
    </xf>
    <xf numFmtId="0" fontId="3" fillId="0" borderId="0" xfId="0" applyFont="1" applyAlignment="1" applyProtection="1">
      <alignment vertical="top"/>
      <protection hidden="1"/>
    </xf>
    <xf numFmtId="0" fontId="31" fillId="0" borderId="0" xfId="4" applyFont="1" applyAlignment="1" applyProtection="1">
      <alignment vertical="top"/>
      <protection hidden="1"/>
    </xf>
    <xf numFmtId="0" fontId="32" fillId="0" borderId="0" xfId="4" applyFont="1" applyAlignment="1" applyProtection="1">
      <alignment vertical="top"/>
      <protection hidden="1"/>
    </xf>
    <xf numFmtId="0" fontId="33" fillId="0" borderId="0" xfId="0" applyFont="1" applyAlignment="1" applyProtection="1">
      <alignment vertical="top" wrapText="1"/>
      <protection hidden="1"/>
    </xf>
    <xf numFmtId="0" fontId="9" fillId="4" borderId="4" xfId="0" applyFont="1" applyFill="1" applyBorder="1" applyAlignment="1" applyProtection="1">
      <alignment vertical="top"/>
      <protection hidden="1"/>
    </xf>
    <xf numFmtId="0" fontId="11" fillId="4" borderId="4" xfId="1" applyFont="1" applyFill="1" applyBorder="1" applyAlignment="1" applyProtection="1">
      <alignment horizontal="right" vertical="top"/>
      <protection hidden="1"/>
    </xf>
    <xf numFmtId="0" fontId="2" fillId="0" borderId="0" xfId="0" applyFont="1"/>
    <xf numFmtId="164" fontId="10" fillId="4" borderId="5" xfId="0" applyNumberFormat="1" applyFont="1" applyFill="1" applyBorder="1" applyAlignment="1" applyProtection="1">
      <alignment vertical="center"/>
      <protection hidden="1"/>
    </xf>
    <xf numFmtId="0" fontId="16" fillId="11" borderId="19" xfId="0" applyFont="1" applyFill="1" applyBorder="1" applyAlignment="1">
      <alignment vertical="top" wrapText="1"/>
    </xf>
    <xf numFmtId="0" fontId="16" fillId="11" borderId="17" xfId="0" applyFont="1" applyFill="1" applyBorder="1" applyAlignment="1">
      <alignment vertical="top" wrapText="1"/>
    </xf>
    <xf numFmtId="0" fontId="16" fillId="11" borderId="16" xfId="0" applyFont="1" applyFill="1" applyBorder="1" applyAlignment="1">
      <alignment vertical="top" wrapText="1"/>
    </xf>
    <xf numFmtId="0" fontId="16" fillId="11" borderId="18" xfId="0" applyFont="1" applyFill="1" applyBorder="1" applyAlignment="1">
      <alignment vertical="top" wrapText="1"/>
    </xf>
    <xf numFmtId="0" fontId="28" fillId="4" borderId="4" xfId="0" applyFont="1" applyFill="1" applyBorder="1" applyProtection="1">
      <protection hidden="1"/>
    </xf>
    <xf numFmtId="0" fontId="28" fillId="4" borderId="0" xfId="0" applyFont="1" applyFill="1" applyProtection="1">
      <protection hidden="1"/>
    </xf>
    <xf numFmtId="0" fontId="36" fillId="0" borderId="0" xfId="0" applyFont="1" applyAlignment="1" applyProtection="1">
      <alignment vertical="top"/>
      <protection hidden="1"/>
    </xf>
    <xf numFmtId="0" fontId="2" fillId="0" borderId="4" xfId="0" applyFont="1" applyBorder="1" applyProtection="1">
      <protection hidden="1"/>
    </xf>
    <xf numFmtId="0" fontId="9" fillId="9" borderId="10" xfId="0" applyFont="1" applyFill="1" applyBorder="1" applyAlignment="1" applyProtection="1">
      <alignment vertical="top" wrapText="1" shrinkToFit="1"/>
      <protection hidden="1"/>
    </xf>
    <xf numFmtId="0" fontId="3" fillId="0" borderId="4" xfId="0" applyFont="1" applyBorder="1" applyProtection="1">
      <protection hidden="1"/>
    </xf>
    <xf numFmtId="0" fontId="3" fillId="0" borderId="5" xfId="0" applyFont="1" applyBorder="1" applyProtection="1">
      <protection hidden="1"/>
    </xf>
    <xf numFmtId="0" fontId="10" fillId="0" borderId="10" xfId="0" applyFont="1" applyBorder="1" applyAlignment="1" applyProtection="1">
      <alignment horizontal="left" vertical="top" wrapText="1"/>
      <protection hidden="1"/>
    </xf>
    <xf numFmtId="0" fontId="10" fillId="0" borderId="10" xfId="0" applyFont="1" applyBorder="1" applyAlignment="1" applyProtection="1">
      <alignment horizontal="center" vertical="top" wrapText="1"/>
      <protection hidden="1"/>
    </xf>
    <xf numFmtId="0" fontId="10" fillId="0" borderId="10" xfId="0" applyFont="1" applyBorder="1" applyAlignment="1" applyProtection="1">
      <alignment vertical="top" wrapText="1"/>
      <protection hidden="1"/>
    </xf>
    <xf numFmtId="0" fontId="9" fillId="0" borderId="10" xfId="0" applyFont="1" applyBorder="1" applyAlignment="1" applyProtection="1">
      <alignment horizontal="left" vertical="top" wrapText="1"/>
      <protection hidden="1"/>
    </xf>
    <xf numFmtId="0" fontId="9" fillId="0" borderId="10" xfId="0" applyFont="1" applyBorder="1" applyAlignment="1" applyProtection="1">
      <alignment horizontal="center" vertical="top" wrapText="1"/>
      <protection hidden="1"/>
    </xf>
    <xf numFmtId="0" fontId="9" fillId="0" borderId="10" xfId="0" applyFont="1" applyBorder="1" applyAlignment="1" applyProtection="1">
      <alignment vertical="top" wrapText="1"/>
      <protection hidden="1"/>
    </xf>
    <xf numFmtId="0" fontId="9" fillId="4" borderId="10" xfId="0" applyFont="1" applyFill="1" applyBorder="1" applyAlignment="1" applyProtection="1">
      <alignment horizontal="left" vertical="top" wrapText="1" shrinkToFit="1"/>
      <protection hidden="1"/>
    </xf>
    <xf numFmtId="0" fontId="9" fillId="0" borderId="10" xfId="0" applyFont="1" applyBorder="1" applyAlignment="1">
      <alignment horizontal="center" vertical="top" wrapText="1"/>
    </xf>
    <xf numFmtId="0" fontId="9" fillId="0" borderId="10" xfId="0" applyFont="1" applyBorder="1" applyAlignment="1">
      <alignment vertical="top" wrapText="1"/>
    </xf>
    <xf numFmtId="0" fontId="11" fillId="4" borderId="10" xfId="1" applyFont="1" applyFill="1" applyBorder="1" applyAlignment="1" applyProtection="1">
      <alignment horizontal="left" vertical="top" wrapText="1" shrinkToFit="1"/>
      <protection hidden="1"/>
    </xf>
    <xf numFmtId="0" fontId="13" fillId="0" borderId="0" xfId="0" applyFont="1" applyAlignment="1">
      <alignment vertical="top"/>
    </xf>
    <xf numFmtId="0" fontId="12" fillId="0" borderId="0" xfId="0" applyFont="1" applyAlignment="1">
      <alignment vertical="top"/>
    </xf>
    <xf numFmtId="0" fontId="9" fillId="9" borderId="8" xfId="0" applyFont="1" applyFill="1" applyBorder="1" applyAlignment="1" applyProtection="1">
      <alignment vertical="top"/>
      <protection hidden="1"/>
    </xf>
    <xf numFmtId="0" fontId="9" fillId="9" borderId="9" xfId="0" applyFont="1" applyFill="1" applyBorder="1" applyAlignment="1" applyProtection="1">
      <alignment horizontal="left" vertical="top" wrapText="1" shrinkToFit="1"/>
      <protection hidden="1"/>
    </xf>
    <xf numFmtId="0" fontId="9" fillId="9" borderId="8" xfId="0" applyFont="1" applyFill="1" applyBorder="1" applyAlignment="1" applyProtection="1">
      <alignment vertical="center" wrapText="1"/>
      <protection hidden="1"/>
    </xf>
    <xf numFmtId="0" fontId="9" fillId="9" borderId="11" xfId="0" applyFont="1" applyFill="1" applyBorder="1" applyAlignment="1" applyProtection="1">
      <alignment vertical="top"/>
      <protection hidden="1"/>
    </xf>
    <xf numFmtId="0" fontId="9" fillId="9" borderId="9" xfId="0" applyFont="1" applyFill="1" applyBorder="1" applyAlignment="1" applyProtection="1">
      <alignment vertical="top"/>
      <protection hidden="1"/>
    </xf>
    <xf numFmtId="0" fontId="2" fillId="4" borderId="1" xfId="0" applyFont="1" applyFill="1" applyBorder="1" applyProtection="1">
      <protection hidden="1"/>
    </xf>
    <xf numFmtId="0" fontId="15" fillId="8" borderId="1" xfId="2" applyFont="1" applyFill="1" applyBorder="1" applyProtection="1">
      <protection hidden="1"/>
    </xf>
    <xf numFmtId="0" fontId="15" fillId="8" borderId="2" xfId="2" applyFont="1" applyFill="1" applyBorder="1" applyProtection="1">
      <protection hidden="1"/>
    </xf>
    <xf numFmtId="0" fontId="15" fillId="8" borderId="3" xfId="2" applyFont="1" applyFill="1" applyBorder="1" applyProtection="1">
      <protection hidden="1"/>
    </xf>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15" fillId="0" borderId="4" xfId="2" applyFont="1" applyBorder="1" applyProtection="1">
      <protection hidden="1"/>
    </xf>
    <xf numFmtId="0" fontId="15" fillId="0" borderId="5" xfId="2" applyFont="1" applyBorder="1" applyProtection="1">
      <protection hidden="1"/>
    </xf>
    <xf numFmtId="0" fontId="2" fillId="0" borderId="5" xfId="0" applyFont="1" applyBorder="1" applyProtection="1">
      <protection hidden="1"/>
    </xf>
    <xf numFmtId="0" fontId="15" fillId="0" borderId="6" xfId="2" applyFont="1" applyBorder="1" applyProtection="1">
      <protection hidden="1"/>
    </xf>
    <xf numFmtId="0" fontId="15" fillId="0" borderId="7" xfId="2" applyFont="1" applyBorder="1" applyProtection="1">
      <protection hidden="1"/>
    </xf>
    <xf numFmtId="0" fontId="15" fillId="0" borderId="8" xfId="2" applyFont="1" applyBorder="1" applyProtection="1">
      <protection hidden="1"/>
    </xf>
    <xf numFmtId="0" fontId="3" fillId="4" borderId="3" xfId="0" applyFont="1" applyFill="1" applyBorder="1" applyProtection="1">
      <protection hidden="1"/>
    </xf>
    <xf numFmtId="0" fontId="15" fillId="0" borderId="6" xfId="3" applyFont="1" applyBorder="1" applyProtection="1">
      <protection hidden="1"/>
    </xf>
    <xf numFmtId="0" fontId="15" fillId="9" borderId="8" xfId="3" applyFont="1" applyFill="1" applyBorder="1" applyProtection="1">
      <protection hidden="1"/>
    </xf>
    <xf numFmtId="0" fontId="23" fillId="8" borderId="1" xfId="5" applyFont="1" applyFill="1" applyBorder="1"/>
    <xf numFmtId="0" fontId="23" fillId="8" borderId="2" xfId="5" applyFont="1" applyFill="1" applyBorder="1"/>
    <xf numFmtId="0" fontId="23" fillId="8" borderId="3" xfId="5" applyFont="1" applyFill="1" applyBorder="1"/>
    <xf numFmtId="0" fontId="23" fillId="0" borderId="4" xfId="5" applyFont="1" applyBorder="1"/>
    <xf numFmtId="0" fontId="23" fillId="0" borderId="5" xfId="5" applyFont="1" applyBorder="1"/>
    <xf numFmtId="0" fontId="23" fillId="0" borderId="6" xfId="5" applyFont="1" applyBorder="1"/>
    <xf numFmtId="0" fontId="23" fillId="0" borderId="7" xfId="5" applyFont="1" applyBorder="1"/>
    <xf numFmtId="0" fontId="23" fillId="0" borderId="8" xfId="5" applyFont="1" applyBorder="1"/>
    <xf numFmtId="0" fontId="15" fillId="8" borderId="1" xfId="3" applyFont="1" applyFill="1" applyBorder="1" applyProtection="1">
      <protection hidden="1"/>
    </xf>
    <xf numFmtId="0" fontId="15" fillId="8" borderId="3" xfId="3" applyFont="1" applyFill="1" applyBorder="1" applyProtection="1">
      <protection hidden="1"/>
    </xf>
    <xf numFmtId="0" fontId="15" fillId="0" borderId="4" xfId="3" applyFont="1" applyBorder="1" applyProtection="1">
      <protection hidden="1"/>
    </xf>
    <xf numFmtId="0" fontId="15" fillId="0" borderId="5" xfId="3" applyFont="1" applyBorder="1" applyProtection="1">
      <protection hidden="1"/>
    </xf>
    <xf numFmtId="0" fontId="9" fillId="0" borderId="17" xfId="0" applyFont="1" applyBorder="1" applyAlignment="1">
      <alignment vertical="top" wrapText="1"/>
    </xf>
    <xf numFmtId="0" fontId="7" fillId="0" borderId="0" xfId="0" applyFont="1" applyAlignment="1" applyProtection="1">
      <alignment horizontal="center" vertical="top"/>
      <protection hidden="1"/>
    </xf>
    <xf numFmtId="0" fontId="28" fillId="0" borderId="0" xfId="0" applyFont="1" applyAlignment="1" applyProtection="1">
      <alignment horizontal="center" vertical="top"/>
      <protection hidden="1"/>
    </xf>
    <xf numFmtId="0" fontId="11" fillId="9" borderId="10" xfId="1" applyFont="1" applyFill="1" applyBorder="1" applyAlignment="1" applyProtection="1">
      <alignment vertical="top" wrapText="1" shrinkToFit="1"/>
      <protection hidden="1"/>
    </xf>
    <xf numFmtId="0" fontId="9" fillId="0" borderId="19" xfId="0" applyFont="1" applyBorder="1" applyAlignment="1">
      <alignment vertical="top" wrapText="1"/>
    </xf>
    <xf numFmtId="0" fontId="9" fillId="0" borderId="18" xfId="0" applyFont="1" applyBorder="1" applyAlignment="1">
      <alignment vertical="top" wrapText="1"/>
    </xf>
    <xf numFmtId="0" fontId="10" fillId="0" borderId="19" xfId="0" applyFont="1" applyBorder="1" applyAlignment="1">
      <alignment vertical="top" wrapText="1"/>
    </xf>
    <xf numFmtId="0" fontId="10" fillId="0" borderId="17" xfId="0" applyFont="1" applyBorder="1" applyAlignment="1">
      <alignment vertical="top" wrapText="1"/>
    </xf>
    <xf numFmtId="0" fontId="10" fillId="0" borderId="18" xfId="0" applyFont="1" applyBorder="1" applyAlignment="1">
      <alignment vertical="top" wrapText="1"/>
    </xf>
    <xf numFmtId="0" fontId="10" fillId="0" borderId="19" xfId="0" applyFont="1" applyBorder="1" applyAlignment="1">
      <alignment vertical="top" wrapText="1" shrinkToFit="1"/>
    </xf>
    <xf numFmtId="0" fontId="9" fillId="0" borderId="17" xfId="0" applyFont="1" applyBorder="1" applyAlignment="1">
      <alignment wrapText="1"/>
    </xf>
    <xf numFmtId="0" fontId="9" fillId="0" borderId="18" xfId="0" applyFont="1" applyBorder="1" applyAlignment="1">
      <alignment wrapText="1"/>
    </xf>
    <xf numFmtId="0" fontId="10" fillId="0" borderId="24" xfId="0" applyFont="1" applyBorder="1" applyAlignment="1">
      <alignment vertical="top" wrapText="1" shrinkToFit="1"/>
    </xf>
    <xf numFmtId="0" fontId="9" fillId="0" borderId="16" xfId="0" applyFont="1" applyBorder="1" applyAlignment="1">
      <alignment vertical="top" wrapText="1"/>
    </xf>
    <xf numFmtId="0" fontId="10" fillId="0" borderId="16" xfId="0" applyFont="1" applyBorder="1" applyAlignment="1">
      <alignment vertical="top" wrapText="1"/>
    </xf>
    <xf numFmtId="0" fontId="9" fillId="0" borderId="23" xfId="0" applyFont="1" applyBorder="1" applyAlignment="1">
      <alignment vertical="top" wrapText="1" shrinkToFit="1"/>
    </xf>
    <xf numFmtId="0" fontId="9" fillId="0" borderId="25" xfId="0" applyFont="1" applyBorder="1" applyAlignment="1">
      <alignment vertical="top" wrapText="1"/>
    </xf>
    <xf numFmtId="0" fontId="9" fillId="0" borderId="23" xfId="0" applyFont="1" applyBorder="1" applyAlignment="1">
      <alignment vertical="top" wrapText="1"/>
    </xf>
    <xf numFmtId="0" fontId="9" fillId="0" borderId="24" xfId="0" applyFont="1" applyBorder="1" applyAlignment="1">
      <alignment vertical="top" wrapText="1"/>
    </xf>
    <xf numFmtId="0" fontId="9" fillId="0" borderId="26" xfId="0" applyFont="1" applyBorder="1" applyAlignment="1">
      <alignment vertical="top" wrapText="1"/>
    </xf>
    <xf numFmtId="0" fontId="17" fillId="0" borderId="17" xfId="0" applyFont="1" applyBorder="1" applyAlignment="1">
      <alignment vertical="top" wrapText="1"/>
    </xf>
    <xf numFmtId="0" fontId="17" fillId="0" borderId="18" xfId="0" applyFont="1" applyBorder="1" applyAlignment="1">
      <alignment vertical="top" wrapText="1"/>
    </xf>
    <xf numFmtId="0" fontId="10" fillId="0" borderId="17" xfId="0" applyFont="1" applyBorder="1" applyAlignment="1">
      <alignment vertical="top"/>
    </xf>
    <xf numFmtId="0" fontId="9" fillId="0" borderId="0" xfId="0" applyFont="1" applyAlignment="1">
      <alignment vertical="top" wrapText="1"/>
    </xf>
    <xf numFmtId="0" fontId="17" fillId="0" borderId="0" xfId="0" applyFont="1" applyAlignment="1">
      <alignment vertical="top" wrapText="1"/>
    </xf>
    <xf numFmtId="0" fontId="9" fillId="0" borderId="20" xfId="0" applyFont="1" applyBorder="1" applyAlignment="1">
      <alignment vertical="top" wrapText="1"/>
    </xf>
    <xf numFmtId="0" fontId="9" fillId="0" borderId="21" xfId="0" applyFont="1" applyBorder="1" applyAlignment="1">
      <alignment vertical="top" wrapText="1"/>
    </xf>
    <xf numFmtId="0" fontId="9" fillId="0" borderId="22" xfId="0" applyFont="1" applyBorder="1" applyAlignment="1">
      <alignment vertical="top" wrapText="1"/>
    </xf>
    <xf numFmtId="0" fontId="11" fillId="0" borderId="10" xfId="1" applyFont="1" applyFill="1" applyBorder="1" applyAlignment="1" applyProtection="1">
      <alignment horizontal="left" vertical="top" wrapText="1"/>
      <protection hidden="1"/>
    </xf>
    <xf numFmtId="0" fontId="12" fillId="4" borderId="0" xfId="0" applyFont="1" applyFill="1" applyAlignment="1">
      <alignment vertical="top"/>
    </xf>
    <xf numFmtId="0" fontId="12" fillId="4" borderId="33" xfId="0" applyFont="1" applyFill="1" applyBorder="1" applyAlignment="1">
      <alignment vertical="top"/>
    </xf>
    <xf numFmtId="0" fontId="12" fillId="9" borderId="33" xfId="0" applyFont="1" applyFill="1" applyBorder="1" applyAlignment="1">
      <alignment vertical="top"/>
    </xf>
    <xf numFmtId="0" fontId="12" fillId="9" borderId="34" xfId="0" applyFont="1" applyFill="1" applyBorder="1" applyAlignment="1">
      <alignment vertical="top"/>
    </xf>
    <xf numFmtId="0" fontId="12" fillId="9" borderId="35" xfId="0" applyFont="1" applyFill="1" applyBorder="1" applyAlignment="1">
      <alignment vertical="top"/>
    </xf>
    <xf numFmtId="0" fontId="38" fillId="0" borderId="0" xfId="0" applyFont="1" applyAlignment="1" applyProtection="1">
      <alignment vertical="top"/>
      <protection hidden="1"/>
    </xf>
    <xf numFmtId="0" fontId="38" fillId="0" borderId="5" xfId="0" applyFont="1" applyBorder="1" applyAlignment="1" applyProtection="1">
      <alignment vertical="top"/>
      <protection hidden="1"/>
    </xf>
    <xf numFmtId="49" fontId="10" fillId="10" borderId="27" xfId="0" applyNumberFormat="1" applyFont="1" applyFill="1" applyBorder="1" applyAlignment="1" applyProtection="1">
      <alignment vertical="top" shrinkToFit="1"/>
      <protection locked="0"/>
    </xf>
    <xf numFmtId="49" fontId="10" fillId="10" borderId="31" xfId="0" applyNumberFormat="1" applyFont="1" applyFill="1" applyBorder="1" applyAlignment="1" applyProtection="1">
      <alignment vertical="top" shrinkToFit="1"/>
      <protection locked="0"/>
    </xf>
    <xf numFmtId="165" fontId="10" fillId="10" borderId="27" xfId="0" applyNumberFormat="1" applyFont="1" applyFill="1" applyBorder="1" applyAlignment="1" applyProtection="1">
      <alignment vertical="top" shrinkToFit="1"/>
      <protection locked="0"/>
    </xf>
    <xf numFmtId="1" fontId="10" fillId="10" borderId="27" xfId="0" applyNumberFormat="1" applyFont="1" applyFill="1" applyBorder="1" applyAlignment="1" applyProtection="1">
      <alignment vertical="top" shrinkToFit="1"/>
      <protection locked="0"/>
    </xf>
    <xf numFmtId="2" fontId="10" fillId="10" borderId="27" xfId="0" applyNumberFormat="1" applyFont="1" applyFill="1" applyBorder="1" applyAlignment="1" applyProtection="1">
      <alignment vertical="top" shrinkToFit="1"/>
      <protection locked="0"/>
    </xf>
    <xf numFmtId="49" fontId="10" fillId="10" borderId="28" xfId="0" applyNumberFormat="1" applyFont="1" applyFill="1" applyBorder="1" applyAlignment="1" applyProtection="1">
      <alignment vertical="top" shrinkToFit="1"/>
      <protection locked="0"/>
    </xf>
    <xf numFmtId="49" fontId="10" fillId="10" borderId="32" xfId="0" applyNumberFormat="1" applyFont="1" applyFill="1" applyBorder="1" applyAlignment="1" applyProtection="1">
      <alignment vertical="top" shrinkToFit="1"/>
      <protection locked="0"/>
    </xf>
    <xf numFmtId="49" fontId="10" fillId="10" borderId="29" xfId="0" applyNumberFormat="1" applyFont="1" applyFill="1" applyBorder="1" applyAlignment="1" applyProtection="1">
      <alignment vertical="top" shrinkToFit="1"/>
      <protection locked="0"/>
    </xf>
    <xf numFmtId="165" fontId="10" fillId="10" borderId="29" xfId="0" applyNumberFormat="1" applyFont="1" applyFill="1" applyBorder="1" applyAlignment="1" applyProtection="1">
      <alignment vertical="top" shrinkToFit="1"/>
      <protection locked="0"/>
    </xf>
    <xf numFmtId="1" fontId="10" fillId="10" borderId="29" xfId="0" applyNumberFormat="1" applyFont="1" applyFill="1" applyBorder="1" applyAlignment="1" applyProtection="1">
      <alignment vertical="top" shrinkToFit="1"/>
      <protection locked="0"/>
    </xf>
    <xf numFmtId="2" fontId="10" fillId="10" borderId="29" xfId="0" applyNumberFormat="1" applyFont="1" applyFill="1" applyBorder="1" applyAlignment="1" applyProtection="1">
      <alignment vertical="top" shrinkToFit="1"/>
      <protection locked="0"/>
    </xf>
    <xf numFmtId="49" fontId="10" fillId="10" borderId="30" xfId="0" applyNumberFormat="1" applyFont="1" applyFill="1" applyBorder="1" applyAlignment="1" applyProtection="1">
      <alignment vertical="top" shrinkToFit="1"/>
      <protection locked="0"/>
    </xf>
    <xf numFmtId="49" fontId="10" fillId="0" borderId="31" xfId="0" applyNumberFormat="1" applyFont="1" applyBorder="1" applyAlignment="1" applyProtection="1">
      <alignment vertical="top" shrinkToFit="1"/>
      <protection locked="0"/>
    </xf>
    <xf numFmtId="49" fontId="10" fillId="0" borderId="27" xfId="0" applyNumberFormat="1" applyFont="1" applyBorder="1" applyAlignment="1" applyProtection="1">
      <alignment vertical="top" shrinkToFit="1"/>
      <protection locked="0"/>
    </xf>
    <xf numFmtId="165" fontId="10" fillId="0" borderId="27" xfId="0" applyNumberFormat="1" applyFont="1" applyBorder="1" applyAlignment="1" applyProtection="1">
      <alignment vertical="top" shrinkToFit="1"/>
      <protection locked="0"/>
    </xf>
    <xf numFmtId="1" fontId="10" fillId="0" borderId="27" xfId="0" applyNumberFormat="1" applyFont="1" applyBorder="1" applyAlignment="1" applyProtection="1">
      <alignment vertical="top" shrinkToFit="1"/>
      <protection locked="0"/>
    </xf>
    <xf numFmtId="2" fontId="10" fillId="0" borderId="27" xfId="0" applyNumberFormat="1" applyFont="1" applyBorder="1" applyAlignment="1" applyProtection="1">
      <alignment vertical="top" shrinkToFit="1"/>
      <protection locked="0"/>
    </xf>
    <xf numFmtId="49" fontId="10" fillId="0" borderId="28" xfId="0" applyNumberFormat="1" applyFont="1" applyBorder="1" applyAlignment="1" applyProtection="1">
      <alignment vertical="top" shrinkToFit="1"/>
      <protection locked="0"/>
    </xf>
    <xf numFmtId="49" fontId="9" fillId="0" borderId="31" xfId="0" applyNumberFormat="1" applyFont="1" applyBorder="1" applyAlignment="1" applyProtection="1">
      <alignment shrinkToFit="1"/>
      <protection locked="0"/>
    </xf>
    <xf numFmtId="49" fontId="9" fillId="0" borderId="27" xfId="0" applyNumberFormat="1" applyFont="1" applyBorder="1" applyAlignment="1" applyProtection="1">
      <alignment shrinkToFit="1"/>
      <protection locked="0"/>
    </xf>
    <xf numFmtId="49" fontId="9" fillId="0" borderId="27" xfId="0" applyNumberFormat="1" applyFont="1" applyBorder="1" applyProtection="1">
      <protection locked="0"/>
    </xf>
    <xf numFmtId="165" fontId="9" fillId="0" borderId="27" xfId="0" applyNumberFormat="1" applyFont="1" applyBorder="1" applyProtection="1">
      <protection locked="0"/>
    </xf>
    <xf numFmtId="0" fontId="9" fillId="0" borderId="27" xfId="0" applyFont="1" applyBorder="1" applyProtection="1">
      <protection locked="0"/>
    </xf>
    <xf numFmtId="1" fontId="9" fillId="0" borderId="27" xfId="0" applyNumberFormat="1" applyFont="1" applyBorder="1" applyProtection="1">
      <protection locked="0"/>
    </xf>
    <xf numFmtId="2" fontId="9" fillId="0" borderId="27" xfId="0" applyNumberFormat="1" applyFont="1" applyBorder="1" applyProtection="1">
      <protection locked="0"/>
    </xf>
    <xf numFmtId="49" fontId="9" fillId="0" borderId="28" xfId="0" applyNumberFormat="1" applyFont="1" applyBorder="1" applyProtection="1">
      <protection locked="0"/>
    </xf>
    <xf numFmtId="49" fontId="9" fillId="10" borderId="31" xfId="0" applyNumberFormat="1" applyFont="1" applyFill="1" applyBorder="1" applyAlignment="1" applyProtection="1">
      <alignment shrinkToFit="1"/>
      <protection locked="0"/>
    </xf>
    <xf numFmtId="49" fontId="9" fillId="10" borderId="27" xfId="0" applyNumberFormat="1" applyFont="1" applyFill="1" applyBorder="1" applyAlignment="1" applyProtection="1">
      <alignment shrinkToFit="1"/>
      <protection locked="0"/>
    </xf>
    <xf numFmtId="49" fontId="9" fillId="10" borderId="27" xfId="0" applyNumberFormat="1" applyFont="1" applyFill="1" applyBorder="1" applyProtection="1">
      <protection locked="0"/>
    </xf>
    <xf numFmtId="165" fontId="9" fillId="10" borderId="27" xfId="0" applyNumberFormat="1" applyFont="1" applyFill="1" applyBorder="1" applyProtection="1">
      <protection locked="0"/>
    </xf>
    <xf numFmtId="0" fontId="9" fillId="10" borderId="27" xfId="0" applyFont="1" applyFill="1" applyBorder="1" applyProtection="1">
      <protection locked="0"/>
    </xf>
    <xf numFmtId="1" fontId="9" fillId="10" borderId="27" xfId="0" applyNumberFormat="1" applyFont="1" applyFill="1" applyBorder="1" applyProtection="1">
      <protection locked="0"/>
    </xf>
    <xf numFmtId="2" fontId="9" fillId="10" borderId="27" xfId="0" applyNumberFormat="1" applyFont="1" applyFill="1" applyBorder="1" applyProtection="1">
      <protection locked="0"/>
    </xf>
    <xf numFmtId="49" fontId="9" fillId="10" borderId="28" xfId="0" applyNumberFormat="1" applyFont="1" applyFill="1" applyBorder="1" applyProtection="1">
      <protection locked="0"/>
    </xf>
    <xf numFmtId="0" fontId="2" fillId="0" borderId="2" xfId="0" applyFont="1" applyBorder="1"/>
    <xf numFmtId="0" fontId="24" fillId="0" borderId="2" xfId="0" applyFont="1" applyBorder="1"/>
    <xf numFmtId="0" fontId="24" fillId="0" borderId="7" xfId="0" applyFont="1" applyBorder="1"/>
    <xf numFmtId="0" fontId="2" fillId="0" borderId="1" xfId="0" applyFont="1" applyBorder="1"/>
    <xf numFmtId="0" fontId="39" fillId="0" borderId="2" xfId="0" applyFont="1" applyBorder="1"/>
    <xf numFmtId="0" fontId="2" fillId="0" borderId="3" xfId="0" applyFont="1" applyBorder="1"/>
    <xf numFmtId="0" fontId="39" fillId="0" borderId="0" xfId="0" applyFont="1"/>
    <xf numFmtId="0" fontId="24" fillId="0" borderId="0" xfId="0" applyFont="1"/>
    <xf numFmtId="14" fontId="9" fillId="0" borderId="0" xfId="0" applyNumberFormat="1" applyFont="1" applyAlignment="1" applyProtection="1">
      <alignment horizontal="left" vertical="top"/>
      <protection locked="0"/>
    </xf>
    <xf numFmtId="0" fontId="3" fillId="0" borderId="4" xfId="0" applyFont="1" applyBorder="1"/>
    <xf numFmtId="0" fontId="3" fillId="0" borderId="0" xfId="0" applyFont="1"/>
    <xf numFmtId="0" fontId="3" fillId="0" borderId="1" xfId="0" applyFont="1" applyBorder="1"/>
    <xf numFmtId="0" fontId="3" fillId="0" borderId="2" xfId="0" applyFont="1" applyBorder="1"/>
    <xf numFmtId="0" fontId="3" fillId="0" borderId="6" xfId="0" applyFont="1" applyBorder="1"/>
    <xf numFmtId="0" fontId="3" fillId="0" borderId="7" xfId="0" applyFont="1" applyBorder="1"/>
    <xf numFmtId="0" fontId="39" fillId="0" borderId="0" xfId="0" applyFont="1" applyProtection="1">
      <protection hidden="1"/>
    </xf>
    <xf numFmtId="0" fontId="8" fillId="0" borderId="0" xfId="0" applyFont="1" applyAlignment="1" applyProtection="1">
      <alignment horizontal="center" vertical="top"/>
      <protection hidden="1"/>
    </xf>
    <xf numFmtId="0" fontId="9" fillId="0" borderId="0" xfId="0" applyFont="1" applyAlignment="1" applyProtection="1">
      <alignment vertical="top" wrapText="1"/>
      <protection hidden="1"/>
    </xf>
    <xf numFmtId="0" fontId="35" fillId="7" borderId="1" xfId="0" applyFont="1" applyFill="1" applyBorder="1" applyAlignment="1" applyProtection="1">
      <alignment horizontal="center" vertical="center"/>
      <protection hidden="1"/>
    </xf>
    <xf numFmtId="0" fontId="35" fillId="7" borderId="6" xfId="0" applyFont="1" applyFill="1" applyBorder="1" applyAlignment="1" applyProtection="1">
      <alignment horizontal="center" vertical="center"/>
      <protection hidden="1"/>
    </xf>
    <xf numFmtId="49" fontId="9" fillId="0" borderId="0" xfId="0" applyNumberFormat="1" applyFont="1" applyAlignment="1" applyProtection="1">
      <alignment vertical="top"/>
      <protection locked="0"/>
    </xf>
    <xf numFmtId="0" fontId="9" fillId="3" borderId="0" xfId="0" applyFont="1" applyFill="1" applyAlignment="1" applyProtection="1">
      <alignment horizontal="center" vertical="top"/>
      <protection locked="0"/>
    </xf>
    <xf numFmtId="0" fontId="27" fillId="4" borderId="1" xfId="0" applyFont="1" applyFill="1" applyBorder="1" applyAlignment="1" applyProtection="1">
      <alignment vertical="top"/>
      <protection hidden="1"/>
    </xf>
    <xf numFmtId="0" fontId="27" fillId="4" borderId="2" xfId="0" applyFont="1" applyFill="1" applyBorder="1" applyAlignment="1" applyProtection="1">
      <alignment vertical="top"/>
      <protection hidden="1"/>
    </xf>
    <xf numFmtId="0" fontId="20" fillId="4" borderId="2" xfId="0" applyFont="1" applyFill="1" applyBorder="1" applyAlignment="1" applyProtection="1">
      <alignment horizontal="center" vertical="top"/>
      <protection hidden="1"/>
    </xf>
    <xf numFmtId="0" fontId="25" fillId="4" borderId="7" xfId="0" applyFont="1" applyFill="1" applyBorder="1" applyAlignment="1" applyProtection="1">
      <alignment horizontal="center" vertical="top"/>
      <protection hidden="1"/>
    </xf>
    <xf numFmtId="49" fontId="21" fillId="0" borderId="0" xfId="0" applyNumberFormat="1" applyFont="1" applyAlignment="1" applyProtection="1">
      <alignment vertical="top"/>
      <protection locked="0"/>
    </xf>
    <xf numFmtId="14" fontId="9" fillId="3" borderId="0" xfId="0" applyNumberFormat="1" applyFont="1" applyFill="1" applyAlignment="1" applyProtection="1">
      <alignment horizontal="center" vertical="top"/>
      <protection locked="0"/>
    </xf>
    <xf numFmtId="0" fontId="19" fillId="4" borderId="1" xfId="0" applyFont="1" applyFill="1" applyBorder="1" applyAlignment="1" applyProtection="1">
      <alignment vertical="top"/>
      <protection hidden="1"/>
    </xf>
    <xf numFmtId="0" fontId="19" fillId="4" borderId="2" xfId="0" applyFont="1" applyFill="1" applyBorder="1" applyAlignment="1" applyProtection="1">
      <alignment vertical="top"/>
      <protection hidden="1"/>
    </xf>
    <xf numFmtId="0" fontId="19" fillId="4" borderId="3" xfId="0" applyFont="1" applyFill="1" applyBorder="1" applyAlignment="1" applyProtection="1">
      <alignment vertical="top"/>
      <protection hidden="1"/>
    </xf>
    <xf numFmtId="0" fontId="9" fillId="4" borderId="4" xfId="0" applyFont="1" applyFill="1" applyBorder="1" applyAlignment="1" applyProtection="1">
      <alignment vertical="top"/>
      <protection hidden="1"/>
    </xf>
    <xf numFmtId="0" fontId="9" fillId="4" borderId="0" xfId="0" applyFont="1" applyFill="1" applyAlignment="1" applyProtection="1">
      <alignment vertical="top"/>
      <protection hidden="1"/>
    </xf>
    <xf numFmtId="0" fontId="28" fillId="4" borderId="13" xfId="0" applyFont="1" applyFill="1" applyBorder="1" applyAlignment="1" applyProtection="1">
      <alignment horizontal="center" vertical="top"/>
      <protection hidden="1"/>
    </xf>
    <xf numFmtId="0" fontId="28" fillId="4" borderId="14" xfId="0" applyFont="1" applyFill="1" applyBorder="1" applyAlignment="1" applyProtection="1">
      <alignment horizontal="center" vertical="top"/>
      <protection hidden="1"/>
    </xf>
    <xf numFmtId="0" fontId="9" fillId="4" borderId="14" xfId="0" applyFont="1" applyFill="1" applyBorder="1" applyAlignment="1" applyProtection="1">
      <alignment horizontal="center" vertical="top"/>
      <protection hidden="1"/>
    </xf>
    <xf numFmtId="0" fontId="9" fillId="4" borderId="15" xfId="0" applyFont="1" applyFill="1" applyBorder="1" applyAlignment="1" applyProtection="1">
      <alignment horizontal="center" vertical="top"/>
      <protection hidden="1"/>
    </xf>
    <xf numFmtId="49" fontId="9" fillId="0" borderId="0" xfId="0" applyNumberFormat="1" applyFont="1" applyAlignment="1" applyProtection="1">
      <alignment horizontal="left" vertical="top"/>
      <protection locked="0"/>
    </xf>
    <xf numFmtId="0" fontId="9" fillId="4" borderId="4" xfId="0" applyFont="1" applyFill="1" applyBorder="1" applyAlignment="1" applyProtection="1">
      <alignment horizontal="right" vertical="top"/>
      <protection hidden="1"/>
    </xf>
    <xf numFmtId="0" fontId="9" fillId="4" borderId="0" xfId="0" applyFont="1" applyFill="1" applyAlignment="1" applyProtection="1">
      <alignment horizontal="right" vertical="top"/>
      <protection hidden="1"/>
    </xf>
    <xf numFmtId="0" fontId="12" fillId="4" borderId="11" xfId="0" applyFont="1" applyFill="1" applyBorder="1" applyAlignment="1" applyProtection="1">
      <alignment horizontal="left" vertical="top"/>
      <protection hidden="1"/>
    </xf>
    <xf numFmtId="0" fontId="12" fillId="4" borderId="12" xfId="0" applyFont="1" applyFill="1" applyBorder="1" applyAlignment="1" applyProtection="1">
      <alignment horizontal="left" vertical="top"/>
      <protection hidden="1"/>
    </xf>
    <xf numFmtId="0" fontId="12" fillId="4" borderId="9" xfId="0" applyFont="1" applyFill="1" applyBorder="1" applyAlignment="1" applyProtection="1">
      <alignment horizontal="left" vertical="top"/>
      <protection hidden="1"/>
    </xf>
    <xf numFmtId="0" fontId="9" fillId="4" borderId="11" xfId="0" applyFont="1" applyFill="1" applyBorder="1" applyAlignment="1" applyProtection="1">
      <alignment horizontal="left" vertical="top"/>
      <protection hidden="1"/>
    </xf>
    <xf numFmtId="0" fontId="9" fillId="4" borderId="12" xfId="0" applyFont="1" applyFill="1" applyBorder="1" applyAlignment="1" applyProtection="1">
      <alignment horizontal="left" vertical="top"/>
      <protection hidden="1"/>
    </xf>
    <xf numFmtId="0" fontId="9" fillId="4" borderId="9" xfId="0" applyFont="1" applyFill="1" applyBorder="1" applyAlignment="1" applyProtection="1">
      <alignment horizontal="left" vertical="top"/>
      <protection hidden="1"/>
    </xf>
    <xf numFmtId="0" fontId="10" fillId="4" borderId="11" xfId="0" applyFont="1" applyFill="1" applyBorder="1" applyAlignment="1" applyProtection="1">
      <alignment horizontal="left" vertical="top"/>
      <protection hidden="1"/>
    </xf>
    <xf numFmtId="0" fontId="10" fillId="4" borderId="12" xfId="0" applyFont="1" applyFill="1" applyBorder="1" applyAlignment="1" applyProtection="1">
      <alignment horizontal="left" vertical="top"/>
      <protection hidden="1"/>
    </xf>
    <xf numFmtId="0" fontId="10" fillId="4" borderId="9" xfId="0" applyFont="1" applyFill="1" applyBorder="1" applyAlignment="1" applyProtection="1">
      <alignment horizontal="left" vertical="top"/>
      <protection hidden="1"/>
    </xf>
    <xf numFmtId="0" fontId="9" fillId="0" borderId="0" xfId="0" applyFont="1" applyAlignment="1" applyProtection="1">
      <alignment vertical="top" wrapText="1"/>
      <protection locked="0"/>
    </xf>
    <xf numFmtId="0" fontId="9" fillId="0" borderId="5" xfId="0" applyFont="1" applyBorder="1" applyAlignment="1" applyProtection="1">
      <alignment vertical="top" wrapText="1"/>
      <protection locked="0"/>
    </xf>
    <xf numFmtId="0" fontId="22" fillId="2" borderId="6" xfId="0" applyFont="1" applyFill="1" applyBorder="1" applyAlignment="1" applyProtection="1">
      <alignment horizontal="center" vertical="top"/>
      <protection hidden="1"/>
    </xf>
    <xf numFmtId="0" fontId="22" fillId="2" borderId="7" xfId="0" applyFont="1" applyFill="1" applyBorder="1" applyAlignment="1" applyProtection="1">
      <alignment horizontal="center" vertical="top"/>
      <protection hidden="1"/>
    </xf>
    <xf numFmtId="0" fontId="12" fillId="12" borderId="1" xfId="0" applyFont="1" applyFill="1" applyBorder="1" applyAlignment="1" applyProtection="1">
      <alignment horizontal="left" vertical="top"/>
      <protection hidden="1"/>
    </xf>
    <xf numFmtId="0" fontId="12" fillId="12" borderId="2" xfId="0" applyFont="1" applyFill="1" applyBorder="1" applyAlignment="1" applyProtection="1">
      <alignment horizontal="left" vertical="top"/>
      <protection hidden="1"/>
    </xf>
    <xf numFmtId="0" fontId="12" fillId="12" borderId="3" xfId="0" applyFont="1" applyFill="1" applyBorder="1" applyAlignment="1" applyProtection="1">
      <alignment horizontal="left" vertical="top"/>
      <protection hidden="1"/>
    </xf>
    <xf numFmtId="0" fontId="9" fillId="9" borderId="11" xfId="0" applyFont="1" applyFill="1" applyBorder="1" applyAlignment="1" applyProtection="1">
      <alignment horizontal="left" vertical="top"/>
      <protection hidden="1"/>
    </xf>
    <xf numFmtId="0" fontId="9" fillId="9" borderId="12" xfId="0" applyFont="1" applyFill="1" applyBorder="1" applyAlignment="1" applyProtection="1">
      <alignment horizontal="left" vertical="top"/>
      <protection hidden="1"/>
    </xf>
    <xf numFmtId="0" fontId="9" fillId="9" borderId="9" xfId="0" applyFont="1" applyFill="1" applyBorder="1" applyAlignment="1" applyProtection="1">
      <alignment horizontal="left" vertical="top"/>
      <protection hidden="1"/>
    </xf>
    <xf numFmtId="14" fontId="9" fillId="0" borderId="0" xfId="0" applyNumberFormat="1" applyFont="1" applyAlignment="1" applyProtection="1">
      <alignment horizontal="left" vertical="top"/>
      <protection locked="0"/>
    </xf>
    <xf numFmtId="0" fontId="34" fillId="7" borderId="10" xfId="0" applyFont="1" applyFill="1" applyBorder="1" applyAlignment="1" applyProtection="1">
      <alignment horizontal="left" vertical="top"/>
      <protection hidden="1"/>
    </xf>
    <xf numFmtId="0" fontId="7" fillId="0" borderId="0" xfId="0" applyFont="1" applyProtection="1">
      <protection hidden="1"/>
    </xf>
    <xf numFmtId="0" fontId="37" fillId="0" borderId="7" xfId="0" applyFont="1" applyBorder="1" applyProtection="1">
      <protection hidden="1"/>
    </xf>
    <xf numFmtId="0" fontId="14" fillId="0" borderId="7" xfId="0" applyFont="1" applyBorder="1" applyAlignment="1" applyProtection="1">
      <alignment vertical="top" wrapText="1"/>
      <protection hidden="1"/>
    </xf>
    <xf numFmtId="0" fontId="12" fillId="0" borderId="1" xfId="0" applyFont="1" applyBorder="1" applyAlignment="1" applyProtection="1">
      <alignment horizontal="center" vertical="center" wrapText="1"/>
      <protection hidden="1"/>
    </xf>
    <xf numFmtId="0" fontId="12" fillId="0" borderId="2"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6" xfId="0" applyFont="1" applyBorder="1" applyAlignment="1" applyProtection="1">
      <alignment horizontal="center" vertical="center" wrapText="1"/>
      <protection hidden="1"/>
    </xf>
    <xf numFmtId="0" fontId="12" fillId="0" borderId="7" xfId="0" applyFont="1" applyBorder="1" applyAlignment="1" applyProtection="1">
      <alignment horizontal="center" vertical="center" wrapText="1"/>
      <protection hidden="1"/>
    </xf>
    <xf numFmtId="0" fontId="12" fillId="0" borderId="8" xfId="0" applyFont="1" applyBorder="1" applyAlignment="1" applyProtection="1">
      <alignment horizontal="center" vertical="center" wrapText="1"/>
      <protection hidden="1"/>
    </xf>
    <xf numFmtId="0" fontId="13" fillId="0" borderId="10" xfId="0" applyFont="1" applyBorder="1" applyAlignment="1">
      <alignment horizontal="center" vertical="center" textRotation="90" wrapText="1"/>
    </xf>
    <xf numFmtId="0" fontId="10" fillId="9" borderId="13" xfId="0" applyFont="1" applyFill="1" applyBorder="1" applyAlignment="1" applyProtection="1">
      <alignment horizontal="center" vertical="center" wrapText="1"/>
      <protection hidden="1"/>
    </xf>
    <xf numFmtId="0" fontId="10" fillId="9" borderId="14" xfId="0" applyFont="1" applyFill="1" applyBorder="1" applyAlignment="1" applyProtection="1">
      <alignment horizontal="center" vertical="center" wrapText="1"/>
      <protection hidden="1"/>
    </xf>
    <xf numFmtId="0" fontId="10" fillId="9" borderId="4" xfId="0" applyFont="1" applyFill="1" applyBorder="1" applyAlignment="1" applyProtection="1">
      <alignment horizontal="center" vertical="center" wrapText="1"/>
      <protection hidden="1"/>
    </xf>
    <xf numFmtId="0" fontId="10" fillId="9" borderId="6"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14" xfId="0" applyFont="1" applyFill="1" applyBorder="1" applyAlignment="1" applyProtection="1">
      <alignment horizontal="center" vertical="center" wrapText="1"/>
      <protection hidden="1"/>
    </xf>
    <xf numFmtId="0" fontId="9" fillId="4" borderId="10" xfId="0" applyFont="1" applyFill="1" applyBorder="1" applyAlignment="1" applyProtection="1">
      <alignment horizontal="center" vertical="center" wrapText="1"/>
      <protection hidden="1"/>
    </xf>
    <xf numFmtId="0" fontId="10" fillId="4" borderId="10" xfId="0" applyFont="1" applyFill="1" applyBorder="1" applyAlignment="1" applyProtection="1">
      <alignment horizontal="center" vertical="center" wrapText="1"/>
      <protection hidden="1"/>
    </xf>
    <xf numFmtId="0" fontId="9" fillId="9" borderId="15" xfId="0" applyFont="1" applyFill="1" applyBorder="1" applyAlignment="1" applyProtection="1">
      <alignment horizontal="center" vertical="center" wrapText="1"/>
      <protection hidden="1"/>
    </xf>
    <xf numFmtId="0" fontId="9" fillId="0" borderId="15" xfId="0" applyFont="1" applyBorder="1" applyAlignment="1">
      <alignment horizontal="center" vertical="center" wrapText="1"/>
    </xf>
    <xf numFmtId="0" fontId="9" fillId="0" borderId="10" xfId="0" applyFont="1" applyBorder="1" applyAlignment="1">
      <alignment horizontal="center" vertical="center" wrapText="1"/>
    </xf>
    <xf numFmtId="0" fontId="10" fillId="4" borderId="13" xfId="0" applyFont="1" applyFill="1" applyBorder="1" applyAlignment="1" applyProtection="1">
      <alignment horizontal="center" vertical="center" wrapText="1"/>
      <protection hidden="1"/>
    </xf>
    <xf numFmtId="0" fontId="10" fillId="4" borderId="14" xfId="0" applyFont="1" applyFill="1" applyBorder="1" applyAlignment="1" applyProtection="1">
      <alignment horizontal="center" vertical="center" wrapText="1"/>
      <protection hidden="1"/>
    </xf>
    <xf numFmtId="0" fontId="30" fillId="6" borderId="0" xfId="0" applyFont="1" applyFill="1" applyAlignment="1" applyProtection="1">
      <alignment vertical="top"/>
      <protection hidden="1"/>
    </xf>
    <xf numFmtId="0" fontId="14" fillId="0" borderId="0" xfId="0" applyFont="1" applyAlignment="1" applyProtection="1">
      <alignment vertical="top"/>
      <protection hidden="1"/>
    </xf>
    <xf numFmtId="0" fontId="10" fillId="0" borderId="0" xfId="0" applyFont="1" applyAlignment="1" applyProtection="1">
      <alignment vertical="top"/>
      <protection hidden="1"/>
    </xf>
    <xf numFmtId="0" fontId="9" fillId="0" borderId="13" xfId="0" applyFont="1" applyBorder="1" applyAlignment="1">
      <alignment horizontal="center" vertical="center" wrapText="1"/>
    </xf>
    <xf numFmtId="0" fontId="14" fillId="5" borderId="0" xfId="0" applyFont="1" applyFill="1" applyAlignment="1" applyProtection="1">
      <alignment vertical="top"/>
      <protection hidden="1"/>
    </xf>
  </cellXfs>
  <cellStyles count="6">
    <cellStyle name="Hyperlink" xfId="1" builtinId="8"/>
    <cellStyle name="Normal" xfId="0" builtinId="0"/>
    <cellStyle name="Normal 2" xfId="4" xr:uid="{00000000-0005-0000-0000-000002000000}"/>
    <cellStyle name="Normal_codes" xfId="2" xr:uid="{00000000-0005-0000-0000-000003000000}"/>
    <cellStyle name="Normal_codes_1" xfId="3" xr:uid="{00000000-0005-0000-0000-000004000000}"/>
    <cellStyle name="Normal_Sheet1_1" xfId="5" xr:uid="{00000000-0005-0000-0000-000007000000}"/>
  </cellStyles>
  <dxfs count="45">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left/>
        <right style="thin">
          <color theme="7"/>
        </right>
        <top style="thin">
          <color theme="7"/>
        </top>
        <bottom/>
        <vertical/>
        <horizontal/>
      </border>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left/>
        <right/>
        <top style="thin">
          <color theme="7"/>
        </top>
        <bottom/>
        <vertical/>
        <horizontal/>
      </border>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left/>
        <right/>
        <top style="thin">
          <color theme="7"/>
        </top>
        <bottom/>
        <vertical/>
        <horizontal/>
      </border>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left/>
        <right/>
        <top style="thin">
          <color theme="7"/>
        </top>
        <bottom/>
        <vertical/>
        <horizontal/>
      </border>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left/>
        <right/>
        <top style="thin">
          <color theme="7"/>
        </top>
        <bottom/>
        <vertical/>
        <horizontal/>
      </border>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left/>
        <right/>
        <top style="thin">
          <color theme="7"/>
        </top>
        <bottom/>
        <vertical/>
        <horizontal/>
      </border>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left/>
        <right/>
        <top style="thin">
          <color theme="7"/>
        </top>
        <bottom/>
        <vertical/>
        <horizontal/>
      </border>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left/>
        <right/>
        <top style="thin">
          <color theme="7"/>
        </top>
        <bottom/>
        <vertical/>
        <horizontal/>
      </border>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left/>
        <right/>
        <top style="thin">
          <color theme="7"/>
        </top>
        <bottom/>
        <vertical/>
        <horizontal/>
      </border>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left/>
        <right/>
        <top style="thin">
          <color theme="7"/>
        </top>
        <bottom/>
        <vertical/>
        <horizontal/>
      </border>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left/>
        <right/>
        <top style="thin">
          <color theme="7"/>
        </top>
        <bottom/>
        <vertical/>
        <horizontal/>
      </border>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left style="thin">
          <color theme="7"/>
        </left>
        <right/>
        <top style="thin">
          <color theme="7"/>
        </top>
        <bottom/>
        <vertical/>
        <horizontal/>
      </border>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8"/>
        <color theme="0"/>
        <name val="Calibri"/>
        <family val="2"/>
        <scheme val="minor"/>
      </font>
      <fill>
        <patternFill patternType="solid">
          <fgColor theme="7"/>
          <bgColor theme="7"/>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Calibri"/>
        <family val="2"/>
        <scheme val="minor"/>
      </font>
      <numFmt numFmtId="30" formatCode="@"/>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30" formatCode="@"/>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style="thin">
          <color theme="6"/>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30" formatCode="@"/>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1" formatCode="0"/>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30" formatCode="@"/>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2" formatCode="0.00"/>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1" formatCode="0"/>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2" formatCode="0.00"/>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1" formatCode="0"/>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2" formatCode="0.00"/>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1" formatCode="0"/>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2" formatCode="0.00"/>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1" formatCode="0"/>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2" formatCode="0.00"/>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1" formatCode="0"/>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30" formatCode="@"/>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165" formatCode="0.0"/>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30" formatCode="@"/>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30" formatCode="@"/>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30" formatCode="@"/>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30" formatCode="@"/>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30" formatCode="@"/>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30" formatCode="@"/>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30" formatCode="@"/>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30" formatCode="@"/>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30" formatCode="@"/>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30" formatCode="@"/>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30" formatCode="@"/>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right/>
        <top style="thin">
          <color theme="6"/>
        </top>
        <bottom/>
        <vertical/>
        <horizontal/>
      </border>
      <protection locked="0" hidden="0"/>
    </dxf>
    <dxf>
      <border outline="0">
        <left style="thin">
          <color theme="6"/>
        </left>
        <right style="thin">
          <color theme="6"/>
        </right>
        <top style="thin">
          <color theme="6"/>
        </top>
        <bottom style="thin">
          <color theme="6"/>
        </bottom>
      </border>
    </dxf>
    <dxf>
      <font>
        <b val="0"/>
        <i val="0"/>
        <strike val="0"/>
        <condense val="0"/>
        <extend val="0"/>
        <outline val="0"/>
        <shadow val="0"/>
        <u val="none"/>
        <vertAlign val="baseline"/>
        <sz val="8"/>
        <color auto="1"/>
        <name val="Calibri"/>
        <family val="2"/>
        <scheme val="minor"/>
      </font>
      <fill>
        <patternFill patternType="solid">
          <fgColor theme="6" tint="0.79998168889431442"/>
          <bgColor theme="6" tint="0.79998168889431442"/>
        </patternFill>
      </fill>
      <alignment horizontal="general" vertical="top" textRotation="0" wrapText="0" indent="0" justifyLastLine="0" shrinkToFit="1" readingOrder="0"/>
      <protection locked="0" hidden="0"/>
    </dxf>
    <dxf>
      <font>
        <strike val="0"/>
        <outline val="0"/>
        <shadow val="0"/>
        <u val="none"/>
        <vertAlign val="baseline"/>
        <sz val="8"/>
        <color auto="1"/>
        <name val="Calibri"/>
        <family val="2"/>
        <scheme val="minor"/>
      </font>
    </dxf>
  </dxfs>
  <tableStyles count="0" defaultTableStyle="TableStyleMedium9" defaultPivotStyle="PivotStyleLight16"/>
  <colors>
    <mruColors>
      <color rgb="FF0000FF"/>
      <color rgb="FF00FFFF"/>
      <color rgb="FF00FFCC"/>
      <color rgb="FFFFFF99"/>
      <color rgb="FFFAB8B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74D64DF-38A8-4338-99EF-7EEB8593C854}" name="tblCharter" displayName="tblCharter" ref="A30:AB57" totalsRowShown="0" headerRowDxfId="44" dataDxfId="43" tableBorderDxfId="42">
  <autoFilter ref="A30:AB57" xr:uid="{0AD7CB1A-76A8-4BC3-9704-ACB1FE8D2896}"/>
  <tableColumns count="28">
    <tableColumn id="1" xr3:uid="{EE2F1C8F-8608-4413-89DC-8247C4191624}" name="ICCATSerialNo" dataDxfId="41"/>
    <tableColumn id="2" xr3:uid="{C5CADBD2-6D47-468A-A517-EE67AD05D64B}" name="NatRegNo" dataDxfId="40"/>
    <tableColumn id="3" xr3:uid="{20C37CB1-45F5-49E7-9929-3FCCFE73BAEC}" name="IMONo" dataDxfId="39"/>
    <tableColumn id="4" xr3:uid="{1F06D473-1A4C-4897-AA78-D559256E6BF0}" name="IRCS" dataDxfId="38"/>
    <tableColumn id="5" xr3:uid="{1F283F99-345A-4EC2-AAE2-BCCE19B0F2D1}" name="VesselName" dataDxfId="37"/>
    <tableColumn id="6" xr3:uid="{8E13E2B0-2CE4-4BD9-BA32-9001130DD403}" name="FlagCPCd" dataDxfId="36"/>
    <tableColumn id="7" xr3:uid="{D3F2C0BA-6217-43DF-A5F4-8DDD158D15DA}" name="FlagFSCd" dataDxfId="35"/>
    <tableColumn id="8" xr3:uid="{5290575E-B008-4B5A-8836-B358DBC2B8B4}" name="OwName" dataDxfId="34"/>
    <tableColumn id="9" xr3:uid="{2AB5318F-E1B9-4655-932E-C9019FE851B1}" name="OwAddrs" dataDxfId="33"/>
    <tableColumn id="10" xr3:uid="{F9985983-2CD4-4660-BF1E-40596C5A422E}" name="IsscfvID" dataDxfId="32"/>
    <tableColumn id="11" xr3:uid="{0FD37B71-14AD-428A-BD94-FD9A9431EC36}" name="IsscfgID" dataDxfId="31"/>
    <tableColumn id="12" xr3:uid="{4EFBD805-BCA5-4D39-BD18-2400CE47FC79}" name="LengthM" dataDxfId="30"/>
    <tableColumn id="13" xr3:uid="{25A2CECB-42FE-417A-B16C-3A24927AC0B9}" name="LenType" dataDxfId="29"/>
    <tableColumn id="14" xr3:uid="{3C4F4EF1-2272-470F-8869-3CC758D650E0}" name="Fishery1Cd" dataDxfId="28"/>
    <tableColumn id="15" xr3:uid="{EDB53DFE-4377-41AB-AF80-EAD108AD5389}" name="Quota1CP" dataDxfId="27"/>
    <tableColumn id="16" xr3:uid="{62BC290B-7964-49A3-980F-DC996E9F7ACE}" name="Fishery2Cd" dataDxfId="26"/>
    <tableColumn id="17" xr3:uid="{9C389768-7122-4E1B-AB15-C6137D889B38}" name="Quota2CP" dataDxfId="25"/>
    <tableColumn id="18" xr3:uid="{A6A3C6EE-779D-4D09-AC65-7EC47D4C868C}" name="Fishery3Cd" dataDxfId="24"/>
    <tableColumn id="19" xr3:uid="{1BE44957-60E0-4395-BE89-9B9C9DD596B4}" name="Quota3CP" dataDxfId="23"/>
    <tableColumn id="20" xr3:uid="{0AD6DE04-2225-4071-A6E4-1387B991C277}" name="Fishery4Cd" dataDxfId="22"/>
    <tableColumn id="21" xr3:uid="{F3ABAE86-4788-4FEA-9030-B702E1677A03}" name="Quota4CP" dataDxfId="21"/>
    <tableColumn id="22" xr3:uid="{721F2AC4-AE8A-49E9-802B-45C3343CB4E5}" name="Fishery5Cd" dataDxfId="20"/>
    <tableColumn id="23" xr3:uid="{BADB2D7F-6F25-4D1A-A60C-690CCC894DE4}" name="Quota5CP" dataDxfId="19"/>
    <tableColumn id="24" xr3:uid="{AF633626-09AF-4F76-9CA8-73B6DE8F98BC}" name="ConsentCP" dataDxfId="18"/>
    <tableColumn id="25" xr3:uid="{B9A6B678-9D51-4896-8F76-656608190A3B}" name="AdptMeasCP" dataDxfId="17"/>
    <tableColumn id="26" xr3:uid="{8FA19D18-B4D5-4C10-AD3B-E768BE0ADF94}" name="ConsentFS" dataDxfId="16"/>
    <tableColumn id="27" xr3:uid="{2650B8A9-8D9E-4A7D-B48D-6905FBA6E4FB}" name="AdptMeasFS" dataDxfId="15"/>
    <tableColumn id="28" xr3:uid="{0BCF08FE-803A-4078-AF74-BF2DB55334B7}" name="AutoTerm" dataDxfId="14"/>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90331B-2D0C-4DC0-A3FA-6535C8EB2B58}" name="tblTranslation" displayName="tblTranslation" ref="A4:L88" totalsRowShown="0" headerRowDxfId="13" dataDxfId="12">
  <autoFilter ref="A4:L88" xr:uid="{AB77E5C8-FA05-4911-89DC-ECEBEEB498B4}"/>
  <tableColumns count="12">
    <tableColumn id="1" xr3:uid="{3DC7E91C-6CFA-4B79-8F5E-5EDF50C789E4}" name="FieldID" dataDxfId="11"/>
    <tableColumn id="2" xr3:uid="{FFB462EE-D34E-4951-BD08-4E170369C9FF}" name="Order" dataDxfId="10"/>
    <tableColumn id="3" xr3:uid="{09EACDD6-F66A-4B6C-B930-642AF40EE594}" name="Subform" dataDxfId="9"/>
    <tableColumn id="4" xr3:uid="{C611E09A-0757-4682-BF30-D7D61617ADAD}" name="Section" dataDxfId="8"/>
    <tableColumn id="5" xr3:uid="{EB1B7E84-1EE4-43F0-99D3-AD023BAF687A}" name="Item" dataDxfId="7"/>
    <tableColumn id="6" xr3:uid="{56DADA07-3317-47C0-947B-515BCC887CF7}" name="FieldType" dataDxfId="6"/>
    <tableColumn id="7" xr3:uid="{6EA4AAF4-55A9-4974-A42C-9872FD053E5E}" name="FldNameEN" dataDxfId="5"/>
    <tableColumn id="8" xr3:uid="{6EDB750E-7B3A-4B2A-9B33-DEAA127B9210}" name="FldNameFR" dataDxfId="4"/>
    <tableColumn id="9" xr3:uid="{F2717A0D-664C-4D52-A6C2-0594A9F1B2CA}" name="FldNameES" dataDxfId="3"/>
    <tableColumn id="10" xr3:uid="{4F8F8058-B347-4A2B-B31F-9254A3DF4C65}" name="fldDescEN" dataDxfId="2"/>
    <tableColumn id="11" xr3:uid="{143CE2EA-F711-4EAD-BE12-DD4DA691BFEC}" name="fldDescFR" dataDxfId="1"/>
    <tableColumn id="12" xr3:uid="{15F26545-B21B-47A3-87B4-7E8F1B0F5834}" name="fldDescES" dataDxfId="0"/>
  </tableColumns>
  <tableStyleInfo name="TableStyleLight1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AE58"/>
  <sheetViews>
    <sheetView tabSelected="1" zoomScale="90" zoomScaleNormal="90" workbookViewId="0">
      <selection activeCell="H30" sqref="H30"/>
    </sheetView>
  </sheetViews>
  <sheetFormatPr defaultColWidth="13.109375" defaultRowHeight="12" x14ac:dyDescent="0.3"/>
  <cols>
    <col min="1" max="1" width="18.88671875" style="3" customWidth="1"/>
    <col min="2" max="2" width="17.6640625" style="3" bestFit="1" customWidth="1"/>
    <col min="3" max="3" width="8.6640625" style="3" customWidth="1"/>
    <col min="4" max="4" width="7.88671875" style="3" customWidth="1"/>
    <col min="5" max="5" width="19.6640625" style="3" bestFit="1" customWidth="1"/>
    <col min="6" max="7" width="13.33203125" style="3" customWidth="1"/>
    <col min="8" max="9" width="27.88671875" style="3" bestFit="1" customWidth="1"/>
    <col min="10" max="10" width="10" style="3" customWidth="1"/>
    <col min="11" max="11" width="10.109375" style="3" customWidth="1"/>
    <col min="12" max="13" width="10.5546875" style="3" customWidth="1"/>
    <col min="14" max="14" width="12.5546875" style="3" customWidth="1"/>
    <col min="15" max="15" width="11.33203125" style="3" customWidth="1"/>
    <col min="16" max="16" width="12.6640625" style="3" customWidth="1"/>
    <col min="17" max="17" width="11.5546875" style="3" customWidth="1"/>
    <col min="18" max="18" width="12.6640625" style="3" customWidth="1"/>
    <col min="19" max="19" width="11.5546875" style="3" customWidth="1"/>
    <col min="20" max="20" width="12.6640625" style="3" customWidth="1"/>
    <col min="21" max="21" width="11.5546875" style="3" customWidth="1"/>
    <col min="22" max="22" width="12.6640625" style="3" customWidth="1"/>
    <col min="23" max="23" width="11.5546875" style="3" customWidth="1"/>
    <col min="24" max="24" width="12.5546875" style="3" customWidth="1"/>
    <col min="25" max="25" width="14" style="3" customWidth="1"/>
    <col min="26" max="26" width="12.33203125" style="3" customWidth="1"/>
    <col min="27" max="27" width="13.88671875" style="3" customWidth="1"/>
    <col min="28" max="28" width="11.44140625" style="2" customWidth="1"/>
    <col min="29" max="29" width="12.44140625" style="2" bestFit="1" customWidth="1"/>
    <col min="30" max="30" width="8.88671875" style="2" bestFit="1" customWidth="1"/>
    <col min="31" max="31" width="10.33203125" style="2" customWidth="1"/>
    <col min="32" max="32" width="10.109375" style="3" bestFit="1" customWidth="1"/>
    <col min="33" max="16384" width="13.109375" style="3"/>
  </cols>
  <sheetData>
    <row r="1" spans="1:23" s="4" customFormat="1" ht="21" x14ac:dyDescent="0.3">
      <c r="A1" s="204" t="str">
        <f>VLOOKUP("T00",tblTranslation[],LangFieldID,FALSE)</f>
        <v>CP53-ChartrCP_FS</v>
      </c>
      <c r="B1" s="210" t="str">
        <f>VLOOKUP("T00",tblTranslation[],LangNameID,FALSE)</f>
        <v>VESSELS CHARTERING ARRANGEMENT REGISTRATION</v>
      </c>
      <c r="C1" s="210"/>
      <c r="D1" s="210"/>
      <c r="E1" s="210"/>
      <c r="F1" s="210"/>
      <c r="G1" s="210"/>
      <c r="H1" s="210"/>
      <c r="I1" s="210"/>
      <c r="J1" s="210"/>
      <c r="K1" s="210"/>
      <c r="L1" s="210"/>
      <c r="M1" s="210"/>
      <c r="N1" s="9" t="str">
        <f>VLOOKUP("tVersion",tblTranslation[],LangFieldID,FALSE)</f>
        <v>Version</v>
      </c>
      <c r="O1" s="10" t="str">
        <f>VLOOKUP("tLang",tblTranslation[],LangFieldID,FALSE)</f>
        <v>Language</v>
      </c>
      <c r="P1" s="117"/>
      <c r="Q1" s="117"/>
      <c r="R1" s="117"/>
      <c r="S1" s="117"/>
      <c r="T1" s="117"/>
      <c r="U1" s="117"/>
      <c r="V1" s="117"/>
      <c r="W1" s="117"/>
    </row>
    <row r="2" spans="1:23" s="4" customFormat="1" x14ac:dyDescent="0.3">
      <c r="A2" s="205"/>
      <c r="B2" s="211" t="str">
        <f>VLOOKUP("T02",tblTranslation[],LangFieldID,FALSE)&amp;": "&amp; VLOOKUP("T02",tblTranslation[],LangNameID,FALSE)</f>
        <v>ICCAT: INTERNATIONAL COMMISSION FOR THE CONSERVATION OF ATLANTIC TUNAS</v>
      </c>
      <c r="C2" s="211"/>
      <c r="D2" s="211"/>
      <c r="E2" s="211"/>
      <c r="F2" s="211"/>
      <c r="G2" s="211"/>
      <c r="H2" s="211"/>
      <c r="I2" s="211"/>
      <c r="J2" s="211"/>
      <c r="K2" s="211"/>
      <c r="L2" s="211"/>
      <c r="M2" s="211"/>
      <c r="N2" s="11" t="s">
        <v>1168</v>
      </c>
      <c r="O2" s="1" t="s">
        <v>1078</v>
      </c>
      <c r="P2" s="202"/>
      <c r="Q2" s="202"/>
      <c r="R2" s="202"/>
      <c r="S2" s="202"/>
      <c r="T2" s="202"/>
      <c r="U2" s="202"/>
      <c r="V2" s="202"/>
      <c r="W2" s="202"/>
    </row>
    <row r="3" spans="1:23" s="7" customFormat="1" ht="10.199999999999999" x14ac:dyDescent="0.3">
      <c r="C3" s="46"/>
      <c r="D3" s="46"/>
      <c r="E3" s="46"/>
      <c r="F3" s="46"/>
      <c r="G3" s="46"/>
      <c r="H3" s="46"/>
      <c r="I3" s="46"/>
    </row>
    <row r="4" spans="1:23" s="7" customFormat="1" ht="10.199999999999999" x14ac:dyDescent="0.3">
      <c r="A4" s="208" t="str">
        <f>VLOOKUP("H10",tblTranslation[],LangFieldID,FALSE)</f>
        <v>Chartering Correspondent (CP)</v>
      </c>
      <c r="B4" s="209"/>
      <c r="C4" s="209"/>
      <c r="D4" s="209"/>
      <c r="E4" s="209"/>
      <c r="F4" s="209"/>
      <c r="G4" s="209"/>
      <c r="H4" s="209"/>
      <c r="I4" s="18" t="str">
        <f>IF(AND(B5&gt;0,B6&gt;0,B7&gt;0,G5&gt;0,B8&gt;0,G6&gt;0), "ok", "inc")</f>
        <v>inc</v>
      </c>
      <c r="J4" s="214" t="str">
        <f>VLOOKUP("H30",tblTranslation[],LangFieldID,FALSE)</f>
        <v>Secretariat use only</v>
      </c>
      <c r="K4" s="215"/>
      <c r="L4" s="215"/>
      <c r="M4" s="215"/>
      <c r="N4" s="216"/>
      <c r="O4" s="219" t="s">
        <v>685</v>
      </c>
      <c r="P4" s="118"/>
      <c r="Q4" s="118"/>
      <c r="R4" s="118"/>
      <c r="S4" s="118"/>
      <c r="T4" s="118"/>
      <c r="U4" s="118"/>
      <c r="V4" s="118"/>
      <c r="W4" s="118"/>
    </row>
    <row r="5" spans="1:23" s="7" customFormat="1" ht="10.199999999999999" x14ac:dyDescent="0.3">
      <c r="A5" s="44" t="str">
        <f>VLOOKUP("hPerson1",tblTranslation[],LangFieldID,FALSE)</f>
        <v>Name</v>
      </c>
      <c r="B5" s="206"/>
      <c r="C5" s="206"/>
      <c r="D5" s="206"/>
      <c r="E5" s="25"/>
      <c r="F5" s="45" t="str">
        <f>VLOOKUP("hEmail1",tblTranslation[],LangFieldID,FALSE)</f>
        <v>Email</v>
      </c>
      <c r="G5" s="212"/>
      <c r="H5" s="212"/>
      <c r="I5" s="22"/>
      <c r="J5" s="224" t="str">
        <f>VLOOKUP("hDateRep",tblTranslation[],LangFieldID,FALSE)</f>
        <v>Date reported</v>
      </c>
      <c r="K5" s="225"/>
      <c r="L5" s="213"/>
      <c r="M5" s="213"/>
      <c r="N5" s="20"/>
      <c r="O5" s="220"/>
      <c r="P5" s="118"/>
      <c r="Q5" s="118"/>
      <c r="R5" s="118"/>
      <c r="S5" s="118"/>
      <c r="T5" s="118"/>
      <c r="U5" s="118"/>
      <c r="V5" s="118"/>
      <c r="W5" s="118"/>
    </row>
    <row r="6" spans="1:23" s="7" customFormat="1" ht="10.199999999999999" x14ac:dyDescent="0.3">
      <c r="A6" s="44" t="str">
        <f>VLOOKUP("hAgency1",tblTranslation[],LangFieldID,FALSE)</f>
        <v>Reporting Agency</v>
      </c>
      <c r="B6" s="206"/>
      <c r="C6" s="206"/>
      <c r="D6" s="206"/>
      <c r="E6" s="206"/>
      <c r="F6" s="45" t="str">
        <f>VLOOKUP("hPhone1",tblTranslation[],LangFieldID,FALSE)</f>
        <v>Phone</v>
      </c>
      <c r="G6" s="43"/>
      <c r="H6" s="25"/>
      <c r="I6" s="22"/>
      <c r="J6" s="224" t="str">
        <f>VLOOKUP("hRef",tblTranslation[],LangFieldID,FALSE)</f>
        <v>Reference Nº</v>
      </c>
      <c r="K6" s="225"/>
      <c r="L6" s="207"/>
      <c r="M6" s="207"/>
      <c r="N6" s="57"/>
      <c r="O6" s="220"/>
      <c r="P6" s="118"/>
      <c r="Q6" s="118"/>
      <c r="R6" s="118"/>
      <c r="S6" s="118"/>
      <c r="T6" s="118"/>
      <c r="U6" s="118"/>
      <c r="V6" s="118"/>
      <c r="W6" s="118"/>
    </row>
    <row r="7" spans="1:23" s="7" customFormat="1" ht="10.199999999999999" x14ac:dyDescent="0.3">
      <c r="A7" s="44" t="str">
        <f>VLOOKUP("hAddress1",tblTranslation[],LangFieldID,FALSE)</f>
        <v>Address</v>
      </c>
      <c r="B7" s="206"/>
      <c r="C7" s="206"/>
      <c r="D7" s="206"/>
      <c r="E7" s="206"/>
      <c r="F7" s="42"/>
      <c r="G7" s="42"/>
      <c r="H7" s="42"/>
      <c r="I7" s="22"/>
      <c r="J7" s="217"/>
      <c r="K7" s="218"/>
      <c r="L7" s="218"/>
      <c r="M7" s="14"/>
      <c r="N7" s="57"/>
      <c r="O7" s="220"/>
      <c r="P7" s="118"/>
      <c r="Q7" s="118"/>
      <c r="R7" s="118"/>
      <c r="S7" s="118"/>
      <c r="T7" s="118"/>
      <c r="U7" s="118"/>
      <c r="V7" s="118"/>
      <c r="W7" s="118"/>
    </row>
    <row r="8" spans="1:23" s="7" customFormat="1" ht="10.199999999999999" x14ac:dyDescent="0.3">
      <c r="A8" s="55" t="str">
        <f>VLOOKUP("hFlagRep1",tblTranslation[],LangFieldID,FALSE)</f>
        <v>Reporting Flag</v>
      </c>
      <c r="B8" s="206"/>
      <c r="C8" s="206"/>
      <c r="D8" s="42" t="str">
        <f>IF(B8&gt;0,VLOOKUP(B8,Codes!A3:B161,2,FALSE),"")</f>
        <v/>
      </c>
      <c r="E8" s="42"/>
      <c r="F8" s="42"/>
      <c r="G8" s="42"/>
      <c r="H8" s="42"/>
      <c r="I8" s="22"/>
      <c r="J8" s="54"/>
      <c r="K8" s="42"/>
      <c r="L8" s="42"/>
      <c r="M8" s="14"/>
      <c r="N8" s="57"/>
      <c r="O8" s="221" t="s">
        <v>701</v>
      </c>
      <c r="P8" s="46"/>
      <c r="Q8" s="46"/>
      <c r="R8" s="46"/>
      <c r="S8" s="46"/>
      <c r="T8" s="46"/>
      <c r="U8" s="46"/>
      <c r="V8" s="46"/>
      <c r="W8" s="46"/>
    </row>
    <row r="9" spans="1:23" s="7" customFormat="1" ht="10.199999999999999" x14ac:dyDescent="0.3">
      <c r="A9" s="8"/>
      <c r="B9" s="13"/>
      <c r="C9" s="13"/>
      <c r="D9" s="13"/>
      <c r="E9" s="13"/>
      <c r="F9" s="13"/>
      <c r="G9" s="13"/>
      <c r="H9" s="13"/>
      <c r="I9" s="26"/>
      <c r="J9" s="8"/>
      <c r="K9" s="13"/>
      <c r="L9" s="13"/>
      <c r="M9" s="13"/>
      <c r="N9" s="12"/>
      <c r="O9" s="221"/>
      <c r="P9" s="46"/>
      <c r="Q9" s="46"/>
      <c r="R9" s="46"/>
      <c r="S9" s="46"/>
      <c r="T9" s="46"/>
      <c r="U9" s="46"/>
      <c r="V9" s="46"/>
      <c r="W9" s="46"/>
    </row>
    <row r="10" spans="1:23" s="7" customFormat="1" ht="10.199999999999999" x14ac:dyDescent="0.3">
      <c r="A10" s="208" t="str">
        <f>VLOOKUP("H20",tblTranslation[],LangFieldID,FALSE)</f>
        <v>Flag State Correspondent (FS)</v>
      </c>
      <c r="B10" s="209"/>
      <c r="C10" s="209"/>
      <c r="D10" s="209"/>
      <c r="E10" s="209"/>
      <c r="F10" s="209"/>
      <c r="G10" s="209"/>
      <c r="H10" s="209"/>
      <c r="I10" s="18" t="str">
        <f>IF(AND(B11&gt;0,B12&gt;0,B13&gt;0,G11&gt;0,G12&gt;0,OR(B14&gt;0,G14&gt;0)), "ok", "inc")</f>
        <v>inc</v>
      </c>
      <c r="J10" s="214" t="str">
        <f>VLOOKUP("H30",tblTranslation[],LangFieldID,FALSE)</f>
        <v>Secretariat use only</v>
      </c>
      <c r="K10" s="215"/>
      <c r="L10" s="215"/>
      <c r="M10" s="215"/>
      <c r="N10" s="215"/>
      <c r="O10" s="221"/>
      <c r="P10" s="46"/>
      <c r="Q10" s="46"/>
      <c r="R10" s="46"/>
      <c r="S10" s="46"/>
      <c r="T10" s="46"/>
      <c r="U10" s="46"/>
      <c r="V10" s="46"/>
      <c r="W10" s="46"/>
    </row>
    <row r="11" spans="1:23" s="7" customFormat="1" ht="10.199999999999999" x14ac:dyDescent="0.3">
      <c r="A11" s="44" t="str">
        <f>VLOOKUP("hPerson2",tblTranslation[],LangFieldID,FALSE)</f>
        <v>Name</v>
      </c>
      <c r="B11" s="206"/>
      <c r="C11" s="206"/>
      <c r="D11" s="206"/>
      <c r="E11" s="25"/>
      <c r="F11" s="45" t="str">
        <f>VLOOKUP("hEmail2",tblTranslation[],LangFieldID,FALSE)</f>
        <v>Email</v>
      </c>
      <c r="G11" s="212"/>
      <c r="H11" s="212"/>
      <c r="I11" s="22"/>
      <c r="J11" s="224" t="str">
        <f>VLOOKUP("hDateRep",tblTranslation[],LangFieldID,FALSE)</f>
        <v>Date reported</v>
      </c>
      <c r="K11" s="225"/>
      <c r="L11" s="213"/>
      <c r="M11" s="213"/>
      <c r="N11" s="42"/>
      <c r="O11" s="221"/>
      <c r="P11" s="46"/>
      <c r="Q11" s="46"/>
      <c r="R11" s="46"/>
      <c r="S11" s="46"/>
      <c r="T11" s="46"/>
      <c r="U11" s="46"/>
      <c r="V11" s="46"/>
      <c r="W11" s="46"/>
    </row>
    <row r="12" spans="1:23" s="7" customFormat="1" ht="10.199999999999999" x14ac:dyDescent="0.3">
      <c r="A12" s="44" t="str">
        <f>VLOOKUP("hAgency2",tblTranslation[],LangFieldID,FALSE)</f>
        <v>Reporting Agency</v>
      </c>
      <c r="B12" s="206"/>
      <c r="C12" s="206"/>
      <c r="D12" s="206"/>
      <c r="E12" s="206"/>
      <c r="F12" s="45" t="str">
        <f>VLOOKUP("hPhone2",tblTranslation[],LangFieldID,FALSE)</f>
        <v>Phone</v>
      </c>
      <c r="G12" s="43"/>
      <c r="H12" s="25"/>
      <c r="I12" s="22"/>
      <c r="J12" s="224" t="str">
        <f>VLOOKUP("hRef",tblTranslation[],LangFieldID,FALSE)</f>
        <v>Reference Nº</v>
      </c>
      <c r="K12" s="225"/>
      <c r="L12" s="207"/>
      <c r="M12" s="207"/>
      <c r="N12" s="47"/>
      <c r="O12" s="221"/>
      <c r="P12" s="46"/>
      <c r="Q12" s="46"/>
      <c r="R12" s="46"/>
      <c r="S12" s="46"/>
      <c r="T12" s="46"/>
      <c r="U12" s="46"/>
      <c r="V12" s="46"/>
      <c r="W12" s="46"/>
    </row>
    <row r="13" spans="1:23" s="7" customFormat="1" ht="10.199999999999999" x14ac:dyDescent="0.3">
      <c r="A13" s="44" t="str">
        <f>VLOOKUP("hAddress2",tblTranslation[],LangFieldID,FALSE)</f>
        <v>Address</v>
      </c>
      <c r="B13" s="206"/>
      <c r="C13" s="206"/>
      <c r="D13" s="206"/>
      <c r="E13" s="206"/>
      <c r="F13" s="42"/>
      <c r="G13" s="42"/>
      <c r="H13" s="42"/>
      <c r="I13" s="22"/>
      <c r="J13" s="54"/>
      <c r="K13" s="42"/>
      <c r="L13" s="42"/>
      <c r="M13" s="14"/>
      <c r="N13" s="47"/>
      <c r="O13" s="221"/>
      <c r="P13" s="46"/>
      <c r="Q13" s="46"/>
      <c r="R13" s="46"/>
      <c r="S13" s="46"/>
      <c r="T13" s="46"/>
      <c r="U13" s="46"/>
      <c r="V13" s="46"/>
      <c r="W13" s="46"/>
    </row>
    <row r="14" spans="1:23" s="7" customFormat="1" ht="10.199999999999999" x14ac:dyDescent="0.3">
      <c r="A14" s="55" t="str">
        <f>VLOOKUP("hFlagRep2",tblTranslation[],LangFieldID,FALSE)</f>
        <v>Reporting Flag</v>
      </c>
      <c r="B14" s="223"/>
      <c r="C14" s="223"/>
      <c r="D14" s="42" t="str">
        <f>IF(B14&gt;0,VLOOKUP(B14,Codes!A3:B161,2,FALSE),"")</f>
        <v/>
      </c>
      <c r="E14" s="225" t="str">
        <f>VLOOKUP("hFlagOth",tblTranslation[],LangFieldID,FALSE)</f>
        <v>or Other (specify)</v>
      </c>
      <c r="F14" s="225"/>
      <c r="G14" s="223"/>
      <c r="H14" s="223"/>
      <c r="I14" s="22"/>
      <c r="J14" s="217" t="str">
        <f>VLOOKUP("hFname",tblTranslation[],LangFieldID,FALSE)&amp;":"</f>
        <v>File name (proposed):</v>
      </c>
      <c r="K14" s="218"/>
      <c r="L14" s="218"/>
      <c r="M14" s="14"/>
      <c r="N14" s="47"/>
      <c r="O14" s="221"/>
      <c r="P14" s="46"/>
      <c r="Q14" s="46"/>
      <c r="R14" s="46"/>
      <c r="S14" s="46"/>
      <c r="T14" s="46"/>
      <c r="U14" s="46"/>
      <c r="V14" s="46"/>
      <c r="W14" s="46"/>
    </row>
    <row r="15" spans="1:23" s="7" customFormat="1" ht="10.199999999999999" x14ac:dyDescent="0.3">
      <c r="A15" s="8"/>
      <c r="B15" s="13"/>
      <c r="C15" s="13"/>
      <c r="D15" s="13"/>
      <c r="E15" s="13"/>
      <c r="F15" s="13"/>
      <c r="G15" s="13"/>
      <c r="H15" s="13"/>
      <c r="I15" s="26"/>
      <c r="J15" s="237" t="str">
        <f>IF(AND(I4="ok",I10="ok",I16="ok"),"CP53_"&amp;D8&amp;"-"&amp;IF(LEN(D14)&gt;0,D14,G14)&amp;IF(AND(L11&gt;0,L12&gt;0,L5&gt;0,L6&gt;0),"#"&amp;L6&amp;"_"&amp;L12&amp;".xlsx","#[suffix].xlsx"),"")</f>
        <v/>
      </c>
      <c r="K15" s="238"/>
      <c r="L15" s="238"/>
      <c r="M15" s="238"/>
      <c r="N15" s="238"/>
      <c r="O15" s="222"/>
      <c r="P15" s="46"/>
      <c r="Q15" s="46"/>
      <c r="R15" s="46"/>
      <c r="S15" s="46"/>
      <c r="T15" s="46"/>
      <c r="U15" s="46"/>
      <c r="V15" s="46"/>
      <c r="W15" s="46"/>
    </row>
    <row r="16" spans="1:23" s="7" customFormat="1" ht="10.199999999999999" x14ac:dyDescent="0.3">
      <c r="A16" s="214" t="str">
        <f>VLOOKUP("H40",tblTranslation[],LangFieldID,FALSE)</f>
        <v>Data set characteristics</v>
      </c>
      <c r="B16" s="215"/>
      <c r="C16" s="215"/>
      <c r="D16" s="215"/>
      <c r="E16" s="215"/>
      <c r="F16" s="42"/>
      <c r="G16" s="42"/>
      <c r="H16" s="42"/>
      <c r="I16" s="21" t="str">
        <f>IF(AND(B18&gt;0,D18&gt;0), "ok", "inc")</f>
        <v>inc</v>
      </c>
      <c r="J16" s="19" t="str">
        <f>VLOOKUP("hNotes",tblTranslation[],LangFieldID,FALSE)</f>
        <v>Notes</v>
      </c>
      <c r="K16" s="19"/>
      <c r="L16" s="19"/>
      <c r="M16" s="42"/>
      <c r="N16" s="42"/>
      <c r="O16" s="20"/>
    </row>
    <row r="17" spans="1:28" s="7" customFormat="1" ht="10.199999999999999" x14ac:dyDescent="0.2">
      <c r="A17" s="62" t="str">
        <f>VLOOKUP("hPeriod",tblTranslation[],LangFieldID,FALSE)</f>
        <v>Time period of Chartering</v>
      </c>
      <c r="B17" s="63"/>
      <c r="C17" s="42"/>
      <c r="D17" s="42"/>
      <c r="E17" s="42"/>
      <c r="F17" s="42"/>
      <c r="G17" s="42"/>
      <c r="H17" s="42"/>
      <c r="I17" s="19"/>
      <c r="J17" s="235"/>
      <c r="K17" s="235"/>
      <c r="L17" s="235"/>
      <c r="M17" s="235"/>
      <c r="N17" s="235"/>
      <c r="O17" s="236"/>
      <c r="P17" s="203"/>
      <c r="Q17" s="203"/>
      <c r="R17" s="203"/>
      <c r="S17" s="203"/>
      <c r="T17" s="203"/>
      <c r="U17" s="203"/>
      <c r="V17" s="203"/>
      <c r="W17" s="203"/>
    </row>
    <row r="18" spans="1:28" s="7" customFormat="1" ht="10.199999999999999" x14ac:dyDescent="0.3">
      <c r="A18" s="44" t="str">
        <f>VLOOKUP("hPeriodFrom",tblTranslation[],LangFieldID,FALSE)</f>
        <v>From</v>
      </c>
      <c r="B18" s="194"/>
      <c r="C18" s="22" t="str">
        <f>VLOOKUP("hPeriodTo",tblTranslation[],LangFieldID,FALSE)</f>
        <v>to</v>
      </c>
      <c r="D18" s="245"/>
      <c r="E18" s="245"/>
      <c r="F18" s="42"/>
      <c r="G18" s="42"/>
      <c r="H18" s="42"/>
      <c r="I18" s="42"/>
      <c r="J18" s="235"/>
      <c r="K18" s="235"/>
      <c r="L18" s="235"/>
      <c r="M18" s="235"/>
      <c r="N18" s="235"/>
      <c r="O18" s="236"/>
      <c r="P18" s="203"/>
      <c r="Q18" s="203"/>
      <c r="R18" s="203"/>
      <c r="S18" s="203"/>
      <c r="T18" s="203"/>
      <c r="U18" s="203"/>
      <c r="V18" s="203"/>
      <c r="W18" s="203"/>
    </row>
    <row r="19" spans="1:28" s="7" customFormat="1" ht="10.199999999999999" x14ac:dyDescent="0.3">
      <c r="A19" s="55"/>
      <c r="B19" s="42"/>
      <c r="C19" s="42"/>
      <c r="D19" s="42"/>
      <c r="E19" s="42"/>
      <c r="F19" s="42"/>
      <c r="G19" s="42"/>
      <c r="H19" s="42"/>
      <c r="I19" s="19"/>
      <c r="J19" s="235"/>
      <c r="K19" s="235"/>
      <c r="L19" s="235"/>
      <c r="M19" s="235"/>
      <c r="N19" s="235"/>
      <c r="O19" s="236"/>
      <c r="P19" s="203"/>
      <c r="Q19" s="203"/>
      <c r="R19" s="203"/>
      <c r="S19" s="203"/>
      <c r="T19" s="203"/>
      <c r="U19" s="203"/>
      <c r="V19" s="203"/>
      <c r="W19" s="203"/>
    </row>
    <row r="20" spans="1:28" s="7" customFormat="1" ht="10.199999999999999" x14ac:dyDescent="0.3">
      <c r="A20" s="54"/>
      <c r="B20" s="42"/>
      <c r="C20" s="42"/>
      <c r="D20" s="42"/>
      <c r="E20" s="42"/>
      <c r="F20" s="42"/>
      <c r="G20" s="42"/>
      <c r="H20" s="42"/>
      <c r="I20" s="19"/>
      <c r="J20" s="235"/>
      <c r="K20" s="235"/>
      <c r="L20" s="235"/>
      <c r="M20" s="235"/>
      <c r="N20" s="235"/>
      <c r="O20" s="236"/>
      <c r="P20" s="203"/>
      <c r="Q20" s="203"/>
      <c r="R20" s="203"/>
      <c r="S20" s="203"/>
      <c r="T20" s="203"/>
      <c r="U20" s="203"/>
      <c r="V20" s="203"/>
      <c r="W20" s="203"/>
    </row>
    <row r="21" spans="1:28" s="7" customFormat="1" ht="10.199999999999999" x14ac:dyDescent="0.3">
      <c r="A21" s="42"/>
      <c r="B21" s="42"/>
      <c r="C21" s="42"/>
      <c r="D21" s="42"/>
      <c r="E21" s="42"/>
      <c r="F21" s="42"/>
      <c r="G21" s="42"/>
      <c r="H21" s="42"/>
      <c r="I21" s="19"/>
      <c r="J21" s="235"/>
      <c r="K21" s="235"/>
      <c r="L21" s="235"/>
      <c r="M21" s="235"/>
      <c r="N21" s="235"/>
      <c r="O21" s="236"/>
      <c r="P21" s="203"/>
      <c r="Q21" s="203"/>
      <c r="R21" s="203"/>
      <c r="S21" s="203"/>
      <c r="T21" s="203"/>
      <c r="U21" s="203"/>
      <c r="V21" s="203"/>
      <c r="W21" s="203"/>
    </row>
    <row r="22" spans="1:28" s="7" customFormat="1" ht="10.199999999999999" x14ac:dyDescent="0.3">
      <c r="A22" s="42"/>
      <c r="B22" s="42"/>
      <c r="C22" s="42"/>
      <c r="D22" s="42"/>
      <c r="E22" s="42"/>
      <c r="F22" s="42"/>
      <c r="G22" s="42"/>
      <c r="H22" s="42"/>
      <c r="I22" s="19"/>
      <c r="J22" s="235"/>
      <c r="K22" s="235"/>
      <c r="L22" s="235"/>
      <c r="M22" s="235"/>
      <c r="N22" s="235"/>
      <c r="O22" s="236"/>
      <c r="P22" s="203"/>
      <c r="Q22" s="203"/>
      <c r="R22" s="203"/>
      <c r="S22" s="203"/>
      <c r="T22" s="203"/>
      <c r="U22" s="203"/>
      <c r="V22" s="203"/>
      <c r="W22" s="203"/>
    </row>
    <row r="23" spans="1:28" s="7" customFormat="1" ht="10.199999999999999" x14ac:dyDescent="0.3">
      <c r="A23" s="42"/>
      <c r="B23" s="42"/>
      <c r="C23" s="42"/>
      <c r="D23" s="42"/>
      <c r="E23" s="42"/>
      <c r="F23" s="42"/>
      <c r="G23" s="42"/>
      <c r="H23" s="42"/>
      <c r="I23" s="19"/>
      <c r="J23" s="235"/>
      <c r="K23" s="235"/>
      <c r="L23" s="235"/>
      <c r="M23" s="235"/>
      <c r="N23" s="235"/>
      <c r="O23" s="236"/>
      <c r="P23" s="203"/>
      <c r="Q23" s="203"/>
      <c r="R23" s="203"/>
      <c r="S23" s="203"/>
      <c r="T23" s="203"/>
      <c r="U23" s="203"/>
      <c r="V23" s="203"/>
      <c r="W23" s="203"/>
    </row>
    <row r="24" spans="1:28" s="7" customFormat="1" ht="10.199999999999999" x14ac:dyDescent="0.3">
      <c r="A24" s="27"/>
      <c r="B24" s="13"/>
      <c r="C24" s="13"/>
      <c r="D24" s="13"/>
      <c r="E24" s="13"/>
      <c r="F24" s="13"/>
      <c r="G24" s="13"/>
      <c r="H24" s="13"/>
      <c r="I24" s="13"/>
      <c r="J24" s="13"/>
      <c r="K24" s="13"/>
      <c r="L24" s="13"/>
      <c r="M24" s="13"/>
      <c r="N24" s="13"/>
      <c r="O24" s="12"/>
    </row>
    <row r="25" spans="1:28" s="7" customFormat="1" ht="13.8" x14ac:dyDescent="0.3">
      <c r="A25" s="246" t="str">
        <f>VLOOKUP("T03",tblTranslation[],LangFieldID,FALSE) &amp;": "&amp; VLOOKUP("T03",tblTranslation[],LangNameID,FALSE)</f>
        <v>CP53: Vessels chartering arrangement registration details</v>
      </c>
      <c r="B25" s="246"/>
      <c r="C25" s="246"/>
      <c r="D25" s="246"/>
      <c r="E25" s="246"/>
    </row>
    <row r="26" spans="1:28" s="7" customFormat="1" ht="10.199999999999999" x14ac:dyDescent="0.3">
      <c r="A26" s="226" t="str">
        <f>VLOOKUP("D10",tblTranslation[],LangFieldID,FALSE)</f>
        <v>Mandatory information (vessels)</v>
      </c>
      <c r="B26" s="227"/>
      <c r="C26" s="227"/>
      <c r="D26" s="227"/>
      <c r="E26" s="227"/>
      <c r="F26" s="227"/>
      <c r="G26" s="227"/>
      <c r="H26" s="227"/>
      <c r="I26" s="227"/>
      <c r="J26" s="227"/>
      <c r="K26" s="227"/>
      <c r="L26" s="227"/>
      <c r="M26" s="228"/>
      <c r="N26" s="239" t="str">
        <f>VLOOKUP("D20",tblTranslation[],LangFieldID,FALSE)</f>
        <v>Mandatory information (arrangement)</v>
      </c>
      <c r="O26" s="240"/>
      <c r="P26" s="240"/>
      <c r="Q26" s="240"/>
      <c r="R26" s="240"/>
      <c r="S26" s="240"/>
      <c r="T26" s="240"/>
      <c r="U26" s="240"/>
      <c r="V26" s="240"/>
      <c r="W26" s="240"/>
      <c r="X26" s="240"/>
      <c r="Y26" s="240"/>
      <c r="Z26" s="240"/>
      <c r="AA26" s="240"/>
      <c r="AB26" s="241"/>
    </row>
    <row r="27" spans="1:28" s="7" customFormat="1" ht="10.199999999999999" x14ac:dyDescent="0.3">
      <c r="A27" s="229" t="str">
        <f>VLOOKUP("D11",tblTranslation[],LangFieldID,FALSE)</f>
        <v>Identification</v>
      </c>
      <c r="B27" s="230"/>
      <c r="C27" s="230"/>
      <c r="D27" s="230"/>
      <c r="E27" s="230"/>
      <c r="F27" s="230"/>
      <c r="G27" s="231"/>
      <c r="H27" s="229" t="str">
        <f>VLOOKUP("D12",tblTranslation[],LangFieldID,FALSE)</f>
        <v>Ownership details</v>
      </c>
      <c r="I27" s="231"/>
      <c r="J27" s="232" t="str">
        <f>VLOOKUP("D13",tblTranslation[],LangFieldID,FALSE)</f>
        <v xml:space="preserve">Characteristics </v>
      </c>
      <c r="K27" s="233"/>
      <c r="L27" s="233"/>
      <c r="M27" s="234"/>
      <c r="N27" s="242" t="str">
        <f>VLOOKUP("D14",tblTranslation[],LangFieldID,FALSE)</f>
        <v>Fishing Activities</v>
      </c>
      <c r="O27" s="243"/>
      <c r="P27" s="243"/>
      <c r="Q27" s="243"/>
      <c r="R27" s="243"/>
      <c r="S27" s="243"/>
      <c r="T27" s="243"/>
      <c r="U27" s="243"/>
      <c r="V27" s="243"/>
      <c r="W27" s="244"/>
      <c r="X27" s="84" t="str">
        <f>VLOOKUP("D21",tblTranslation[],LangFieldID,FALSE)</f>
        <v>Consent of CP</v>
      </c>
      <c r="Y27" s="85"/>
      <c r="Z27" s="84" t="str">
        <f>VLOOKUP("D22",tblTranslation[],LangFieldID,FALSE)</f>
        <v>Consent of FS</v>
      </c>
      <c r="AA27" s="85"/>
      <c r="AB27" s="81"/>
    </row>
    <row r="28" spans="1:28" s="30" customFormat="1" ht="20.399999999999999" x14ac:dyDescent="0.3">
      <c r="A28" s="23" t="str">
        <f>VLOOKUP(A$30,tblTranslation[],LangFieldID,FALSE)</f>
        <v>ICCAT Serial Number
(If applicable)</v>
      </c>
      <c r="B28" s="23" t="str">
        <f>VLOOKUP(B$30,tblTranslation[],LangFieldID,FALSE)</f>
        <v>Nat. Registry Nº (NRN)</v>
      </c>
      <c r="C28" s="23" t="str">
        <f>VLOOKUP(C$30,tblTranslation[],LangFieldID,FALSE)</f>
        <v>IMO Number</v>
      </c>
      <c r="D28" s="23" t="str">
        <f>VLOOKUP(D$30,tblTranslation[],LangFieldID,FALSE)</f>
        <v>Internat. RCS</v>
      </c>
      <c r="E28" s="23" t="str">
        <f>VLOOKUP(E$30,tblTranslation[],LangFieldID,FALSE)</f>
        <v>Vessel name (Latin)</v>
      </c>
      <c r="F28" s="24" t="str">
        <f>VLOOKUP(F$30,tblTranslation[],LangFieldID,FALSE)</f>
        <v>Flag (Chartering)</v>
      </c>
      <c r="G28" s="24" t="str">
        <f>VLOOKUP(G$30,tblTranslation[],LangFieldID,FALSE)</f>
        <v>Flag (Flag State)</v>
      </c>
      <c r="H28" s="48" t="str">
        <f>VLOOKUP(H$30,tblTranslation[],LangFieldID,FALSE)</f>
        <v>Name</v>
      </c>
      <c r="I28" s="48" t="str">
        <f>VLOOKUP(I$30,tblTranslation[],LangFieldID,FALSE)</f>
        <v>Address</v>
      </c>
      <c r="J28" s="24" t="str">
        <f>VLOOKUP(J$30,tblTranslation[],LangFieldID,FALSE)</f>
        <v>Vessel type (ISSCFV)</v>
      </c>
      <c r="K28" s="24" t="str">
        <f>VLOOKUP(K$30,tblTranslation[],LangFieldID,FALSE)</f>
        <v>Gear type (ISSCFG)</v>
      </c>
      <c r="L28" s="23" t="str">
        <f>VLOOKUP(L$30,tblTranslation[],LangFieldID,FALSE)</f>
        <v>Length (m)</v>
      </c>
      <c r="M28" s="24" t="str">
        <f>VLOOKUP(M$30,tblTranslation[],LangFieldID,FALSE)</f>
        <v>Length type</v>
      </c>
      <c r="N28" s="119" t="str">
        <f>VLOOKUP(N$30,tblTranslation[],LangFieldID,FALSE)</f>
        <v>Fishery 1 (cod)</v>
      </c>
      <c r="O28" s="66" t="str">
        <f>VLOOKUP(O$30,tblTranslation[],LangFieldID,FALSE)</f>
        <v>Quota 1 allocated (t)</v>
      </c>
      <c r="P28" s="119" t="str">
        <f>VLOOKUP(P$30,tblTranslation[],LangFieldID,FALSE)</f>
        <v>Fishery 2 (cod)</v>
      </c>
      <c r="Q28" s="66" t="str">
        <f>VLOOKUP(Q$30,tblTranslation[],LangFieldID,FALSE)</f>
        <v>Quota 2 allocated (t)</v>
      </c>
      <c r="R28" s="119" t="str">
        <f>VLOOKUP(R$30,tblTranslation[],LangFieldID,FALSE)</f>
        <v>Fishery 3 (cod)</v>
      </c>
      <c r="S28" s="66" t="str">
        <f>VLOOKUP(S$30,tblTranslation[],LangFieldID,FALSE)</f>
        <v>Quota 3 allocated (t)</v>
      </c>
      <c r="T28" s="119" t="str">
        <f>VLOOKUP(T$30,tblTranslation[],LangFieldID,FALSE)</f>
        <v>Fishery 4 (cod)</v>
      </c>
      <c r="U28" s="66" t="str">
        <f>VLOOKUP(U$30,tblTranslation[],LangFieldID,FALSE)</f>
        <v>Quota 4 allocated (t)</v>
      </c>
      <c r="V28" s="119" t="str">
        <f>VLOOKUP(V$30,tblTranslation[],LangFieldID,FALSE)</f>
        <v>Fishery 5 (cod)</v>
      </c>
      <c r="W28" s="66" t="str">
        <f>VLOOKUP(W$30,tblTranslation[],LangFieldID,FALSE)</f>
        <v>Quota 5 allocated (t)</v>
      </c>
      <c r="X28" s="66" t="str">
        <f>VLOOKUP(X$30,tblTranslation[],LangFieldID,FALSE)</f>
        <v>CP consent att.</v>
      </c>
      <c r="Y28" s="66" t="str">
        <f>VLOOKUP(Y$30,tblTranslation[],LangFieldID,FALSE)</f>
        <v>CP Adopted Meas.</v>
      </c>
      <c r="Z28" s="66" t="str">
        <f>VLOOKUP(Z$30,tblTranslation[],LangFieldID,FALSE)</f>
        <v>FS consent att.</v>
      </c>
      <c r="AA28" s="66" t="str">
        <f>VLOOKUP(AA$30,tblTranslation[],LangFieldID,FALSE)</f>
        <v>FS Adopted Meas.</v>
      </c>
      <c r="AB28" s="66" t="str">
        <f>VLOOKUP(AB$30,tblTranslation[],LangFieldID,FALSE)</f>
        <v>Auto Termination</v>
      </c>
    </row>
    <row r="29" spans="1:28" s="64" customFormat="1" ht="10.199999999999999" x14ac:dyDescent="0.3">
      <c r="A29" s="150" t="str">
        <f>REPT("+",25)</f>
        <v>+++++++++++++++++++++++++</v>
      </c>
      <c r="B29" s="150" t="str">
        <f>REPT("+",25)</f>
        <v>+++++++++++++++++++++++++</v>
      </c>
      <c r="C29" s="150" t="str">
        <f>REPT("+",11)</f>
        <v>+++++++++++</v>
      </c>
      <c r="D29" s="150" t="str">
        <f>REPT("+",10)</f>
        <v>++++++++++</v>
      </c>
      <c r="E29" s="150" t="str">
        <f>REPT("+",25)</f>
        <v>+++++++++++++++++++++++++</v>
      </c>
      <c r="F29" s="150" t="str">
        <f>REPT("+",11)</f>
        <v>+++++++++++</v>
      </c>
      <c r="G29" s="150" t="str">
        <f>REPT("+",11)</f>
        <v>+++++++++++</v>
      </c>
      <c r="H29" s="150" t="str">
        <f>REPT("+",40)</f>
        <v>++++++++++++++++++++++++++++++++++++++++</v>
      </c>
      <c r="I29" s="150" t="str">
        <f>REPT("+",40)</f>
        <v>++++++++++++++++++++++++++++++++++++++++</v>
      </c>
      <c r="J29" s="150" t="str">
        <f>REPT("+",8)</f>
        <v>++++++++</v>
      </c>
      <c r="K29" s="150" t="str">
        <f>REPT("+",8)</f>
        <v>++++++++</v>
      </c>
      <c r="L29" s="150" t="str">
        <f>REPT("+",8)</f>
        <v>++++++++</v>
      </c>
      <c r="M29" s="150" t="str">
        <f>REPT("+",8)</f>
        <v>++++++++</v>
      </c>
      <c r="N29" s="150" t="str">
        <f>REPT("+",8)</f>
        <v>++++++++</v>
      </c>
      <c r="O29" s="151" t="str">
        <f>REPT("+",11)</f>
        <v>+++++++++++</v>
      </c>
      <c r="P29" s="150" t="str">
        <f t="shared" ref="P29" si="0">REPT("+",8)</f>
        <v>++++++++</v>
      </c>
      <c r="Q29" s="151" t="str">
        <f t="shared" ref="Q29" si="1">REPT("+",11)</f>
        <v>+++++++++++</v>
      </c>
      <c r="R29" s="150" t="str">
        <f t="shared" ref="R29" si="2">REPT("+",8)</f>
        <v>++++++++</v>
      </c>
      <c r="S29" s="151" t="str">
        <f t="shared" ref="S29" si="3">REPT("+",11)</f>
        <v>+++++++++++</v>
      </c>
      <c r="T29" s="150" t="str">
        <f t="shared" ref="T29" si="4">REPT("+",8)</f>
        <v>++++++++</v>
      </c>
      <c r="U29" s="151" t="str">
        <f t="shared" ref="U29" si="5">REPT("+",11)</f>
        <v>+++++++++++</v>
      </c>
      <c r="V29" s="150" t="str">
        <f t="shared" ref="V29" si="6">REPT("+",8)</f>
        <v>++++++++</v>
      </c>
      <c r="W29" s="151" t="str">
        <f t="shared" ref="W29" si="7">REPT("+",11)</f>
        <v>+++++++++++</v>
      </c>
      <c r="X29" s="150" t="str">
        <f>REPT("+",10)</f>
        <v>++++++++++</v>
      </c>
      <c r="Y29" s="150" t="str">
        <f>REPT("+",10)</f>
        <v>++++++++++</v>
      </c>
      <c r="Z29" s="150" t="str">
        <f>REPT("+",10)</f>
        <v>++++++++++</v>
      </c>
      <c r="AA29" s="150" t="str">
        <f>REPT("+",10)</f>
        <v>++++++++++</v>
      </c>
      <c r="AB29" s="150" t="str">
        <f>REPT("+",10)</f>
        <v>++++++++++</v>
      </c>
    </row>
    <row r="30" spans="1:28" s="6" customFormat="1" ht="10.8" thickBot="1" x14ac:dyDescent="0.35">
      <c r="A30" s="145" t="s">
        <v>470</v>
      </c>
      <c r="B30" s="146" t="s">
        <v>479</v>
      </c>
      <c r="C30" s="146" t="s">
        <v>813</v>
      </c>
      <c r="D30" s="146" t="s">
        <v>466</v>
      </c>
      <c r="E30" s="146" t="s">
        <v>820</v>
      </c>
      <c r="F30" s="146" t="s">
        <v>827</v>
      </c>
      <c r="G30" s="146" t="s">
        <v>867</v>
      </c>
      <c r="H30" s="146" t="s">
        <v>868</v>
      </c>
      <c r="I30" s="146" t="s">
        <v>869</v>
      </c>
      <c r="J30" s="146" t="s">
        <v>467</v>
      </c>
      <c r="K30" s="146" t="s">
        <v>468</v>
      </c>
      <c r="L30" s="146" t="s">
        <v>469</v>
      </c>
      <c r="M30" s="146" t="s">
        <v>478</v>
      </c>
      <c r="N30" s="147" t="s">
        <v>903</v>
      </c>
      <c r="O30" s="147" t="s">
        <v>914</v>
      </c>
      <c r="P30" s="147" t="s">
        <v>919</v>
      </c>
      <c r="Q30" s="147" t="s">
        <v>920</v>
      </c>
      <c r="R30" s="147" t="s">
        <v>957</v>
      </c>
      <c r="S30" s="147" t="s">
        <v>958</v>
      </c>
      <c r="T30" s="147" t="s">
        <v>955</v>
      </c>
      <c r="U30" s="147" t="s">
        <v>956</v>
      </c>
      <c r="V30" s="147" t="s">
        <v>953</v>
      </c>
      <c r="W30" s="147" t="s">
        <v>954</v>
      </c>
      <c r="X30" s="147" t="s">
        <v>847</v>
      </c>
      <c r="Y30" s="147" t="s">
        <v>846</v>
      </c>
      <c r="Z30" s="147" t="s">
        <v>848</v>
      </c>
      <c r="AA30" s="148" t="s">
        <v>849</v>
      </c>
      <c r="AB30" s="149" t="s">
        <v>878</v>
      </c>
    </row>
    <row r="31" spans="1:28" s="28" customFormat="1" ht="10.199999999999999" x14ac:dyDescent="0.3">
      <c r="A31" s="158"/>
      <c r="B31" s="159"/>
      <c r="C31" s="159"/>
      <c r="D31" s="159"/>
      <c r="E31" s="159"/>
      <c r="F31" s="159"/>
      <c r="G31" s="159"/>
      <c r="H31" s="159"/>
      <c r="I31" s="159"/>
      <c r="J31" s="159"/>
      <c r="K31" s="159"/>
      <c r="L31" s="160"/>
      <c r="M31" s="159"/>
      <c r="N31" s="161"/>
      <c r="O31" s="162"/>
      <c r="P31" s="161"/>
      <c r="Q31" s="162"/>
      <c r="R31" s="161"/>
      <c r="S31" s="162"/>
      <c r="T31" s="161"/>
      <c r="U31" s="162"/>
      <c r="V31" s="161"/>
      <c r="W31" s="162"/>
      <c r="X31" s="159"/>
      <c r="Y31" s="161"/>
      <c r="Z31" s="159"/>
      <c r="AA31" s="163"/>
      <c r="AB31" s="159"/>
    </row>
    <row r="32" spans="1:28" s="28" customFormat="1" ht="10.199999999999999" x14ac:dyDescent="0.3">
      <c r="A32" s="164"/>
      <c r="B32" s="165"/>
      <c r="C32" s="165"/>
      <c r="D32" s="165"/>
      <c r="E32" s="165"/>
      <c r="F32" s="165"/>
      <c r="G32" s="165"/>
      <c r="H32" s="165"/>
      <c r="I32" s="165"/>
      <c r="J32" s="165"/>
      <c r="K32" s="165"/>
      <c r="L32" s="166"/>
      <c r="M32" s="165"/>
      <c r="N32" s="167"/>
      <c r="O32" s="168"/>
      <c r="P32" s="167"/>
      <c r="Q32" s="168"/>
      <c r="R32" s="167"/>
      <c r="S32" s="168"/>
      <c r="T32" s="167"/>
      <c r="U32" s="168"/>
      <c r="V32" s="167"/>
      <c r="W32" s="168"/>
      <c r="X32" s="165"/>
      <c r="Y32" s="167"/>
      <c r="Z32" s="165"/>
      <c r="AA32" s="169"/>
      <c r="AB32" s="165"/>
    </row>
    <row r="33" spans="1:28" s="28" customFormat="1" ht="10.199999999999999" x14ac:dyDescent="0.3">
      <c r="A33" s="153"/>
      <c r="B33" s="152"/>
      <c r="C33" s="152"/>
      <c r="D33" s="152"/>
      <c r="E33" s="152"/>
      <c r="F33" s="152"/>
      <c r="G33" s="152"/>
      <c r="H33" s="152"/>
      <c r="I33" s="152"/>
      <c r="J33" s="152"/>
      <c r="K33" s="152"/>
      <c r="L33" s="154"/>
      <c r="M33" s="152"/>
      <c r="N33" s="155"/>
      <c r="O33" s="156"/>
      <c r="P33" s="155"/>
      <c r="Q33" s="156"/>
      <c r="R33" s="155"/>
      <c r="S33" s="156"/>
      <c r="T33" s="155"/>
      <c r="U33" s="156"/>
      <c r="V33" s="155"/>
      <c r="W33" s="156"/>
      <c r="X33" s="152"/>
      <c r="Y33" s="155"/>
      <c r="Z33" s="152"/>
      <c r="AA33" s="157"/>
      <c r="AB33" s="152"/>
    </row>
    <row r="34" spans="1:28" s="28" customFormat="1" ht="10.199999999999999" x14ac:dyDescent="0.3">
      <c r="A34" s="164"/>
      <c r="B34" s="165"/>
      <c r="C34" s="165"/>
      <c r="D34" s="165"/>
      <c r="E34" s="165"/>
      <c r="F34" s="165"/>
      <c r="G34" s="165"/>
      <c r="H34" s="165"/>
      <c r="I34" s="165"/>
      <c r="J34" s="165"/>
      <c r="K34" s="165"/>
      <c r="L34" s="166"/>
      <c r="M34" s="165"/>
      <c r="N34" s="167"/>
      <c r="O34" s="168"/>
      <c r="P34" s="167"/>
      <c r="Q34" s="168"/>
      <c r="R34" s="167"/>
      <c r="S34" s="168"/>
      <c r="T34" s="167"/>
      <c r="U34" s="168"/>
      <c r="V34" s="167"/>
      <c r="W34" s="168"/>
      <c r="X34" s="165"/>
      <c r="Y34" s="167"/>
      <c r="Z34" s="165"/>
      <c r="AA34" s="169"/>
      <c r="AB34" s="165"/>
    </row>
    <row r="35" spans="1:28" s="28" customFormat="1" ht="10.199999999999999" x14ac:dyDescent="0.3">
      <c r="A35" s="153"/>
      <c r="B35" s="152"/>
      <c r="C35" s="152"/>
      <c r="D35" s="152"/>
      <c r="E35" s="152"/>
      <c r="F35" s="152"/>
      <c r="G35" s="152"/>
      <c r="H35" s="152"/>
      <c r="I35" s="152"/>
      <c r="J35" s="152"/>
      <c r="K35" s="152"/>
      <c r="L35" s="154"/>
      <c r="M35" s="152"/>
      <c r="N35" s="155"/>
      <c r="O35" s="156"/>
      <c r="P35" s="155"/>
      <c r="Q35" s="156"/>
      <c r="R35" s="155"/>
      <c r="S35" s="156"/>
      <c r="T35" s="155"/>
      <c r="U35" s="156"/>
      <c r="V35" s="155"/>
      <c r="W35" s="156"/>
      <c r="X35" s="152"/>
      <c r="Y35" s="155"/>
      <c r="Z35" s="152"/>
      <c r="AA35" s="157"/>
      <c r="AB35" s="152"/>
    </row>
    <row r="36" spans="1:28" s="28" customFormat="1" ht="10.199999999999999" x14ac:dyDescent="0.3">
      <c r="A36" s="164"/>
      <c r="B36" s="165"/>
      <c r="C36" s="165"/>
      <c r="D36" s="165"/>
      <c r="E36" s="165"/>
      <c r="F36" s="165"/>
      <c r="G36" s="165"/>
      <c r="H36" s="165"/>
      <c r="I36" s="165"/>
      <c r="J36" s="165"/>
      <c r="K36" s="165"/>
      <c r="L36" s="166"/>
      <c r="M36" s="165"/>
      <c r="N36" s="167"/>
      <c r="O36" s="168"/>
      <c r="P36" s="167"/>
      <c r="Q36" s="168"/>
      <c r="R36" s="167"/>
      <c r="S36" s="168"/>
      <c r="T36" s="167"/>
      <c r="U36" s="168"/>
      <c r="V36" s="167"/>
      <c r="W36" s="168"/>
      <c r="X36" s="165"/>
      <c r="Y36" s="167"/>
      <c r="Z36" s="165"/>
      <c r="AA36" s="169"/>
      <c r="AB36" s="165"/>
    </row>
    <row r="37" spans="1:28" s="28" customFormat="1" ht="10.199999999999999" x14ac:dyDescent="0.3">
      <c r="A37" s="153"/>
      <c r="B37" s="152"/>
      <c r="C37" s="152"/>
      <c r="D37" s="152"/>
      <c r="E37" s="152"/>
      <c r="F37" s="152"/>
      <c r="G37" s="152"/>
      <c r="H37" s="152"/>
      <c r="I37" s="152"/>
      <c r="J37" s="152"/>
      <c r="K37" s="152"/>
      <c r="L37" s="154"/>
      <c r="M37" s="152"/>
      <c r="N37" s="155"/>
      <c r="O37" s="156"/>
      <c r="P37" s="155"/>
      <c r="Q37" s="156"/>
      <c r="R37" s="155"/>
      <c r="S37" s="156"/>
      <c r="T37" s="155"/>
      <c r="U37" s="156"/>
      <c r="V37" s="155"/>
      <c r="W37" s="156"/>
      <c r="X37" s="152"/>
      <c r="Y37" s="155"/>
      <c r="Z37" s="152"/>
      <c r="AA37" s="157"/>
      <c r="AB37" s="152"/>
    </row>
    <row r="38" spans="1:28" s="28" customFormat="1" ht="10.199999999999999" x14ac:dyDescent="0.3">
      <c r="A38" s="164"/>
      <c r="B38" s="165"/>
      <c r="C38" s="165"/>
      <c r="D38" s="165"/>
      <c r="E38" s="165"/>
      <c r="F38" s="165"/>
      <c r="G38" s="165"/>
      <c r="H38" s="165"/>
      <c r="I38" s="165"/>
      <c r="J38" s="165"/>
      <c r="K38" s="165"/>
      <c r="L38" s="166"/>
      <c r="M38" s="165"/>
      <c r="N38" s="167"/>
      <c r="O38" s="168"/>
      <c r="P38" s="167"/>
      <c r="Q38" s="168"/>
      <c r="R38" s="167"/>
      <c r="S38" s="168"/>
      <c r="T38" s="167"/>
      <c r="U38" s="168"/>
      <c r="V38" s="167"/>
      <c r="W38" s="168"/>
      <c r="X38" s="165"/>
      <c r="Y38" s="167"/>
      <c r="Z38" s="165"/>
      <c r="AA38" s="169"/>
      <c r="AB38" s="165"/>
    </row>
    <row r="39" spans="1:28" s="28" customFormat="1" ht="10.199999999999999" x14ac:dyDescent="0.3">
      <c r="A39" s="153"/>
      <c r="B39" s="152"/>
      <c r="C39" s="152"/>
      <c r="D39" s="152"/>
      <c r="E39" s="152"/>
      <c r="F39" s="152"/>
      <c r="G39" s="152"/>
      <c r="H39" s="152"/>
      <c r="I39" s="152"/>
      <c r="J39" s="152"/>
      <c r="K39" s="152"/>
      <c r="L39" s="154"/>
      <c r="M39" s="152"/>
      <c r="N39" s="155"/>
      <c r="O39" s="156"/>
      <c r="P39" s="155"/>
      <c r="Q39" s="156"/>
      <c r="R39" s="155"/>
      <c r="S39" s="156"/>
      <c r="T39" s="155"/>
      <c r="U39" s="156"/>
      <c r="V39" s="155"/>
      <c r="W39" s="156"/>
      <c r="X39" s="152"/>
      <c r="Y39" s="155"/>
      <c r="Z39" s="152"/>
      <c r="AA39" s="157"/>
      <c r="AB39" s="152"/>
    </row>
    <row r="40" spans="1:28" s="29" customFormat="1" ht="10.199999999999999" x14ac:dyDescent="0.3">
      <c r="A40" s="164"/>
      <c r="B40" s="165"/>
      <c r="C40" s="165"/>
      <c r="D40" s="165"/>
      <c r="E40" s="165"/>
      <c r="F40" s="165"/>
      <c r="G40" s="165"/>
      <c r="H40" s="165"/>
      <c r="I40" s="165"/>
      <c r="J40" s="165"/>
      <c r="K40" s="165"/>
      <c r="L40" s="166"/>
      <c r="M40" s="165"/>
      <c r="N40" s="167"/>
      <c r="O40" s="168"/>
      <c r="P40" s="167"/>
      <c r="Q40" s="168"/>
      <c r="R40" s="167"/>
      <c r="S40" s="168"/>
      <c r="T40" s="167"/>
      <c r="U40" s="168"/>
      <c r="V40" s="167"/>
      <c r="W40" s="168"/>
      <c r="X40" s="165"/>
      <c r="Y40" s="167"/>
      <c r="Z40" s="165"/>
      <c r="AA40" s="169"/>
      <c r="AB40" s="165"/>
    </row>
    <row r="41" spans="1:28" s="29" customFormat="1" ht="10.199999999999999" x14ac:dyDescent="0.3">
      <c r="A41" s="153"/>
      <c r="B41" s="152"/>
      <c r="C41" s="152"/>
      <c r="D41" s="152"/>
      <c r="E41" s="152"/>
      <c r="F41" s="152"/>
      <c r="G41" s="152"/>
      <c r="H41" s="152"/>
      <c r="I41" s="152"/>
      <c r="J41" s="152"/>
      <c r="K41" s="152"/>
      <c r="L41" s="154"/>
      <c r="M41" s="152"/>
      <c r="N41" s="155"/>
      <c r="O41" s="156"/>
      <c r="P41" s="155"/>
      <c r="Q41" s="156"/>
      <c r="R41" s="155"/>
      <c r="S41" s="156"/>
      <c r="T41" s="155"/>
      <c r="U41" s="156"/>
      <c r="V41" s="155"/>
      <c r="W41" s="156"/>
      <c r="X41" s="152"/>
      <c r="Y41" s="155"/>
      <c r="Z41" s="152"/>
      <c r="AA41" s="157"/>
      <c r="AB41" s="152"/>
    </row>
    <row r="42" spans="1:28" s="29" customFormat="1" ht="10.199999999999999" x14ac:dyDescent="0.3">
      <c r="A42" s="164"/>
      <c r="B42" s="165"/>
      <c r="C42" s="165"/>
      <c r="D42" s="165"/>
      <c r="E42" s="165"/>
      <c r="F42" s="165"/>
      <c r="G42" s="165"/>
      <c r="H42" s="165"/>
      <c r="I42" s="165"/>
      <c r="J42" s="165"/>
      <c r="K42" s="165"/>
      <c r="L42" s="166"/>
      <c r="M42" s="165"/>
      <c r="N42" s="167"/>
      <c r="O42" s="168"/>
      <c r="P42" s="167"/>
      <c r="Q42" s="168"/>
      <c r="R42" s="167"/>
      <c r="S42" s="168"/>
      <c r="T42" s="167"/>
      <c r="U42" s="168"/>
      <c r="V42" s="167"/>
      <c r="W42" s="168"/>
      <c r="X42" s="165"/>
      <c r="Y42" s="167"/>
      <c r="Z42" s="165"/>
      <c r="AA42" s="169"/>
      <c r="AB42" s="165"/>
    </row>
    <row r="43" spans="1:28" s="29" customFormat="1" ht="10.199999999999999" x14ac:dyDescent="0.3">
      <c r="A43" s="153"/>
      <c r="B43" s="152"/>
      <c r="C43" s="152"/>
      <c r="D43" s="152"/>
      <c r="E43" s="152"/>
      <c r="F43" s="152"/>
      <c r="G43" s="152"/>
      <c r="H43" s="152"/>
      <c r="I43" s="152"/>
      <c r="J43" s="152"/>
      <c r="K43" s="152"/>
      <c r="L43" s="154"/>
      <c r="M43" s="152"/>
      <c r="N43" s="155"/>
      <c r="O43" s="156"/>
      <c r="P43" s="155"/>
      <c r="Q43" s="156"/>
      <c r="R43" s="155"/>
      <c r="S43" s="156"/>
      <c r="T43" s="155"/>
      <c r="U43" s="156"/>
      <c r="V43" s="155"/>
      <c r="W43" s="156"/>
      <c r="X43" s="152"/>
      <c r="Y43" s="155"/>
      <c r="Z43" s="152"/>
      <c r="AA43" s="157"/>
      <c r="AB43" s="152"/>
    </row>
    <row r="44" spans="1:28" s="29" customFormat="1" ht="10.199999999999999" x14ac:dyDescent="0.3">
      <c r="A44" s="164"/>
      <c r="B44" s="165"/>
      <c r="C44" s="165"/>
      <c r="D44" s="165"/>
      <c r="E44" s="165"/>
      <c r="F44" s="165"/>
      <c r="G44" s="165"/>
      <c r="H44" s="165"/>
      <c r="I44" s="165"/>
      <c r="J44" s="165"/>
      <c r="K44" s="165"/>
      <c r="L44" s="166"/>
      <c r="M44" s="165"/>
      <c r="N44" s="167"/>
      <c r="O44" s="168"/>
      <c r="P44" s="167"/>
      <c r="Q44" s="168"/>
      <c r="R44" s="167"/>
      <c r="S44" s="168"/>
      <c r="T44" s="167"/>
      <c r="U44" s="168"/>
      <c r="V44" s="167"/>
      <c r="W44" s="168"/>
      <c r="X44" s="165"/>
      <c r="Y44" s="167"/>
      <c r="Z44" s="165"/>
      <c r="AA44" s="169"/>
      <c r="AB44" s="165"/>
    </row>
    <row r="45" spans="1:28" s="29" customFormat="1" ht="10.199999999999999" x14ac:dyDescent="0.3">
      <c r="A45" s="153"/>
      <c r="B45" s="152"/>
      <c r="C45" s="152"/>
      <c r="D45" s="152"/>
      <c r="E45" s="152"/>
      <c r="F45" s="152"/>
      <c r="G45" s="152"/>
      <c r="H45" s="152"/>
      <c r="I45" s="152"/>
      <c r="J45" s="152"/>
      <c r="K45" s="152"/>
      <c r="L45" s="154"/>
      <c r="M45" s="152"/>
      <c r="N45" s="155"/>
      <c r="O45" s="156"/>
      <c r="P45" s="155"/>
      <c r="Q45" s="156"/>
      <c r="R45" s="155"/>
      <c r="S45" s="156"/>
      <c r="T45" s="155"/>
      <c r="U45" s="156"/>
      <c r="V45" s="155"/>
      <c r="W45" s="156"/>
      <c r="X45" s="152"/>
      <c r="Y45" s="155"/>
      <c r="Z45" s="152"/>
      <c r="AA45" s="157"/>
      <c r="AB45" s="152"/>
    </row>
    <row r="46" spans="1:28" s="29" customFormat="1" ht="10.199999999999999" x14ac:dyDescent="0.3">
      <c r="A46" s="164"/>
      <c r="B46" s="165"/>
      <c r="C46" s="165"/>
      <c r="D46" s="165"/>
      <c r="E46" s="165"/>
      <c r="F46" s="165"/>
      <c r="G46" s="165"/>
      <c r="H46" s="165"/>
      <c r="I46" s="165"/>
      <c r="J46" s="165"/>
      <c r="K46" s="165"/>
      <c r="L46" s="166"/>
      <c r="M46" s="165"/>
      <c r="N46" s="167"/>
      <c r="O46" s="168"/>
      <c r="P46" s="167"/>
      <c r="Q46" s="168"/>
      <c r="R46" s="167"/>
      <c r="S46" s="168"/>
      <c r="T46" s="167"/>
      <c r="U46" s="168"/>
      <c r="V46" s="167"/>
      <c r="W46" s="168"/>
      <c r="X46" s="165"/>
      <c r="Y46" s="167"/>
      <c r="Z46" s="165"/>
      <c r="AA46" s="169"/>
      <c r="AB46" s="165"/>
    </row>
    <row r="47" spans="1:28" s="29" customFormat="1" ht="10.199999999999999" x14ac:dyDescent="0.3">
      <c r="A47" s="153"/>
      <c r="B47" s="152"/>
      <c r="C47" s="152"/>
      <c r="D47" s="152"/>
      <c r="E47" s="152"/>
      <c r="F47" s="152"/>
      <c r="G47" s="152"/>
      <c r="H47" s="152"/>
      <c r="I47" s="152"/>
      <c r="J47" s="152"/>
      <c r="K47" s="152"/>
      <c r="L47" s="154"/>
      <c r="M47" s="152"/>
      <c r="N47" s="155"/>
      <c r="O47" s="156"/>
      <c r="P47" s="155"/>
      <c r="Q47" s="156"/>
      <c r="R47" s="155"/>
      <c r="S47" s="156"/>
      <c r="T47" s="155"/>
      <c r="U47" s="156"/>
      <c r="V47" s="155"/>
      <c r="W47" s="156"/>
      <c r="X47" s="152"/>
      <c r="Y47" s="155"/>
      <c r="Z47" s="152"/>
      <c r="AA47" s="157"/>
      <c r="AB47" s="152"/>
    </row>
    <row r="48" spans="1:28" s="5" customFormat="1" ht="10.199999999999999" x14ac:dyDescent="0.2">
      <c r="A48" s="170"/>
      <c r="B48" s="165"/>
      <c r="C48" s="171"/>
      <c r="D48" s="171"/>
      <c r="E48" s="171"/>
      <c r="F48" s="171"/>
      <c r="G48" s="171"/>
      <c r="H48" s="165"/>
      <c r="I48" s="165"/>
      <c r="J48" s="172"/>
      <c r="K48" s="172"/>
      <c r="L48" s="173"/>
      <c r="M48" s="174"/>
      <c r="N48" s="175"/>
      <c r="O48" s="176"/>
      <c r="P48" s="175"/>
      <c r="Q48" s="176"/>
      <c r="R48" s="175"/>
      <c r="S48" s="176"/>
      <c r="T48" s="175"/>
      <c r="U48" s="176"/>
      <c r="V48" s="175"/>
      <c r="W48" s="176"/>
      <c r="X48" s="174"/>
      <c r="Y48" s="175"/>
      <c r="Z48" s="172"/>
      <c r="AA48" s="177"/>
      <c r="AB48" s="172"/>
    </row>
    <row r="49" spans="1:29" s="5" customFormat="1" ht="10.199999999999999" x14ac:dyDescent="0.2">
      <c r="A49" s="178"/>
      <c r="B49" s="152"/>
      <c r="C49" s="179"/>
      <c r="D49" s="179"/>
      <c r="E49" s="179"/>
      <c r="F49" s="179"/>
      <c r="G49" s="179"/>
      <c r="H49" s="152"/>
      <c r="I49" s="152"/>
      <c r="J49" s="180"/>
      <c r="K49" s="180"/>
      <c r="L49" s="181"/>
      <c r="M49" s="182"/>
      <c r="N49" s="183"/>
      <c r="O49" s="184"/>
      <c r="P49" s="183"/>
      <c r="Q49" s="184"/>
      <c r="R49" s="183"/>
      <c r="S49" s="184"/>
      <c r="T49" s="183"/>
      <c r="U49" s="184"/>
      <c r="V49" s="183"/>
      <c r="W49" s="184"/>
      <c r="X49" s="182"/>
      <c r="Y49" s="183"/>
      <c r="Z49" s="180"/>
      <c r="AA49" s="185"/>
      <c r="AB49" s="180"/>
    </row>
    <row r="50" spans="1:29" s="29" customFormat="1" ht="10.199999999999999" x14ac:dyDescent="0.3">
      <c r="A50" s="164"/>
      <c r="B50" s="165"/>
      <c r="C50" s="165"/>
      <c r="D50" s="165"/>
      <c r="E50" s="165"/>
      <c r="F50" s="165"/>
      <c r="G50" s="165"/>
      <c r="H50" s="165"/>
      <c r="I50" s="165"/>
      <c r="J50" s="165"/>
      <c r="K50" s="165"/>
      <c r="L50" s="166"/>
      <c r="M50" s="165"/>
      <c r="N50" s="167"/>
      <c r="O50" s="168"/>
      <c r="P50" s="167"/>
      <c r="Q50" s="168"/>
      <c r="R50" s="167"/>
      <c r="S50" s="168"/>
      <c r="T50" s="167"/>
      <c r="U50" s="168"/>
      <c r="V50" s="167"/>
      <c r="W50" s="168"/>
      <c r="X50" s="165"/>
      <c r="Y50" s="167"/>
      <c r="Z50" s="165"/>
      <c r="AA50" s="169"/>
      <c r="AB50" s="165"/>
    </row>
    <row r="51" spans="1:29" s="29" customFormat="1" ht="10.199999999999999" x14ac:dyDescent="0.3">
      <c r="A51" s="153"/>
      <c r="B51" s="152"/>
      <c r="C51" s="152"/>
      <c r="D51" s="152"/>
      <c r="E51" s="152"/>
      <c r="F51" s="152"/>
      <c r="G51" s="152"/>
      <c r="H51" s="152"/>
      <c r="I51" s="152"/>
      <c r="J51" s="152"/>
      <c r="K51" s="152"/>
      <c r="L51" s="154"/>
      <c r="M51" s="152"/>
      <c r="N51" s="155"/>
      <c r="O51" s="156"/>
      <c r="P51" s="155"/>
      <c r="Q51" s="156"/>
      <c r="R51" s="155"/>
      <c r="S51" s="156"/>
      <c r="T51" s="155"/>
      <c r="U51" s="156"/>
      <c r="V51" s="155"/>
      <c r="W51" s="156"/>
      <c r="X51" s="152"/>
      <c r="Y51" s="155"/>
      <c r="Z51" s="152"/>
      <c r="AA51" s="157"/>
      <c r="AB51" s="152"/>
    </row>
    <row r="52" spans="1:29" s="29" customFormat="1" ht="10.199999999999999" x14ac:dyDescent="0.3">
      <c r="A52" s="164"/>
      <c r="B52" s="165"/>
      <c r="C52" s="165"/>
      <c r="D52" s="165"/>
      <c r="E52" s="165"/>
      <c r="F52" s="165"/>
      <c r="G52" s="165"/>
      <c r="H52" s="165"/>
      <c r="I52" s="165"/>
      <c r="J52" s="165"/>
      <c r="K52" s="165"/>
      <c r="L52" s="166"/>
      <c r="M52" s="165"/>
      <c r="N52" s="167"/>
      <c r="O52" s="168"/>
      <c r="P52" s="167"/>
      <c r="Q52" s="168"/>
      <c r="R52" s="167"/>
      <c r="S52" s="168"/>
      <c r="T52" s="167"/>
      <c r="U52" s="168"/>
      <c r="V52" s="167"/>
      <c r="W52" s="168"/>
      <c r="X52" s="165"/>
      <c r="Y52" s="167"/>
      <c r="Z52" s="165"/>
      <c r="AA52" s="169"/>
      <c r="AB52" s="165"/>
    </row>
    <row r="53" spans="1:29" s="29" customFormat="1" ht="10.199999999999999" x14ac:dyDescent="0.3">
      <c r="A53" s="153"/>
      <c r="B53" s="152"/>
      <c r="C53" s="152"/>
      <c r="D53" s="152"/>
      <c r="E53" s="152"/>
      <c r="F53" s="152"/>
      <c r="G53" s="152"/>
      <c r="H53" s="152"/>
      <c r="I53" s="152"/>
      <c r="J53" s="152"/>
      <c r="K53" s="152"/>
      <c r="L53" s="154"/>
      <c r="M53" s="152"/>
      <c r="N53" s="155"/>
      <c r="O53" s="156"/>
      <c r="P53" s="155"/>
      <c r="Q53" s="156"/>
      <c r="R53" s="155"/>
      <c r="S53" s="156"/>
      <c r="T53" s="155"/>
      <c r="U53" s="156"/>
      <c r="V53" s="155"/>
      <c r="W53" s="156"/>
      <c r="X53" s="152"/>
      <c r="Y53" s="155"/>
      <c r="Z53" s="152"/>
      <c r="AA53" s="157"/>
      <c r="AB53" s="152"/>
    </row>
    <row r="54" spans="1:29" s="29" customFormat="1" ht="10.199999999999999" x14ac:dyDescent="0.3">
      <c r="A54" s="164"/>
      <c r="B54" s="165"/>
      <c r="C54" s="165"/>
      <c r="D54" s="165"/>
      <c r="E54" s="165"/>
      <c r="F54" s="165"/>
      <c r="G54" s="165"/>
      <c r="H54" s="165"/>
      <c r="I54" s="165"/>
      <c r="J54" s="165"/>
      <c r="K54" s="165"/>
      <c r="L54" s="166"/>
      <c r="M54" s="165"/>
      <c r="N54" s="167"/>
      <c r="O54" s="168"/>
      <c r="P54" s="167"/>
      <c r="Q54" s="168"/>
      <c r="R54" s="167"/>
      <c r="S54" s="168"/>
      <c r="T54" s="167"/>
      <c r="U54" s="168"/>
      <c r="V54" s="167"/>
      <c r="W54" s="168"/>
      <c r="X54" s="165"/>
      <c r="Y54" s="167"/>
      <c r="Z54" s="165"/>
      <c r="AA54" s="169"/>
      <c r="AB54" s="165"/>
    </row>
    <row r="55" spans="1:29" s="29" customFormat="1" ht="10.199999999999999" x14ac:dyDescent="0.3">
      <c r="A55" s="153"/>
      <c r="B55" s="152"/>
      <c r="C55" s="152"/>
      <c r="D55" s="152"/>
      <c r="E55" s="152"/>
      <c r="F55" s="152"/>
      <c r="G55" s="152"/>
      <c r="H55" s="152"/>
      <c r="I55" s="152"/>
      <c r="J55" s="152"/>
      <c r="K55" s="152"/>
      <c r="L55" s="154"/>
      <c r="M55" s="152"/>
      <c r="N55" s="155"/>
      <c r="O55" s="156"/>
      <c r="P55" s="155"/>
      <c r="Q55" s="156"/>
      <c r="R55" s="155"/>
      <c r="S55" s="156"/>
      <c r="T55" s="155"/>
      <c r="U55" s="156"/>
      <c r="V55" s="155"/>
      <c r="W55" s="156"/>
      <c r="X55" s="152"/>
      <c r="Y55" s="155"/>
      <c r="Z55" s="152"/>
      <c r="AA55" s="157"/>
      <c r="AB55" s="152"/>
    </row>
    <row r="56" spans="1:29" s="29" customFormat="1" ht="10.199999999999999" x14ac:dyDescent="0.3">
      <c r="A56" s="164"/>
      <c r="B56" s="165"/>
      <c r="C56" s="165"/>
      <c r="D56" s="165"/>
      <c r="E56" s="165"/>
      <c r="F56" s="165"/>
      <c r="G56" s="165"/>
      <c r="H56" s="165"/>
      <c r="I56" s="165"/>
      <c r="J56" s="165"/>
      <c r="K56" s="165"/>
      <c r="L56" s="166"/>
      <c r="M56" s="165"/>
      <c r="N56" s="167"/>
      <c r="O56" s="168"/>
      <c r="P56" s="167"/>
      <c r="Q56" s="168"/>
      <c r="R56" s="167"/>
      <c r="S56" s="168"/>
      <c r="T56" s="167"/>
      <c r="U56" s="168"/>
      <c r="V56" s="167"/>
      <c r="W56" s="168"/>
      <c r="X56" s="165"/>
      <c r="Y56" s="167"/>
      <c r="Z56" s="165"/>
      <c r="AA56" s="169"/>
      <c r="AB56" s="165"/>
    </row>
    <row r="57" spans="1:29" s="29" customFormat="1" ht="10.199999999999999" x14ac:dyDescent="0.3">
      <c r="A57" s="153"/>
      <c r="B57" s="152"/>
      <c r="C57" s="152"/>
      <c r="D57" s="152"/>
      <c r="E57" s="152"/>
      <c r="F57" s="152"/>
      <c r="G57" s="152"/>
      <c r="H57" s="152"/>
      <c r="I57" s="152"/>
      <c r="J57" s="152"/>
      <c r="K57" s="152"/>
      <c r="L57" s="154"/>
      <c r="M57" s="152"/>
      <c r="N57" s="155"/>
      <c r="O57" s="156"/>
      <c r="P57" s="155"/>
      <c r="Q57" s="156"/>
      <c r="R57" s="155"/>
      <c r="S57" s="156"/>
      <c r="T57" s="155"/>
      <c r="U57" s="156"/>
      <c r="V57" s="155"/>
      <c r="W57" s="156"/>
      <c r="X57" s="152"/>
      <c r="Y57" s="155"/>
      <c r="Z57" s="152"/>
      <c r="AA57" s="157"/>
      <c r="AB57" s="152"/>
    </row>
    <row r="58" spans="1:29" s="29" customFormat="1" ht="10.199999999999999" x14ac:dyDescent="0.3">
      <c r="Y58" s="28"/>
      <c r="Z58" s="28"/>
      <c r="AA58" s="28"/>
      <c r="AB58" s="28"/>
      <c r="AC58" s="28"/>
    </row>
  </sheetData>
  <sheetProtection algorithmName="SHA-512" hashValue="uXmtvOkoaulmgKu/s9Nu+QzwVIXU5u/ucE5R+SQx991cb7dqgRgKzKN3tIEqHm4K7DXJI7lvyg7WZfuC4OcVsQ==" saltValue="u2USgIpcamHIZ1k4HuBsfw==" spinCount="100000" sheet="1" scenarios="1" formatCells="0" formatRows="0" insertRows="0" deleteRows="0" autoFilter="0"/>
  <dataConsolidate/>
  <mergeCells count="42">
    <mergeCell ref="A26:M26"/>
    <mergeCell ref="G11:H11"/>
    <mergeCell ref="J11:K11"/>
    <mergeCell ref="A27:G27"/>
    <mergeCell ref="H27:I27"/>
    <mergeCell ref="J27:M27"/>
    <mergeCell ref="A16:E16"/>
    <mergeCell ref="J17:O23"/>
    <mergeCell ref="J15:N15"/>
    <mergeCell ref="E14:F14"/>
    <mergeCell ref="N26:AB26"/>
    <mergeCell ref="N27:W27"/>
    <mergeCell ref="D18:E18"/>
    <mergeCell ref="A25:E25"/>
    <mergeCell ref="B14:C14"/>
    <mergeCell ref="O4:O7"/>
    <mergeCell ref="O8:O15"/>
    <mergeCell ref="G14:H14"/>
    <mergeCell ref="B12:E12"/>
    <mergeCell ref="J12:K12"/>
    <mergeCell ref="L12:M12"/>
    <mergeCell ref="B13:E13"/>
    <mergeCell ref="J14:L14"/>
    <mergeCell ref="B8:C8"/>
    <mergeCell ref="A10:H10"/>
    <mergeCell ref="J10:N10"/>
    <mergeCell ref="B11:D11"/>
    <mergeCell ref="J5:K5"/>
    <mergeCell ref="J6:K6"/>
    <mergeCell ref="L11:M11"/>
    <mergeCell ref="A1:A2"/>
    <mergeCell ref="B6:E6"/>
    <mergeCell ref="B7:E7"/>
    <mergeCell ref="L6:M6"/>
    <mergeCell ref="A4:H4"/>
    <mergeCell ref="B5:D5"/>
    <mergeCell ref="B1:M1"/>
    <mergeCell ref="B2:M2"/>
    <mergeCell ref="G5:H5"/>
    <mergeCell ref="L5:M5"/>
    <mergeCell ref="J4:N4"/>
    <mergeCell ref="J7:L7"/>
  </mergeCells>
  <dataValidations count="11">
    <dataValidation type="list" allowBlank="1" showInputMessage="1" showErrorMessage="1" sqref="O2:W2" xr:uid="{00000000-0002-0000-0000-000000000000}">
      <formula1>"ENG,FRA,ESP"</formula1>
    </dataValidation>
    <dataValidation type="list" allowBlank="1" showInputMessage="1" showErrorMessage="1" sqref="B8:C8 B14" xr:uid="{00000000-0002-0000-0000-000001000000}">
      <formula1>FlagName</formula1>
    </dataValidation>
    <dataValidation type="list" allowBlank="1" showInputMessage="1" showErrorMessage="1" sqref="J31:J57" xr:uid="{00000000-0002-0000-0000-000004000000}">
      <formula1>IsscfvCod</formula1>
    </dataValidation>
    <dataValidation type="list" allowBlank="1" showInputMessage="1" showErrorMessage="1" sqref="K31:K57" xr:uid="{00000000-0002-0000-0000-000005000000}">
      <formula1>IsscfgCod</formula1>
    </dataValidation>
    <dataValidation type="list" allowBlank="1" showInputMessage="1" showErrorMessage="1" sqref="M31:M57" xr:uid="{00000000-0002-0000-0000-000006000000}">
      <formula1>LenTypeCod</formula1>
    </dataValidation>
    <dataValidation type="list" allowBlank="1" showInputMessage="1" showErrorMessage="1" sqref="F31:G57" xr:uid="{00000000-0002-0000-0000-000007000000}">
      <formula1>FlagCod</formula1>
    </dataValidation>
    <dataValidation type="decimal" allowBlank="1" showInputMessage="1" showErrorMessage="1" sqref="L31:L57" xr:uid="{00000000-0002-0000-0000-00000B000000}">
      <formula1>0</formula1>
      <formula2>400</formula2>
    </dataValidation>
    <dataValidation type="list" allowBlank="1" showInputMessage="1" showErrorMessage="1" sqref="N31:N57 P31:P57 R31:R57 T31:T57 V31:V57" xr:uid="{00000000-0002-0000-0000-00000D000000}">
      <formula1>FisheryCode</formula1>
    </dataValidation>
    <dataValidation type="textLength" allowBlank="1" showInputMessage="1" showErrorMessage="1" sqref="A31:A57" xr:uid="{00000000-0002-0000-0000-000012000000}">
      <formula1>13</formula1>
      <formula2>13</formula2>
    </dataValidation>
    <dataValidation type="list" allowBlank="1" showInputMessage="1" showErrorMessage="1" sqref="X31:AB57" xr:uid="{D504B679-DEC3-41A9-97AB-9EF21F35BADB}">
      <formula1>"Yes,No"</formula1>
    </dataValidation>
    <dataValidation type="date" operator="greaterThan" allowBlank="1" showInputMessage="1" showErrorMessage="1" sqref="D18:E18" xr:uid="{9C582189-8F12-4011-ACE4-91880AFA925C}">
      <formula1>B18</formula1>
    </dataValidation>
  </dataValidations>
  <hyperlinks>
    <hyperlink ref="F28" location="FlagCod" display="FlagCod" xr:uid="{00000000-0004-0000-0000-000000000000}"/>
    <hyperlink ref="G28" location="FlagCod" display="FlagCod" xr:uid="{00000000-0004-0000-0000-000001000000}"/>
    <hyperlink ref="J28" location="IsscfvCod" display="IsscfvCod" xr:uid="{00000000-0004-0000-0000-000002000000}"/>
    <hyperlink ref="K28" location="IsscfgCod" display="IsscfgCod" xr:uid="{00000000-0004-0000-0000-000003000000}"/>
    <hyperlink ref="M28" location="LenTypeCod" display="LenTypeCod" xr:uid="{00000000-0004-0000-0000-000005000000}"/>
    <hyperlink ref="A8" location="FlagName" display="FlagName" xr:uid="{D49EBA4D-B34C-47A7-9AE3-2AA9785470A9}"/>
    <hyperlink ref="A14" location="FlagName" display="FlagName" xr:uid="{6135132A-141D-4F9A-B9AD-AE9BCDBE5EEA}"/>
    <hyperlink ref="N28" location="FisheryCode" display="FisheryCode" xr:uid="{3DDD69D6-A5BB-4CAC-90FA-850A6824039D}"/>
    <hyperlink ref="P28" location="FisheryCode" display="FisheryCode" xr:uid="{93044340-1493-4FB8-804C-E106FC141B76}"/>
    <hyperlink ref="R28" location="FisheryCode" display="FisheryCode" xr:uid="{D673BCC9-851E-4E2F-A967-193B87B0E5EB}"/>
    <hyperlink ref="T28" location="FisheryCode" display="FisheryCode" xr:uid="{E2A508F3-0A20-4DBB-B855-311515E74564}"/>
    <hyperlink ref="V28" location="FisheryCode" display="FisheryCode" xr:uid="{F7C2CB13-8650-42EA-8701-9063DF5C654D}"/>
  </hyperlinks>
  <pageMargins left="0.19685039370078741" right="0.19685039370078741" top="0.74803149606299213" bottom="0.74803149606299213" header="0.31496062992125984" footer="0.31496062992125984"/>
  <pageSetup paperSize="9" scale="90" fitToWidth="2" orientation="landscape" r:id="rId1"/>
  <ignoredErrors>
    <ignoredError sqref="N29 O29:V29" formula="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176"/>
  <sheetViews>
    <sheetView zoomScale="85" zoomScaleNormal="85" workbookViewId="0">
      <selection activeCell="B3" sqref="B3:B176"/>
    </sheetView>
  </sheetViews>
  <sheetFormatPr defaultColWidth="7.33203125" defaultRowHeight="12" x14ac:dyDescent="0.25"/>
  <cols>
    <col min="1" max="1" width="23" style="16" bestFit="1" customWidth="1"/>
    <col min="2" max="2" width="7.6640625" style="16" bestFit="1" customWidth="1"/>
    <col min="3" max="3" width="6.109375" style="16" bestFit="1" customWidth="1"/>
    <col min="4" max="4" width="9.5546875" style="16" bestFit="1" customWidth="1"/>
    <col min="5" max="5" width="4" style="16" customWidth="1"/>
    <col min="6" max="6" width="12.109375" style="16" customWidth="1"/>
    <col min="7" max="7" width="45.33203125" style="16" bestFit="1" customWidth="1"/>
    <col min="8" max="8" width="54.33203125" style="16" bestFit="1" customWidth="1"/>
    <col min="9" max="9" width="3.33203125" style="16" customWidth="1"/>
    <col min="10" max="10" width="12.44140625" style="16" customWidth="1"/>
    <col min="11" max="11" width="31.6640625" style="16" customWidth="1"/>
    <col min="12" max="16384" width="7.33203125" style="16"/>
  </cols>
  <sheetData>
    <row r="1" spans="1:11" x14ac:dyDescent="0.25">
      <c r="A1" s="247" t="s">
        <v>702</v>
      </c>
      <c r="B1" s="247"/>
      <c r="C1" s="247"/>
      <c r="D1" s="247"/>
      <c r="F1" s="247" t="s">
        <v>703</v>
      </c>
      <c r="G1" s="247"/>
      <c r="H1" s="247"/>
      <c r="J1" s="248" t="s">
        <v>881</v>
      </c>
      <c r="K1" s="248"/>
    </row>
    <row r="2" spans="1:11" x14ac:dyDescent="0.25">
      <c r="A2" s="87" t="s">
        <v>99</v>
      </c>
      <c r="B2" s="88" t="s">
        <v>706</v>
      </c>
      <c r="C2" s="88" t="s">
        <v>480</v>
      </c>
      <c r="D2" s="89" t="s">
        <v>100</v>
      </c>
      <c r="F2" s="87" t="s">
        <v>707</v>
      </c>
      <c r="G2" s="88" t="s">
        <v>7</v>
      </c>
      <c r="H2" s="89" t="s">
        <v>8</v>
      </c>
      <c r="J2" s="86" t="s">
        <v>882</v>
      </c>
      <c r="K2" s="101" t="s">
        <v>883</v>
      </c>
    </row>
    <row r="3" spans="1:11" x14ac:dyDescent="0.25">
      <c r="A3" s="189" t="s">
        <v>239</v>
      </c>
      <c r="B3" s="186" t="s">
        <v>238</v>
      </c>
      <c r="C3" s="190" t="s">
        <v>481</v>
      </c>
      <c r="D3" s="191" t="s">
        <v>240</v>
      </c>
      <c r="F3" s="95" t="s">
        <v>9</v>
      </c>
      <c r="G3" s="15" t="s">
        <v>509</v>
      </c>
      <c r="H3" s="96" t="s">
        <v>10</v>
      </c>
      <c r="J3" s="65" t="s">
        <v>884</v>
      </c>
      <c r="K3" s="68" t="s">
        <v>885</v>
      </c>
    </row>
    <row r="4" spans="1:11" x14ac:dyDescent="0.25">
      <c r="A4" s="90" t="s">
        <v>200</v>
      </c>
      <c r="B4" s="56" t="s">
        <v>199</v>
      </c>
      <c r="C4" s="192" t="s">
        <v>481</v>
      </c>
      <c r="D4" s="91" t="s">
        <v>201</v>
      </c>
      <c r="F4" s="95" t="s">
        <v>11</v>
      </c>
      <c r="G4" s="15" t="s">
        <v>12</v>
      </c>
      <c r="H4" s="96" t="s">
        <v>12</v>
      </c>
      <c r="J4" s="65" t="s">
        <v>886</v>
      </c>
      <c r="K4" s="68" t="s">
        <v>909</v>
      </c>
    </row>
    <row r="5" spans="1:11" x14ac:dyDescent="0.25">
      <c r="A5" s="90" t="s">
        <v>127</v>
      </c>
      <c r="B5" s="56" t="s">
        <v>126</v>
      </c>
      <c r="C5" s="192" t="s">
        <v>481</v>
      </c>
      <c r="D5" s="91" t="s">
        <v>128</v>
      </c>
      <c r="F5" s="95" t="s">
        <v>13</v>
      </c>
      <c r="G5" s="15" t="s">
        <v>14</v>
      </c>
      <c r="H5" s="96" t="s">
        <v>15</v>
      </c>
      <c r="J5" s="65" t="s">
        <v>887</v>
      </c>
      <c r="K5" s="68" t="s">
        <v>908</v>
      </c>
    </row>
    <row r="6" spans="1:11" x14ac:dyDescent="0.25">
      <c r="A6" s="90" t="s">
        <v>194</v>
      </c>
      <c r="B6" s="56" t="s">
        <v>193</v>
      </c>
      <c r="C6" s="192" t="s">
        <v>481</v>
      </c>
      <c r="D6" s="91" t="s">
        <v>195</v>
      </c>
      <c r="F6" s="95" t="s">
        <v>16</v>
      </c>
      <c r="G6" s="15" t="s">
        <v>17</v>
      </c>
      <c r="H6" s="96" t="s">
        <v>15</v>
      </c>
      <c r="J6" s="65" t="s">
        <v>888</v>
      </c>
      <c r="K6" s="68" t="s">
        <v>889</v>
      </c>
    </row>
    <row r="7" spans="1:11" x14ac:dyDescent="0.25">
      <c r="A7" s="90" t="s">
        <v>229</v>
      </c>
      <c r="B7" s="56" t="s">
        <v>228</v>
      </c>
      <c r="C7" s="192" t="s">
        <v>481</v>
      </c>
      <c r="D7" s="91" t="s">
        <v>230</v>
      </c>
      <c r="F7" s="95" t="s">
        <v>18</v>
      </c>
      <c r="G7" s="15" t="s">
        <v>19</v>
      </c>
      <c r="H7" s="96" t="s">
        <v>19</v>
      </c>
      <c r="J7" s="65" t="s">
        <v>890</v>
      </c>
      <c r="K7" s="68" t="s">
        <v>910</v>
      </c>
    </row>
    <row r="8" spans="1:11" x14ac:dyDescent="0.25">
      <c r="A8" s="90" t="s">
        <v>117</v>
      </c>
      <c r="B8" s="56" t="s">
        <v>116</v>
      </c>
      <c r="C8" s="192" t="s">
        <v>481</v>
      </c>
      <c r="D8" s="91" t="s">
        <v>118</v>
      </c>
      <c r="F8" s="95" t="s">
        <v>20</v>
      </c>
      <c r="G8" s="15" t="s">
        <v>21</v>
      </c>
      <c r="H8" s="96" t="s">
        <v>21</v>
      </c>
      <c r="J8" s="67" t="s">
        <v>891</v>
      </c>
      <c r="K8" s="68" t="s">
        <v>892</v>
      </c>
    </row>
    <row r="9" spans="1:11" x14ac:dyDescent="0.25">
      <c r="A9" s="90" t="s">
        <v>113</v>
      </c>
      <c r="B9" s="56" t="s">
        <v>112</v>
      </c>
      <c r="C9" s="192" t="s">
        <v>481</v>
      </c>
      <c r="D9" s="91" t="s">
        <v>114</v>
      </c>
      <c r="F9" s="95" t="s">
        <v>22</v>
      </c>
      <c r="G9" s="15" t="s">
        <v>23</v>
      </c>
      <c r="H9" s="96" t="s">
        <v>23</v>
      </c>
      <c r="J9" s="67" t="s">
        <v>893</v>
      </c>
      <c r="K9" s="68" t="s">
        <v>894</v>
      </c>
    </row>
    <row r="10" spans="1:11" x14ac:dyDescent="0.25">
      <c r="A10" s="90" t="s">
        <v>136</v>
      </c>
      <c r="B10" s="56" t="s">
        <v>135</v>
      </c>
      <c r="C10" s="192" t="s">
        <v>481</v>
      </c>
      <c r="D10" s="91" t="s">
        <v>137</v>
      </c>
      <c r="F10" s="95" t="s">
        <v>24</v>
      </c>
      <c r="G10" s="15" t="s">
        <v>25</v>
      </c>
      <c r="H10" s="96" t="s">
        <v>26</v>
      </c>
      <c r="J10" s="67" t="s">
        <v>895</v>
      </c>
      <c r="K10" s="68" t="s">
        <v>896</v>
      </c>
    </row>
    <row r="11" spans="1:11" x14ac:dyDescent="0.25">
      <c r="A11" s="90" t="s">
        <v>484</v>
      </c>
      <c r="B11" s="56" t="s">
        <v>158</v>
      </c>
      <c r="C11" s="192" t="s">
        <v>481</v>
      </c>
      <c r="D11" s="91" t="s">
        <v>159</v>
      </c>
      <c r="F11" s="95" t="s">
        <v>27</v>
      </c>
      <c r="G11" s="15" t="s">
        <v>28</v>
      </c>
      <c r="H11" s="96" t="s">
        <v>26</v>
      </c>
      <c r="J11" s="67" t="s">
        <v>897</v>
      </c>
      <c r="K11" s="68" t="s">
        <v>912</v>
      </c>
    </row>
    <row r="12" spans="1:11" x14ac:dyDescent="0.25">
      <c r="A12" s="195" t="s">
        <v>257</v>
      </c>
      <c r="B12" s="196" t="s">
        <v>256</v>
      </c>
      <c r="C12" s="192" t="s">
        <v>481</v>
      </c>
      <c r="D12" s="91" t="s">
        <v>258</v>
      </c>
      <c r="F12" s="95" t="s">
        <v>29</v>
      </c>
      <c r="G12" s="15" t="s">
        <v>30</v>
      </c>
      <c r="H12" s="96" t="s">
        <v>26</v>
      </c>
      <c r="J12" s="67" t="s">
        <v>898</v>
      </c>
      <c r="K12" s="68" t="s">
        <v>899</v>
      </c>
    </row>
    <row r="13" spans="1:11" x14ac:dyDescent="0.25">
      <c r="A13" s="195" t="s">
        <v>249</v>
      </c>
      <c r="B13" s="196" t="s">
        <v>504</v>
      </c>
      <c r="C13" s="192" t="s">
        <v>481</v>
      </c>
      <c r="D13" s="91" t="s">
        <v>505</v>
      </c>
      <c r="F13" s="95" t="s">
        <v>31</v>
      </c>
      <c r="G13" s="15" t="s">
        <v>32</v>
      </c>
      <c r="H13" s="96" t="s">
        <v>26</v>
      </c>
      <c r="J13" s="67" t="s">
        <v>900</v>
      </c>
      <c r="K13" s="68" t="s">
        <v>911</v>
      </c>
    </row>
    <row r="14" spans="1:11" x14ac:dyDescent="0.25">
      <c r="A14" s="195" t="s">
        <v>324</v>
      </c>
      <c r="B14" s="196" t="s">
        <v>323</v>
      </c>
      <c r="C14" s="192" t="s">
        <v>481</v>
      </c>
      <c r="D14" s="91" t="s">
        <v>325</v>
      </c>
      <c r="F14" s="95" t="s">
        <v>33</v>
      </c>
      <c r="G14" s="15" t="s">
        <v>34</v>
      </c>
      <c r="H14" s="96" t="s">
        <v>34</v>
      </c>
      <c r="J14" s="67" t="s">
        <v>901</v>
      </c>
      <c r="K14" s="68" t="s">
        <v>902</v>
      </c>
    </row>
    <row r="15" spans="1:11" x14ac:dyDescent="0.25">
      <c r="A15" s="195" t="s">
        <v>549</v>
      </c>
      <c r="B15" s="196" t="s">
        <v>124</v>
      </c>
      <c r="C15" s="192" t="s">
        <v>481</v>
      </c>
      <c r="D15" s="91" t="s">
        <v>125</v>
      </c>
      <c r="F15" s="95" t="s">
        <v>35</v>
      </c>
      <c r="G15" s="15" t="s">
        <v>36</v>
      </c>
      <c r="H15" s="96" t="s">
        <v>36</v>
      </c>
      <c r="J15" s="102" t="s">
        <v>498</v>
      </c>
      <c r="K15" s="103" t="s">
        <v>499</v>
      </c>
    </row>
    <row r="16" spans="1:11" x14ac:dyDescent="0.25">
      <c r="A16" s="65" t="s">
        <v>1169</v>
      </c>
      <c r="B16" s="16" t="s">
        <v>1170</v>
      </c>
      <c r="C16" s="201" t="s">
        <v>481</v>
      </c>
      <c r="D16" s="97" t="s">
        <v>1170</v>
      </c>
      <c r="F16" s="95" t="s">
        <v>37</v>
      </c>
      <c r="G16" s="15" t="s">
        <v>38</v>
      </c>
      <c r="H16" s="96" t="s">
        <v>38</v>
      </c>
      <c r="J16" s="16" t="s">
        <v>913</v>
      </c>
    </row>
    <row r="17" spans="1:8" x14ac:dyDescent="0.25">
      <c r="A17" s="195" t="s">
        <v>1079</v>
      </c>
      <c r="B17" s="196" t="s">
        <v>1080</v>
      </c>
      <c r="C17" s="192" t="s">
        <v>481</v>
      </c>
      <c r="D17" s="91" t="s">
        <v>765</v>
      </c>
      <c r="F17" s="95" t="s">
        <v>39</v>
      </c>
      <c r="G17" s="15" t="s">
        <v>40</v>
      </c>
      <c r="H17" s="96" t="s">
        <v>40</v>
      </c>
    </row>
    <row r="18" spans="1:8" x14ac:dyDescent="0.25">
      <c r="A18" s="195" t="s">
        <v>1081</v>
      </c>
      <c r="B18" s="196" t="s">
        <v>1082</v>
      </c>
      <c r="C18" s="192" t="s">
        <v>481</v>
      </c>
      <c r="D18" s="91" t="s">
        <v>178</v>
      </c>
      <c r="F18" s="95" t="s">
        <v>41</v>
      </c>
      <c r="G18" s="15" t="s">
        <v>42</v>
      </c>
      <c r="H18" s="96" t="s">
        <v>43</v>
      </c>
    </row>
    <row r="19" spans="1:8" x14ac:dyDescent="0.25">
      <c r="A19" s="195" t="s">
        <v>1083</v>
      </c>
      <c r="B19" s="196" t="s">
        <v>1084</v>
      </c>
      <c r="C19" s="192" t="s">
        <v>481</v>
      </c>
      <c r="D19" s="91" t="s">
        <v>171</v>
      </c>
      <c r="F19" s="95" t="s">
        <v>44</v>
      </c>
      <c r="G19" s="15" t="s">
        <v>45</v>
      </c>
      <c r="H19" s="96" t="s">
        <v>45</v>
      </c>
    </row>
    <row r="20" spans="1:8" x14ac:dyDescent="0.25">
      <c r="A20" s="195" t="s">
        <v>1085</v>
      </c>
      <c r="B20" s="196" t="s">
        <v>1086</v>
      </c>
      <c r="C20" s="192" t="s">
        <v>481</v>
      </c>
      <c r="D20" s="91" t="s">
        <v>160</v>
      </c>
      <c r="F20" s="95" t="s">
        <v>46</v>
      </c>
      <c r="G20" s="15" t="s">
        <v>47</v>
      </c>
      <c r="H20" s="96" t="s">
        <v>47</v>
      </c>
    </row>
    <row r="21" spans="1:8" x14ac:dyDescent="0.25">
      <c r="A21" s="195" t="s">
        <v>1087</v>
      </c>
      <c r="B21" s="196" t="s">
        <v>1088</v>
      </c>
      <c r="C21" s="192" t="s">
        <v>481</v>
      </c>
      <c r="D21" s="91" t="s">
        <v>172</v>
      </c>
      <c r="F21" s="95" t="s">
        <v>48</v>
      </c>
      <c r="G21" s="15" t="s">
        <v>49</v>
      </c>
      <c r="H21" s="96" t="s">
        <v>49</v>
      </c>
    </row>
    <row r="22" spans="1:8" x14ac:dyDescent="0.25">
      <c r="A22" s="195" t="s">
        <v>1089</v>
      </c>
      <c r="B22" s="196" t="s">
        <v>1090</v>
      </c>
      <c r="C22" s="192" t="s">
        <v>481</v>
      </c>
      <c r="D22" s="91" t="s">
        <v>769</v>
      </c>
      <c r="F22" s="65" t="s">
        <v>511</v>
      </c>
      <c r="G22" s="16" t="s">
        <v>512</v>
      </c>
      <c r="H22" s="97" t="s">
        <v>49</v>
      </c>
    </row>
    <row r="23" spans="1:8" x14ac:dyDescent="0.25">
      <c r="A23" s="195" t="s">
        <v>1091</v>
      </c>
      <c r="B23" s="196" t="s">
        <v>1092</v>
      </c>
      <c r="C23" s="192" t="s">
        <v>481</v>
      </c>
      <c r="D23" s="91" t="s">
        <v>161</v>
      </c>
      <c r="F23" s="65" t="s">
        <v>1165</v>
      </c>
      <c r="G23" s="16" t="s">
        <v>1166</v>
      </c>
      <c r="H23" s="97" t="s">
        <v>51</v>
      </c>
    </row>
    <row r="24" spans="1:8" x14ac:dyDescent="0.25">
      <c r="A24" s="195" t="s">
        <v>1093</v>
      </c>
      <c r="B24" s="196" t="s">
        <v>1094</v>
      </c>
      <c r="C24" s="192" t="s">
        <v>481</v>
      </c>
      <c r="D24" s="91" t="s">
        <v>169</v>
      </c>
      <c r="F24" s="98" t="s">
        <v>50</v>
      </c>
      <c r="G24" s="99" t="s">
        <v>51</v>
      </c>
      <c r="H24" s="100" t="s">
        <v>51</v>
      </c>
    </row>
    <row r="25" spans="1:8" x14ac:dyDescent="0.25">
      <c r="A25" s="195" t="s">
        <v>1095</v>
      </c>
      <c r="B25" s="196" t="s">
        <v>1096</v>
      </c>
      <c r="C25" s="192" t="s">
        <v>481</v>
      </c>
      <c r="D25" s="91" t="s">
        <v>176</v>
      </c>
    </row>
    <row r="26" spans="1:8" x14ac:dyDescent="0.25">
      <c r="A26" s="195" t="s">
        <v>1097</v>
      </c>
      <c r="B26" s="196" t="s">
        <v>1098</v>
      </c>
      <c r="C26" s="192" t="s">
        <v>481</v>
      </c>
      <c r="D26" s="91" t="s">
        <v>770</v>
      </c>
      <c r="F26" s="247" t="s">
        <v>704</v>
      </c>
      <c r="G26" s="247"/>
      <c r="H26" s="247"/>
    </row>
    <row r="27" spans="1:8" x14ac:dyDescent="0.25">
      <c r="A27" s="195" t="s">
        <v>1099</v>
      </c>
      <c r="B27" s="196" t="s">
        <v>1100</v>
      </c>
      <c r="C27" s="192" t="s">
        <v>481</v>
      </c>
      <c r="D27" s="91" t="s">
        <v>162</v>
      </c>
      <c r="F27" s="104" t="s">
        <v>708</v>
      </c>
      <c r="G27" s="105" t="s">
        <v>52</v>
      </c>
      <c r="H27" s="106" t="s">
        <v>532</v>
      </c>
    </row>
    <row r="28" spans="1:8" x14ac:dyDescent="0.25">
      <c r="A28" s="195" t="s">
        <v>1101</v>
      </c>
      <c r="B28" s="196" t="s">
        <v>1102</v>
      </c>
      <c r="C28" s="192" t="s">
        <v>481</v>
      </c>
      <c r="D28" s="91" t="s">
        <v>163</v>
      </c>
      <c r="F28" s="107" t="s">
        <v>53</v>
      </c>
      <c r="G28" s="17" t="s">
        <v>55</v>
      </c>
      <c r="H28" s="108" t="s">
        <v>54</v>
      </c>
    </row>
    <row r="29" spans="1:8" x14ac:dyDescent="0.25">
      <c r="A29" s="195" t="s">
        <v>1103</v>
      </c>
      <c r="B29" s="196" t="s">
        <v>1104</v>
      </c>
      <c r="C29" s="192" t="s">
        <v>481</v>
      </c>
      <c r="D29" s="91" t="s">
        <v>164</v>
      </c>
      <c r="F29" s="107" t="s">
        <v>56</v>
      </c>
      <c r="G29" s="17" t="s">
        <v>58</v>
      </c>
      <c r="H29" s="108" t="s">
        <v>57</v>
      </c>
    </row>
    <row r="30" spans="1:8" x14ac:dyDescent="0.25">
      <c r="A30" s="195" t="s">
        <v>1105</v>
      </c>
      <c r="B30" s="196" t="s">
        <v>1106</v>
      </c>
      <c r="C30" s="192" t="s">
        <v>481</v>
      </c>
      <c r="D30" s="91" t="s">
        <v>180</v>
      </c>
      <c r="F30" s="107" t="s">
        <v>59</v>
      </c>
      <c r="G30" s="17" t="s">
        <v>61</v>
      </c>
      <c r="H30" s="108" t="s">
        <v>60</v>
      </c>
    </row>
    <row r="31" spans="1:8" x14ac:dyDescent="0.25">
      <c r="A31" s="195" t="s">
        <v>1107</v>
      </c>
      <c r="B31" s="196" t="s">
        <v>1108</v>
      </c>
      <c r="C31" s="192" t="s">
        <v>481</v>
      </c>
      <c r="D31" s="91" t="s">
        <v>173</v>
      </c>
      <c r="F31" s="107" t="s">
        <v>533</v>
      </c>
      <c r="G31" s="17" t="s">
        <v>534</v>
      </c>
      <c r="H31" s="108" t="s">
        <v>60</v>
      </c>
    </row>
    <row r="32" spans="1:8" x14ac:dyDescent="0.25">
      <c r="A32" s="195" t="s">
        <v>1109</v>
      </c>
      <c r="B32" s="196" t="s">
        <v>1110</v>
      </c>
      <c r="C32" s="192" t="s">
        <v>481</v>
      </c>
      <c r="D32" s="91" t="s">
        <v>165</v>
      </c>
      <c r="F32" s="107" t="s">
        <v>62</v>
      </c>
      <c r="G32" s="17" t="s">
        <v>64</v>
      </c>
      <c r="H32" s="108" t="s">
        <v>63</v>
      </c>
    </row>
    <row r="33" spans="1:8" x14ac:dyDescent="0.25">
      <c r="A33" s="195" t="s">
        <v>1111</v>
      </c>
      <c r="B33" s="196" t="s">
        <v>1112</v>
      </c>
      <c r="C33" s="192" t="s">
        <v>481</v>
      </c>
      <c r="D33" s="91" t="s">
        <v>177</v>
      </c>
      <c r="F33" s="107" t="s">
        <v>535</v>
      </c>
      <c r="G33" s="17" t="s">
        <v>66</v>
      </c>
      <c r="H33" s="108" t="s">
        <v>65</v>
      </c>
    </row>
    <row r="34" spans="1:8" x14ac:dyDescent="0.25">
      <c r="A34" s="195" t="s">
        <v>1113</v>
      </c>
      <c r="B34" s="196" t="s">
        <v>1114</v>
      </c>
      <c r="C34" s="192" t="s">
        <v>481</v>
      </c>
      <c r="D34" s="91" t="s">
        <v>31</v>
      </c>
      <c r="F34" s="107" t="s">
        <v>536</v>
      </c>
      <c r="G34" s="17" t="s">
        <v>68</v>
      </c>
      <c r="H34" s="108" t="s">
        <v>67</v>
      </c>
    </row>
    <row r="35" spans="1:8" x14ac:dyDescent="0.25">
      <c r="A35" s="195" t="s">
        <v>1115</v>
      </c>
      <c r="B35" s="196" t="s">
        <v>1116</v>
      </c>
      <c r="C35" s="192" t="s">
        <v>481</v>
      </c>
      <c r="D35" s="91" t="s">
        <v>771</v>
      </c>
      <c r="F35" s="107" t="s">
        <v>69</v>
      </c>
      <c r="G35" s="17" t="s">
        <v>71</v>
      </c>
      <c r="H35" s="108" t="s">
        <v>70</v>
      </c>
    </row>
    <row r="36" spans="1:8" x14ac:dyDescent="0.25">
      <c r="A36" s="195" t="s">
        <v>1117</v>
      </c>
      <c r="B36" s="196" t="s">
        <v>1118</v>
      </c>
      <c r="C36" s="192" t="s">
        <v>481</v>
      </c>
      <c r="D36" s="91" t="s">
        <v>166</v>
      </c>
      <c r="F36" s="107" t="s">
        <v>537</v>
      </c>
      <c r="G36" s="17" t="s">
        <v>538</v>
      </c>
      <c r="H36" s="108" t="s">
        <v>70</v>
      </c>
    </row>
    <row r="37" spans="1:8" x14ac:dyDescent="0.25">
      <c r="A37" s="195" t="s">
        <v>1119</v>
      </c>
      <c r="B37" s="196" t="s">
        <v>1120</v>
      </c>
      <c r="C37" s="192" t="s">
        <v>481</v>
      </c>
      <c r="D37" s="91" t="s">
        <v>174</v>
      </c>
      <c r="F37" s="107" t="s">
        <v>72</v>
      </c>
      <c r="G37" s="17" t="s">
        <v>74</v>
      </c>
      <c r="H37" s="108" t="s">
        <v>73</v>
      </c>
    </row>
    <row r="38" spans="1:8" x14ac:dyDescent="0.25">
      <c r="A38" s="195" t="s">
        <v>1121</v>
      </c>
      <c r="B38" s="196" t="s">
        <v>1122</v>
      </c>
      <c r="C38" s="192" t="s">
        <v>481</v>
      </c>
      <c r="D38" s="91" t="s">
        <v>167</v>
      </c>
      <c r="F38" s="107" t="s">
        <v>539</v>
      </c>
      <c r="G38" s="17" t="s">
        <v>540</v>
      </c>
      <c r="H38" s="108" t="s">
        <v>81</v>
      </c>
    </row>
    <row r="39" spans="1:8" x14ac:dyDescent="0.25">
      <c r="A39" s="195" t="s">
        <v>1123</v>
      </c>
      <c r="B39" s="196" t="s">
        <v>1124</v>
      </c>
      <c r="C39" s="192" t="s">
        <v>481</v>
      </c>
      <c r="D39" s="91" t="s">
        <v>168</v>
      </c>
      <c r="F39" s="107" t="s">
        <v>541</v>
      </c>
      <c r="G39" s="17" t="s">
        <v>542</v>
      </c>
      <c r="H39" s="108" t="s">
        <v>81</v>
      </c>
    </row>
    <row r="40" spans="1:8" x14ac:dyDescent="0.25">
      <c r="A40" s="195" t="s">
        <v>1125</v>
      </c>
      <c r="B40" s="196" t="s">
        <v>1126</v>
      </c>
      <c r="C40" s="192" t="s">
        <v>481</v>
      </c>
      <c r="D40" s="91" t="s">
        <v>35</v>
      </c>
      <c r="F40" s="107" t="s">
        <v>543</v>
      </c>
      <c r="G40" s="17" t="s">
        <v>544</v>
      </c>
      <c r="H40" s="108" t="s">
        <v>81</v>
      </c>
    </row>
    <row r="41" spans="1:8" x14ac:dyDescent="0.25">
      <c r="A41" s="195" t="s">
        <v>1127</v>
      </c>
      <c r="B41" s="196" t="s">
        <v>1128</v>
      </c>
      <c r="C41" s="192" t="s">
        <v>481</v>
      </c>
      <c r="D41" s="91" t="s">
        <v>772</v>
      </c>
      <c r="F41" s="107" t="s">
        <v>545</v>
      </c>
      <c r="G41" s="17" t="s">
        <v>546</v>
      </c>
      <c r="H41" s="108" t="s">
        <v>81</v>
      </c>
    </row>
    <row r="42" spans="1:8" x14ac:dyDescent="0.25">
      <c r="A42" s="195" t="s">
        <v>1129</v>
      </c>
      <c r="B42" s="196" t="s">
        <v>1130</v>
      </c>
      <c r="C42" s="192" t="s">
        <v>481</v>
      </c>
      <c r="D42" s="91" t="s">
        <v>179</v>
      </c>
      <c r="F42" s="107" t="s">
        <v>27</v>
      </c>
      <c r="G42" s="17" t="s">
        <v>76</v>
      </c>
      <c r="H42" s="108" t="s">
        <v>75</v>
      </c>
    </row>
    <row r="43" spans="1:8" x14ac:dyDescent="0.25">
      <c r="A43" s="195" t="s">
        <v>1131</v>
      </c>
      <c r="B43" s="196" t="s">
        <v>1132</v>
      </c>
      <c r="C43" s="192" t="s">
        <v>481</v>
      </c>
      <c r="D43" s="91" t="s">
        <v>170</v>
      </c>
      <c r="F43" s="107" t="s">
        <v>77</v>
      </c>
      <c r="G43" s="17" t="s">
        <v>79</v>
      </c>
      <c r="H43" s="108" t="s">
        <v>78</v>
      </c>
    </row>
    <row r="44" spans="1:8" x14ac:dyDescent="0.25">
      <c r="A44" s="195" t="s">
        <v>236</v>
      </c>
      <c r="B44" s="196" t="s">
        <v>235</v>
      </c>
      <c r="C44" s="192" t="s">
        <v>481</v>
      </c>
      <c r="D44" s="91" t="s">
        <v>237</v>
      </c>
      <c r="F44" s="107" t="s">
        <v>80</v>
      </c>
      <c r="G44" s="17" t="s">
        <v>82</v>
      </c>
      <c r="H44" s="108" t="s">
        <v>81</v>
      </c>
    </row>
    <row r="45" spans="1:8" x14ac:dyDescent="0.25">
      <c r="A45" s="195" t="s">
        <v>355</v>
      </c>
      <c r="B45" s="196" t="s">
        <v>354</v>
      </c>
      <c r="C45" s="192" t="s">
        <v>481</v>
      </c>
      <c r="D45" s="91" t="s">
        <v>48</v>
      </c>
      <c r="F45" s="107" t="s">
        <v>83</v>
      </c>
      <c r="G45" s="17" t="s">
        <v>84</v>
      </c>
      <c r="H45" s="108" t="s">
        <v>547</v>
      </c>
    </row>
    <row r="46" spans="1:8" x14ac:dyDescent="0.25">
      <c r="A46" s="195" t="s">
        <v>1133</v>
      </c>
      <c r="B46" s="196" t="s">
        <v>1134</v>
      </c>
      <c r="C46" s="192" t="s">
        <v>481</v>
      </c>
      <c r="D46" s="91" t="s">
        <v>175</v>
      </c>
      <c r="F46" s="107" t="s">
        <v>85</v>
      </c>
      <c r="G46" s="17" t="s">
        <v>87</v>
      </c>
      <c r="H46" s="108" t="s">
        <v>86</v>
      </c>
    </row>
    <row r="47" spans="1:8" x14ac:dyDescent="0.25">
      <c r="A47" s="195" t="s">
        <v>1135</v>
      </c>
      <c r="B47" s="196" t="s">
        <v>1136</v>
      </c>
      <c r="C47" s="192" t="s">
        <v>481</v>
      </c>
      <c r="D47" s="91" t="s">
        <v>115</v>
      </c>
      <c r="F47" s="107" t="s">
        <v>88</v>
      </c>
      <c r="G47" s="17" t="s">
        <v>90</v>
      </c>
      <c r="H47" s="108" t="s">
        <v>89</v>
      </c>
    </row>
    <row r="48" spans="1:8" x14ac:dyDescent="0.25">
      <c r="A48" s="195" t="s">
        <v>133</v>
      </c>
      <c r="B48" s="196" t="s">
        <v>132</v>
      </c>
      <c r="C48" s="192" t="s">
        <v>481</v>
      </c>
      <c r="D48" s="91" t="s">
        <v>134</v>
      </c>
      <c r="F48" s="107" t="s">
        <v>91</v>
      </c>
      <c r="G48" s="17" t="s">
        <v>93</v>
      </c>
      <c r="H48" s="108" t="s">
        <v>92</v>
      </c>
    </row>
    <row r="49" spans="1:8" x14ac:dyDescent="0.25">
      <c r="A49" s="195" t="s">
        <v>330</v>
      </c>
      <c r="B49" s="196" t="s">
        <v>329</v>
      </c>
      <c r="C49" s="192" t="s">
        <v>481</v>
      </c>
      <c r="D49" s="91" t="s">
        <v>331</v>
      </c>
      <c r="F49" s="107" t="s">
        <v>94</v>
      </c>
      <c r="G49" s="17" t="s">
        <v>548</v>
      </c>
      <c r="H49" s="108" t="s">
        <v>95</v>
      </c>
    </row>
    <row r="50" spans="1:8" x14ac:dyDescent="0.25">
      <c r="A50" s="195" t="s">
        <v>110</v>
      </c>
      <c r="B50" s="196" t="s">
        <v>109</v>
      </c>
      <c r="C50" s="192" t="s">
        <v>481</v>
      </c>
      <c r="D50" s="91" t="s">
        <v>111</v>
      </c>
      <c r="F50" s="109" t="s">
        <v>96</v>
      </c>
      <c r="G50" s="110" t="s">
        <v>98</v>
      </c>
      <c r="H50" s="111" t="s">
        <v>97</v>
      </c>
    </row>
    <row r="51" spans="1:8" x14ac:dyDescent="0.25">
      <c r="A51" s="195" t="s">
        <v>1137</v>
      </c>
      <c r="B51" s="196" t="s">
        <v>1138</v>
      </c>
      <c r="C51" s="192" t="s">
        <v>481</v>
      </c>
      <c r="D51" s="91" t="s">
        <v>175</v>
      </c>
    </row>
    <row r="52" spans="1:8" x14ac:dyDescent="0.25">
      <c r="A52" s="195" t="s">
        <v>223</v>
      </c>
      <c r="B52" s="196" t="s">
        <v>222</v>
      </c>
      <c r="C52" s="192" t="s">
        <v>481</v>
      </c>
      <c r="D52" s="91" t="s">
        <v>224</v>
      </c>
      <c r="F52" s="247" t="s">
        <v>705</v>
      </c>
      <c r="G52" s="247"/>
    </row>
    <row r="53" spans="1:8" x14ac:dyDescent="0.25">
      <c r="A53" s="195" t="s">
        <v>147</v>
      </c>
      <c r="B53" s="196" t="s">
        <v>146</v>
      </c>
      <c r="C53" s="192" t="s">
        <v>481</v>
      </c>
      <c r="D53" s="91" t="s">
        <v>148</v>
      </c>
      <c r="F53" s="112" t="s">
        <v>709</v>
      </c>
      <c r="G53" s="113" t="s">
        <v>495</v>
      </c>
    </row>
    <row r="54" spans="1:8" x14ac:dyDescent="0.25">
      <c r="A54" s="195" t="s">
        <v>1139</v>
      </c>
      <c r="B54" s="196" t="s">
        <v>149</v>
      </c>
      <c r="C54" s="192" t="s">
        <v>481</v>
      </c>
      <c r="D54" s="91" t="s">
        <v>150</v>
      </c>
      <c r="F54" s="114" t="s">
        <v>496</v>
      </c>
      <c r="G54" s="115" t="s">
        <v>497</v>
      </c>
    </row>
    <row r="55" spans="1:8" x14ac:dyDescent="0.25">
      <c r="A55" s="195" t="s">
        <v>197</v>
      </c>
      <c r="B55" s="196" t="s">
        <v>196</v>
      </c>
      <c r="C55" s="192" t="s">
        <v>481</v>
      </c>
      <c r="D55" s="91" t="s">
        <v>198</v>
      </c>
      <c r="F55" s="102" t="s">
        <v>498</v>
      </c>
      <c r="G55" s="103" t="s">
        <v>499</v>
      </c>
    </row>
    <row r="56" spans="1:8" x14ac:dyDescent="0.25">
      <c r="A56" s="195" t="s">
        <v>209</v>
      </c>
      <c r="B56" s="196" t="s">
        <v>208</v>
      </c>
      <c r="C56" s="192" t="s">
        <v>481</v>
      </c>
      <c r="D56" s="91" t="s">
        <v>210</v>
      </c>
    </row>
    <row r="57" spans="1:8" x14ac:dyDescent="0.25">
      <c r="A57" s="195" t="s">
        <v>104</v>
      </c>
      <c r="B57" s="196" t="s">
        <v>103</v>
      </c>
      <c r="C57" s="192" t="s">
        <v>481</v>
      </c>
      <c r="D57" s="91" t="s">
        <v>105</v>
      </c>
    </row>
    <row r="58" spans="1:8" x14ac:dyDescent="0.25">
      <c r="A58" s="195" t="s">
        <v>1140</v>
      </c>
      <c r="B58" s="196" t="s">
        <v>122</v>
      </c>
      <c r="C58" s="192" t="s">
        <v>481</v>
      </c>
      <c r="D58" s="91" t="s">
        <v>123</v>
      </c>
    </row>
    <row r="59" spans="1:8" x14ac:dyDescent="0.25">
      <c r="A59" s="195" t="s">
        <v>274</v>
      </c>
      <c r="B59" s="196" t="s">
        <v>273</v>
      </c>
      <c r="C59" s="192" t="s">
        <v>481</v>
      </c>
      <c r="D59" s="91" t="s">
        <v>275</v>
      </c>
    </row>
    <row r="60" spans="1:8" x14ac:dyDescent="0.25">
      <c r="A60" s="195" t="s">
        <v>156</v>
      </c>
      <c r="B60" s="196" t="s">
        <v>155</v>
      </c>
      <c r="C60" s="192" t="s">
        <v>481</v>
      </c>
      <c r="D60" s="91" t="s">
        <v>157</v>
      </c>
    </row>
    <row r="61" spans="1:8" x14ac:dyDescent="0.25">
      <c r="A61" s="195" t="s">
        <v>120</v>
      </c>
      <c r="B61" s="196" t="s">
        <v>119</v>
      </c>
      <c r="C61" s="192" t="s">
        <v>481</v>
      </c>
      <c r="D61" s="91" t="s">
        <v>121</v>
      </c>
    </row>
    <row r="62" spans="1:8" x14ac:dyDescent="0.25">
      <c r="A62" s="195" t="s">
        <v>297</v>
      </c>
      <c r="B62" s="196" t="s">
        <v>296</v>
      </c>
      <c r="C62" s="192" t="s">
        <v>481</v>
      </c>
      <c r="D62" s="91" t="s">
        <v>298</v>
      </c>
    </row>
    <row r="63" spans="1:8" x14ac:dyDescent="0.25">
      <c r="A63" s="195" t="s">
        <v>203</v>
      </c>
      <c r="B63" s="196" t="s">
        <v>202</v>
      </c>
      <c r="C63" s="192" t="s">
        <v>481</v>
      </c>
      <c r="D63" s="91" t="s">
        <v>204</v>
      </c>
    </row>
    <row r="64" spans="1:8" x14ac:dyDescent="0.25">
      <c r="A64" s="195" t="s">
        <v>191</v>
      </c>
      <c r="B64" s="196" t="s">
        <v>190</v>
      </c>
      <c r="C64" s="192" t="s">
        <v>481</v>
      </c>
      <c r="D64" s="91" t="s">
        <v>192</v>
      </c>
    </row>
    <row r="65" spans="1:4" x14ac:dyDescent="0.25">
      <c r="A65" s="195" t="s">
        <v>220</v>
      </c>
      <c r="B65" s="196" t="s">
        <v>219</v>
      </c>
      <c r="C65" s="192" t="s">
        <v>481</v>
      </c>
      <c r="D65" s="91" t="s">
        <v>221</v>
      </c>
    </row>
    <row r="66" spans="1:4" x14ac:dyDescent="0.25">
      <c r="A66" s="195" t="s">
        <v>303</v>
      </c>
      <c r="B66" s="196" t="s">
        <v>302</v>
      </c>
      <c r="C66" s="192" t="s">
        <v>481</v>
      </c>
      <c r="D66" s="91" t="s">
        <v>304</v>
      </c>
    </row>
    <row r="67" spans="1:4" x14ac:dyDescent="0.25">
      <c r="A67" s="195" t="s">
        <v>1141</v>
      </c>
      <c r="B67" s="196" t="s">
        <v>1142</v>
      </c>
      <c r="C67" s="192" t="s">
        <v>481</v>
      </c>
      <c r="D67" s="91" t="s">
        <v>175</v>
      </c>
    </row>
    <row r="68" spans="1:4" x14ac:dyDescent="0.25">
      <c r="A68" s="195" t="s">
        <v>217</v>
      </c>
      <c r="B68" s="196" t="s">
        <v>216</v>
      </c>
      <c r="C68" s="192" t="s">
        <v>481</v>
      </c>
      <c r="D68" s="91" t="s">
        <v>218</v>
      </c>
    </row>
    <row r="69" spans="1:4" x14ac:dyDescent="0.25">
      <c r="A69" s="195" t="s">
        <v>185</v>
      </c>
      <c r="B69" s="196" t="s">
        <v>184</v>
      </c>
      <c r="C69" s="192" t="s">
        <v>481</v>
      </c>
      <c r="D69" s="91" t="s">
        <v>186</v>
      </c>
    </row>
    <row r="70" spans="1:4" x14ac:dyDescent="0.25">
      <c r="A70" s="195" t="s">
        <v>214</v>
      </c>
      <c r="B70" s="196" t="s">
        <v>213</v>
      </c>
      <c r="C70" s="192" t="s">
        <v>481</v>
      </c>
      <c r="D70" s="91" t="s">
        <v>215</v>
      </c>
    </row>
    <row r="71" spans="1:4" x14ac:dyDescent="0.25">
      <c r="A71" s="195" t="s">
        <v>130</v>
      </c>
      <c r="B71" s="196" t="s">
        <v>129</v>
      </c>
      <c r="C71" s="192" t="s">
        <v>481</v>
      </c>
      <c r="D71" s="91" t="s">
        <v>131</v>
      </c>
    </row>
    <row r="72" spans="1:4" x14ac:dyDescent="0.25">
      <c r="A72" s="195" t="s">
        <v>1143</v>
      </c>
      <c r="B72" s="196" t="s">
        <v>141</v>
      </c>
      <c r="C72" s="192" t="s">
        <v>481</v>
      </c>
      <c r="D72" s="91" t="s">
        <v>142</v>
      </c>
    </row>
    <row r="73" spans="1:4" x14ac:dyDescent="0.25">
      <c r="A73" s="195" t="s">
        <v>1144</v>
      </c>
      <c r="B73" s="196" t="s">
        <v>1145</v>
      </c>
      <c r="C73" s="192" t="s">
        <v>481</v>
      </c>
      <c r="D73" s="91" t="s">
        <v>175</v>
      </c>
    </row>
    <row r="74" spans="1:4" x14ac:dyDescent="0.25">
      <c r="A74" s="195" t="s">
        <v>226</v>
      </c>
      <c r="B74" s="196" t="s">
        <v>225</v>
      </c>
      <c r="C74" s="192" t="s">
        <v>481</v>
      </c>
      <c r="D74" s="91" t="s">
        <v>227</v>
      </c>
    </row>
    <row r="75" spans="1:4" x14ac:dyDescent="0.25">
      <c r="A75" s="195" t="s">
        <v>242</v>
      </c>
      <c r="B75" s="196" t="s">
        <v>241</v>
      </c>
      <c r="C75" s="192" t="s">
        <v>481</v>
      </c>
      <c r="D75" s="91" t="s">
        <v>243</v>
      </c>
    </row>
    <row r="76" spans="1:4" x14ac:dyDescent="0.25">
      <c r="A76" s="195" t="s">
        <v>107</v>
      </c>
      <c r="B76" s="196" t="s">
        <v>106</v>
      </c>
      <c r="C76" s="192" t="s">
        <v>481</v>
      </c>
      <c r="D76" s="91" t="s">
        <v>108</v>
      </c>
    </row>
    <row r="77" spans="1:4" x14ac:dyDescent="0.25">
      <c r="A77" s="195" t="s">
        <v>1146</v>
      </c>
      <c r="B77" s="196" t="s">
        <v>233</v>
      </c>
      <c r="C77" s="192" t="s">
        <v>481</v>
      </c>
      <c r="D77" s="91" t="s">
        <v>234</v>
      </c>
    </row>
    <row r="78" spans="1:4" x14ac:dyDescent="0.25">
      <c r="A78" s="195" t="s">
        <v>510</v>
      </c>
      <c r="B78" s="196" t="s">
        <v>231</v>
      </c>
      <c r="C78" s="192" t="s">
        <v>481</v>
      </c>
      <c r="D78" s="91" t="s">
        <v>232</v>
      </c>
    </row>
    <row r="79" spans="1:4" x14ac:dyDescent="0.25">
      <c r="A79" s="195" t="s">
        <v>188</v>
      </c>
      <c r="B79" s="196" t="s">
        <v>187</v>
      </c>
      <c r="C79" s="192" t="s">
        <v>481</v>
      </c>
      <c r="D79" s="91" t="s">
        <v>189</v>
      </c>
    </row>
    <row r="80" spans="1:4" x14ac:dyDescent="0.25">
      <c r="A80" s="195" t="s">
        <v>182</v>
      </c>
      <c r="B80" s="196" t="s">
        <v>181</v>
      </c>
      <c r="C80" s="192" t="s">
        <v>481</v>
      </c>
      <c r="D80" s="91" t="s">
        <v>183</v>
      </c>
    </row>
    <row r="81" spans="1:4" x14ac:dyDescent="0.25">
      <c r="A81" s="195" t="s">
        <v>1167</v>
      </c>
      <c r="B81" s="196" t="s">
        <v>211</v>
      </c>
      <c r="C81" s="192" t="s">
        <v>481</v>
      </c>
      <c r="D81" s="91" t="s">
        <v>212</v>
      </c>
    </row>
    <row r="82" spans="1:4" x14ac:dyDescent="0.25">
      <c r="A82" s="195" t="s">
        <v>1147</v>
      </c>
      <c r="B82" s="196" t="s">
        <v>1148</v>
      </c>
      <c r="C82" s="192" t="s">
        <v>481</v>
      </c>
      <c r="D82" s="91" t="s">
        <v>152</v>
      </c>
    </row>
    <row r="83" spans="1:4" x14ac:dyDescent="0.25">
      <c r="A83" s="195" t="s">
        <v>1149</v>
      </c>
      <c r="B83" s="196" t="s">
        <v>1150</v>
      </c>
      <c r="C83" s="192" t="s">
        <v>481</v>
      </c>
      <c r="D83" s="91" t="s">
        <v>154</v>
      </c>
    </row>
    <row r="84" spans="1:4" x14ac:dyDescent="0.25">
      <c r="A84" s="195" t="s">
        <v>1151</v>
      </c>
      <c r="B84" s="196" t="s">
        <v>1152</v>
      </c>
      <c r="C84" s="192" t="s">
        <v>481</v>
      </c>
      <c r="D84" s="91" t="s">
        <v>151</v>
      </c>
    </row>
    <row r="85" spans="1:4" x14ac:dyDescent="0.25">
      <c r="A85" s="195" t="s">
        <v>1153</v>
      </c>
      <c r="B85" s="196" t="s">
        <v>1154</v>
      </c>
      <c r="C85" s="192" t="s">
        <v>481</v>
      </c>
      <c r="D85" s="91" t="s">
        <v>153</v>
      </c>
    </row>
    <row r="86" spans="1:4" x14ac:dyDescent="0.25">
      <c r="A86" s="195" t="s">
        <v>101</v>
      </c>
      <c r="B86" s="196" t="s">
        <v>101</v>
      </c>
      <c r="C86" s="192" t="s">
        <v>481</v>
      </c>
      <c r="D86" s="91" t="s">
        <v>102</v>
      </c>
    </row>
    <row r="87" spans="1:4" x14ac:dyDescent="0.25">
      <c r="A87" s="195" t="s">
        <v>139</v>
      </c>
      <c r="B87" s="196" t="s">
        <v>138</v>
      </c>
      <c r="C87" s="192" t="s">
        <v>481</v>
      </c>
      <c r="D87" s="91" t="s">
        <v>140</v>
      </c>
    </row>
    <row r="88" spans="1:4" x14ac:dyDescent="0.25">
      <c r="A88" s="195" t="s">
        <v>144</v>
      </c>
      <c r="B88" s="196" t="s">
        <v>143</v>
      </c>
      <c r="C88" s="192" t="s">
        <v>481</v>
      </c>
      <c r="D88" s="91" t="s">
        <v>145</v>
      </c>
    </row>
    <row r="89" spans="1:4" x14ac:dyDescent="0.25">
      <c r="A89" s="195" t="s">
        <v>1155</v>
      </c>
      <c r="B89" s="196" t="s">
        <v>1156</v>
      </c>
      <c r="C89" s="192" t="s">
        <v>481</v>
      </c>
      <c r="D89" s="91" t="s">
        <v>175</v>
      </c>
    </row>
    <row r="90" spans="1:4" x14ac:dyDescent="0.25">
      <c r="A90" s="197" t="s">
        <v>415</v>
      </c>
      <c r="B90" s="198" t="s">
        <v>414</v>
      </c>
      <c r="C90" s="187" t="s">
        <v>482</v>
      </c>
      <c r="D90" s="191" t="s">
        <v>416</v>
      </c>
    </row>
    <row r="91" spans="1:4" x14ac:dyDescent="0.25">
      <c r="A91" s="195" t="s">
        <v>245</v>
      </c>
      <c r="B91" s="196" t="s">
        <v>244</v>
      </c>
      <c r="C91" s="193" t="s">
        <v>482</v>
      </c>
      <c r="D91" s="91" t="s">
        <v>44</v>
      </c>
    </row>
    <row r="92" spans="1:4" x14ac:dyDescent="0.25">
      <c r="A92" s="195" t="s">
        <v>280</v>
      </c>
      <c r="B92" s="196" t="s">
        <v>279</v>
      </c>
      <c r="C92" s="193" t="s">
        <v>482</v>
      </c>
      <c r="D92" s="91" t="s">
        <v>281</v>
      </c>
    </row>
    <row r="93" spans="1:4" x14ac:dyDescent="0.25">
      <c r="A93" s="195" t="s">
        <v>247</v>
      </c>
      <c r="B93" s="196" t="s">
        <v>246</v>
      </c>
      <c r="C93" s="193" t="s">
        <v>482</v>
      </c>
      <c r="D93" s="91" t="s">
        <v>248</v>
      </c>
    </row>
    <row r="94" spans="1:4" x14ac:dyDescent="0.25">
      <c r="A94" s="199" t="s">
        <v>369</v>
      </c>
      <c r="B94" s="200" t="s">
        <v>368</v>
      </c>
      <c r="C94" s="188" t="s">
        <v>482</v>
      </c>
      <c r="D94" s="94" t="s">
        <v>370</v>
      </c>
    </row>
    <row r="95" spans="1:4" x14ac:dyDescent="0.25">
      <c r="A95" s="195" t="s">
        <v>551</v>
      </c>
      <c r="B95" s="196" t="s">
        <v>550</v>
      </c>
      <c r="C95" s="56" t="s">
        <v>483</v>
      </c>
      <c r="D95" s="91" t="s">
        <v>552</v>
      </c>
    </row>
    <row r="96" spans="1:4" x14ac:dyDescent="0.25">
      <c r="A96" s="195" t="s">
        <v>357</v>
      </c>
      <c r="B96" s="196" t="s">
        <v>356</v>
      </c>
      <c r="C96" s="56" t="s">
        <v>483</v>
      </c>
      <c r="D96" s="91" t="s">
        <v>358</v>
      </c>
    </row>
    <row r="97" spans="1:4" x14ac:dyDescent="0.25">
      <c r="A97" s="195" t="s">
        <v>315</v>
      </c>
      <c r="B97" s="196" t="s">
        <v>314</v>
      </c>
      <c r="C97" s="56" t="s">
        <v>483</v>
      </c>
      <c r="D97" s="91" t="s">
        <v>316</v>
      </c>
    </row>
    <row r="98" spans="1:4" x14ac:dyDescent="0.25">
      <c r="A98" s="195" t="s">
        <v>254</v>
      </c>
      <c r="B98" s="196" t="s">
        <v>253</v>
      </c>
      <c r="C98" s="56" t="s">
        <v>483</v>
      </c>
      <c r="D98" s="91" t="s">
        <v>255</v>
      </c>
    </row>
    <row r="99" spans="1:4" x14ac:dyDescent="0.25">
      <c r="A99" s="195" t="s">
        <v>306</v>
      </c>
      <c r="B99" s="196" t="s">
        <v>305</v>
      </c>
      <c r="C99" s="56" t="s">
        <v>483</v>
      </c>
      <c r="D99" s="91" t="s">
        <v>307</v>
      </c>
    </row>
    <row r="100" spans="1:4" x14ac:dyDescent="0.25">
      <c r="A100" s="195" t="s">
        <v>375</v>
      </c>
      <c r="B100" s="196" t="s">
        <v>374</v>
      </c>
      <c r="C100" s="56" t="s">
        <v>483</v>
      </c>
      <c r="D100" s="91" t="s">
        <v>46</v>
      </c>
    </row>
    <row r="101" spans="1:4" x14ac:dyDescent="0.25">
      <c r="A101" s="195" t="s">
        <v>366</v>
      </c>
      <c r="B101" s="196" t="s">
        <v>365</v>
      </c>
      <c r="C101" s="56" t="s">
        <v>483</v>
      </c>
      <c r="D101" s="91" t="s">
        <v>367</v>
      </c>
    </row>
    <row r="102" spans="1:4" x14ac:dyDescent="0.25">
      <c r="A102" s="195" t="s">
        <v>333</v>
      </c>
      <c r="B102" s="196" t="s">
        <v>332</v>
      </c>
      <c r="C102" s="56" t="s">
        <v>483</v>
      </c>
      <c r="D102" s="91" t="s">
        <v>334</v>
      </c>
    </row>
    <row r="103" spans="1:4" x14ac:dyDescent="0.25">
      <c r="A103" s="195" t="s">
        <v>283</v>
      </c>
      <c r="B103" s="196" t="s">
        <v>282</v>
      </c>
      <c r="C103" s="56" t="s">
        <v>483</v>
      </c>
      <c r="D103" s="91" t="s">
        <v>284</v>
      </c>
    </row>
    <row r="104" spans="1:4" x14ac:dyDescent="0.25">
      <c r="A104" s="195" t="s">
        <v>773</v>
      </c>
      <c r="B104" s="196" t="s">
        <v>774</v>
      </c>
      <c r="C104" s="56" t="s">
        <v>483</v>
      </c>
      <c r="D104" s="91" t="s">
        <v>775</v>
      </c>
    </row>
    <row r="105" spans="1:4" x14ac:dyDescent="0.25">
      <c r="A105" s="195" t="s">
        <v>529</v>
      </c>
      <c r="B105" s="196" t="s">
        <v>528</v>
      </c>
      <c r="C105" s="56" t="s">
        <v>483</v>
      </c>
      <c r="D105" s="91" t="s">
        <v>530</v>
      </c>
    </row>
    <row r="106" spans="1:4" x14ac:dyDescent="0.25">
      <c r="A106" s="195" t="s">
        <v>678</v>
      </c>
      <c r="B106" s="196" t="s">
        <v>677</v>
      </c>
      <c r="C106" s="56" t="s">
        <v>483</v>
      </c>
      <c r="D106" s="91" t="s">
        <v>679</v>
      </c>
    </row>
    <row r="107" spans="1:4" x14ac:dyDescent="0.25">
      <c r="A107" s="195" t="s">
        <v>338</v>
      </c>
      <c r="B107" s="196" t="s">
        <v>337</v>
      </c>
      <c r="C107" s="56" t="s">
        <v>483</v>
      </c>
      <c r="D107" s="91" t="s">
        <v>339</v>
      </c>
    </row>
    <row r="108" spans="1:4" x14ac:dyDescent="0.25">
      <c r="A108" s="195" t="s">
        <v>300</v>
      </c>
      <c r="B108" s="196" t="s">
        <v>299</v>
      </c>
      <c r="C108" s="56" t="s">
        <v>483</v>
      </c>
      <c r="D108" s="91" t="s">
        <v>301</v>
      </c>
    </row>
    <row r="109" spans="1:4" x14ac:dyDescent="0.25">
      <c r="A109" s="195" t="s">
        <v>292</v>
      </c>
      <c r="B109" s="196" t="s">
        <v>291</v>
      </c>
      <c r="C109" s="56" t="s">
        <v>483</v>
      </c>
      <c r="D109" s="91" t="s">
        <v>293</v>
      </c>
    </row>
    <row r="110" spans="1:4" x14ac:dyDescent="0.25">
      <c r="A110" s="195" t="s">
        <v>363</v>
      </c>
      <c r="B110" s="196" t="s">
        <v>362</v>
      </c>
      <c r="C110" s="56" t="s">
        <v>483</v>
      </c>
      <c r="D110" s="91" t="s">
        <v>364</v>
      </c>
    </row>
    <row r="111" spans="1:4" x14ac:dyDescent="0.25">
      <c r="A111" s="195" t="s">
        <v>286</v>
      </c>
      <c r="B111" s="196" t="s">
        <v>285</v>
      </c>
      <c r="C111" s="56" t="s">
        <v>483</v>
      </c>
      <c r="D111" s="91" t="s">
        <v>287</v>
      </c>
    </row>
    <row r="112" spans="1:4" x14ac:dyDescent="0.25">
      <c r="A112" s="195" t="s">
        <v>412</v>
      </c>
      <c r="B112" s="196" t="s">
        <v>411</v>
      </c>
      <c r="C112" s="56" t="s">
        <v>483</v>
      </c>
      <c r="D112" s="91" t="s">
        <v>413</v>
      </c>
    </row>
    <row r="113" spans="1:4" x14ac:dyDescent="0.25">
      <c r="A113" s="195" t="s">
        <v>766</v>
      </c>
      <c r="B113" s="196" t="s">
        <v>767</v>
      </c>
      <c r="C113" s="56" t="s">
        <v>483</v>
      </c>
      <c r="D113" s="91" t="s">
        <v>768</v>
      </c>
    </row>
    <row r="114" spans="1:4" x14ac:dyDescent="0.25">
      <c r="A114" s="195" t="s">
        <v>321</v>
      </c>
      <c r="B114" s="196" t="s">
        <v>320</v>
      </c>
      <c r="C114" s="56" t="s">
        <v>483</v>
      </c>
      <c r="D114" s="91" t="s">
        <v>322</v>
      </c>
    </row>
    <row r="115" spans="1:4" x14ac:dyDescent="0.25">
      <c r="A115" s="195" t="s">
        <v>263</v>
      </c>
      <c r="B115" s="196" t="s">
        <v>262</v>
      </c>
      <c r="C115" s="56" t="s">
        <v>483</v>
      </c>
      <c r="D115" s="91" t="s">
        <v>18</v>
      </c>
    </row>
    <row r="116" spans="1:4" x14ac:dyDescent="0.25">
      <c r="A116" s="195" t="s">
        <v>372</v>
      </c>
      <c r="B116" s="196" t="s">
        <v>371</v>
      </c>
      <c r="C116" s="56" t="s">
        <v>483</v>
      </c>
      <c r="D116" s="91" t="s">
        <v>373</v>
      </c>
    </row>
    <row r="117" spans="1:4" x14ac:dyDescent="0.25">
      <c r="A117" s="195" t="s">
        <v>507</v>
      </c>
      <c r="B117" s="196" t="s">
        <v>506</v>
      </c>
      <c r="C117" s="56" t="s">
        <v>483</v>
      </c>
      <c r="D117" s="91" t="s">
        <v>508</v>
      </c>
    </row>
    <row r="118" spans="1:4" x14ac:dyDescent="0.25">
      <c r="A118" s="195" t="s">
        <v>336</v>
      </c>
      <c r="B118" s="196" t="s">
        <v>335</v>
      </c>
      <c r="C118" s="56" t="s">
        <v>483</v>
      </c>
      <c r="D118" s="91" t="s">
        <v>39</v>
      </c>
    </row>
    <row r="119" spans="1:4" x14ac:dyDescent="0.25">
      <c r="A119" s="195" t="s">
        <v>377</v>
      </c>
      <c r="B119" s="196" t="s">
        <v>376</v>
      </c>
      <c r="C119" s="56" t="s">
        <v>483</v>
      </c>
      <c r="D119" s="91" t="s">
        <v>378</v>
      </c>
    </row>
    <row r="120" spans="1:4" x14ac:dyDescent="0.25">
      <c r="A120" s="195" t="s">
        <v>327</v>
      </c>
      <c r="B120" s="196" t="s">
        <v>326</v>
      </c>
      <c r="C120" s="56" t="s">
        <v>483</v>
      </c>
      <c r="D120" s="91" t="s">
        <v>328</v>
      </c>
    </row>
    <row r="121" spans="1:4" x14ac:dyDescent="0.25">
      <c r="A121" s="195" t="s">
        <v>1157</v>
      </c>
      <c r="B121" s="196" t="s">
        <v>1158</v>
      </c>
      <c r="C121" s="56" t="s">
        <v>483</v>
      </c>
      <c r="D121" s="91" t="s">
        <v>1159</v>
      </c>
    </row>
    <row r="122" spans="1:4" x14ac:dyDescent="0.25">
      <c r="A122" s="195" t="s">
        <v>260</v>
      </c>
      <c r="B122" s="196" t="s">
        <v>259</v>
      </c>
      <c r="C122" s="56" t="s">
        <v>483</v>
      </c>
      <c r="D122" s="91" t="s">
        <v>261</v>
      </c>
    </row>
    <row r="123" spans="1:4" x14ac:dyDescent="0.25">
      <c r="A123" s="195" t="s">
        <v>380</v>
      </c>
      <c r="B123" s="196" t="s">
        <v>379</v>
      </c>
      <c r="C123" s="56" t="s">
        <v>483</v>
      </c>
      <c r="D123" s="91" t="s">
        <v>381</v>
      </c>
    </row>
    <row r="124" spans="1:4" x14ac:dyDescent="0.25">
      <c r="A124" s="195" t="s">
        <v>309</v>
      </c>
      <c r="B124" s="196" t="s">
        <v>308</v>
      </c>
      <c r="C124" s="56" t="s">
        <v>483</v>
      </c>
      <c r="D124" s="91" t="s">
        <v>310</v>
      </c>
    </row>
    <row r="125" spans="1:4" x14ac:dyDescent="0.25">
      <c r="A125" s="195" t="s">
        <v>440</v>
      </c>
      <c r="B125" s="196" t="s">
        <v>439</v>
      </c>
      <c r="C125" s="56" t="s">
        <v>483</v>
      </c>
      <c r="D125" s="91" t="s">
        <v>441</v>
      </c>
    </row>
    <row r="126" spans="1:4" x14ac:dyDescent="0.25">
      <c r="A126" s="195" t="s">
        <v>347</v>
      </c>
      <c r="B126" s="196" t="s">
        <v>346</v>
      </c>
      <c r="C126" s="56" t="s">
        <v>483</v>
      </c>
      <c r="D126" s="91" t="s">
        <v>348</v>
      </c>
    </row>
    <row r="127" spans="1:4" x14ac:dyDescent="0.25">
      <c r="A127" s="195" t="s">
        <v>383</v>
      </c>
      <c r="B127" s="196" t="s">
        <v>382</v>
      </c>
      <c r="C127" s="56" t="s">
        <v>483</v>
      </c>
      <c r="D127" s="91" t="s">
        <v>384</v>
      </c>
    </row>
    <row r="128" spans="1:4" x14ac:dyDescent="0.25">
      <c r="A128" s="195" t="s">
        <v>485</v>
      </c>
      <c r="B128" s="196" t="s">
        <v>349</v>
      </c>
      <c r="C128" s="56" t="s">
        <v>483</v>
      </c>
      <c r="D128" s="91" t="s">
        <v>350</v>
      </c>
    </row>
    <row r="129" spans="1:4" x14ac:dyDescent="0.25">
      <c r="A129" s="195" t="s">
        <v>776</v>
      </c>
      <c r="B129" s="196" t="s">
        <v>777</v>
      </c>
      <c r="C129" s="56" t="s">
        <v>483</v>
      </c>
      <c r="D129" s="91" t="s">
        <v>778</v>
      </c>
    </row>
    <row r="130" spans="1:4" x14ac:dyDescent="0.25">
      <c r="A130" s="195" t="s">
        <v>265</v>
      </c>
      <c r="B130" s="196" t="s">
        <v>264</v>
      </c>
      <c r="C130" s="56" t="s">
        <v>483</v>
      </c>
      <c r="D130" s="91" t="s">
        <v>266</v>
      </c>
    </row>
    <row r="131" spans="1:4" x14ac:dyDescent="0.25">
      <c r="A131" s="195" t="s">
        <v>318</v>
      </c>
      <c r="B131" s="196" t="s">
        <v>317</v>
      </c>
      <c r="C131" s="56" t="s">
        <v>483</v>
      </c>
      <c r="D131" s="91" t="s">
        <v>319</v>
      </c>
    </row>
    <row r="132" spans="1:4" x14ac:dyDescent="0.25">
      <c r="A132" s="195" t="s">
        <v>423</v>
      </c>
      <c r="B132" s="196" t="s">
        <v>422</v>
      </c>
      <c r="C132" s="56" t="s">
        <v>483</v>
      </c>
      <c r="D132" s="91" t="s">
        <v>424</v>
      </c>
    </row>
    <row r="133" spans="1:4" x14ac:dyDescent="0.25">
      <c r="A133" s="195" t="s">
        <v>386</v>
      </c>
      <c r="B133" s="196" t="s">
        <v>385</v>
      </c>
      <c r="C133" s="56" t="s">
        <v>483</v>
      </c>
      <c r="D133" s="91" t="s">
        <v>387</v>
      </c>
    </row>
    <row r="134" spans="1:4" x14ac:dyDescent="0.25">
      <c r="A134" s="195" t="s">
        <v>452</v>
      </c>
      <c r="B134" s="196" t="s">
        <v>451</v>
      </c>
      <c r="C134" s="56" t="s">
        <v>483</v>
      </c>
      <c r="D134" s="91" t="s">
        <v>453</v>
      </c>
    </row>
    <row r="135" spans="1:4" x14ac:dyDescent="0.25">
      <c r="A135" s="195" t="s">
        <v>268</v>
      </c>
      <c r="B135" s="196" t="s">
        <v>267</v>
      </c>
      <c r="C135" s="56" t="s">
        <v>483</v>
      </c>
      <c r="D135" s="91" t="s">
        <v>269</v>
      </c>
    </row>
    <row r="136" spans="1:4" x14ac:dyDescent="0.25">
      <c r="A136" s="195" t="s">
        <v>443</v>
      </c>
      <c r="B136" s="196" t="s">
        <v>442</v>
      </c>
      <c r="C136" s="56" t="s">
        <v>483</v>
      </c>
      <c r="D136" s="91" t="s">
        <v>444</v>
      </c>
    </row>
    <row r="137" spans="1:4" x14ac:dyDescent="0.25">
      <c r="A137" s="195" t="s">
        <v>352</v>
      </c>
      <c r="B137" s="196" t="s">
        <v>351</v>
      </c>
      <c r="C137" s="56" t="s">
        <v>483</v>
      </c>
      <c r="D137" s="91" t="s">
        <v>353</v>
      </c>
    </row>
    <row r="138" spans="1:4" x14ac:dyDescent="0.25">
      <c r="A138" s="195" t="s">
        <v>389</v>
      </c>
      <c r="B138" s="196" t="s">
        <v>388</v>
      </c>
      <c r="C138" s="56" t="s">
        <v>483</v>
      </c>
      <c r="D138" s="91" t="s">
        <v>390</v>
      </c>
    </row>
    <row r="139" spans="1:4" x14ac:dyDescent="0.25">
      <c r="A139" s="195" t="s">
        <v>455</v>
      </c>
      <c r="B139" s="196" t="s">
        <v>454</v>
      </c>
      <c r="C139" s="56" t="s">
        <v>483</v>
      </c>
      <c r="D139" s="91" t="s">
        <v>456</v>
      </c>
    </row>
    <row r="140" spans="1:4" x14ac:dyDescent="0.25">
      <c r="A140" s="195" t="s">
        <v>344</v>
      </c>
      <c r="B140" s="196" t="s">
        <v>343</v>
      </c>
      <c r="C140" s="56" t="s">
        <v>483</v>
      </c>
      <c r="D140" s="91" t="s">
        <v>345</v>
      </c>
    </row>
    <row r="141" spans="1:4" x14ac:dyDescent="0.25">
      <c r="A141" s="195" t="s">
        <v>409</v>
      </c>
      <c r="B141" s="196" t="s">
        <v>408</v>
      </c>
      <c r="C141" s="56" t="s">
        <v>483</v>
      </c>
      <c r="D141" s="91" t="s">
        <v>410</v>
      </c>
    </row>
    <row r="142" spans="1:4" x14ac:dyDescent="0.25">
      <c r="A142" s="195" t="s">
        <v>779</v>
      </c>
      <c r="B142" s="196" t="s">
        <v>780</v>
      </c>
      <c r="C142" s="56" t="s">
        <v>483</v>
      </c>
      <c r="D142" s="91" t="s">
        <v>781</v>
      </c>
    </row>
    <row r="143" spans="1:4" x14ac:dyDescent="0.25">
      <c r="A143" s="195" t="s">
        <v>514</v>
      </c>
      <c r="B143" s="196" t="s">
        <v>513</v>
      </c>
      <c r="C143" s="56" t="s">
        <v>483</v>
      </c>
      <c r="D143" s="91" t="s">
        <v>515</v>
      </c>
    </row>
    <row r="144" spans="1:4" x14ac:dyDescent="0.25">
      <c r="A144" s="195" t="s">
        <v>446</v>
      </c>
      <c r="B144" s="196" t="s">
        <v>445</v>
      </c>
      <c r="C144" s="56" t="s">
        <v>483</v>
      </c>
      <c r="D144" s="91" t="s">
        <v>447</v>
      </c>
    </row>
    <row r="145" spans="1:4" x14ac:dyDescent="0.25">
      <c r="A145" s="195" t="s">
        <v>554</v>
      </c>
      <c r="B145" s="196" t="s">
        <v>553</v>
      </c>
      <c r="C145" s="56" t="s">
        <v>483</v>
      </c>
      <c r="D145" s="91" t="s">
        <v>555</v>
      </c>
    </row>
    <row r="146" spans="1:4" x14ac:dyDescent="0.25">
      <c r="A146" s="195" t="s">
        <v>406</v>
      </c>
      <c r="B146" s="196" t="s">
        <v>405</v>
      </c>
      <c r="C146" s="56" t="s">
        <v>483</v>
      </c>
      <c r="D146" s="91" t="s">
        <v>407</v>
      </c>
    </row>
    <row r="147" spans="1:4" x14ac:dyDescent="0.25">
      <c r="A147" s="195" t="s">
        <v>1160</v>
      </c>
      <c r="B147" s="196" t="s">
        <v>782</v>
      </c>
      <c r="C147" s="56" t="s">
        <v>483</v>
      </c>
      <c r="D147" s="91" t="s">
        <v>783</v>
      </c>
    </row>
    <row r="148" spans="1:4" x14ac:dyDescent="0.25">
      <c r="A148" s="195" t="s">
        <v>403</v>
      </c>
      <c r="B148" s="196" t="s">
        <v>402</v>
      </c>
      <c r="C148" s="56" t="s">
        <v>483</v>
      </c>
      <c r="D148" s="91" t="s">
        <v>404</v>
      </c>
    </row>
    <row r="149" spans="1:4" x14ac:dyDescent="0.25">
      <c r="A149" s="195" t="s">
        <v>418</v>
      </c>
      <c r="B149" s="196" t="s">
        <v>417</v>
      </c>
      <c r="C149" s="56" t="s">
        <v>483</v>
      </c>
      <c r="D149" s="91" t="s">
        <v>419</v>
      </c>
    </row>
    <row r="150" spans="1:4" x14ac:dyDescent="0.25">
      <c r="A150" s="195" t="s">
        <v>517</v>
      </c>
      <c r="B150" s="196" t="s">
        <v>516</v>
      </c>
      <c r="C150" s="56" t="s">
        <v>483</v>
      </c>
      <c r="D150" s="91" t="s">
        <v>53</v>
      </c>
    </row>
    <row r="151" spans="1:4" x14ac:dyDescent="0.25">
      <c r="A151" s="195" t="s">
        <v>392</v>
      </c>
      <c r="B151" s="196" t="s">
        <v>391</v>
      </c>
      <c r="C151" s="56" t="s">
        <v>483</v>
      </c>
      <c r="D151" s="91" t="s">
        <v>393</v>
      </c>
    </row>
    <row r="152" spans="1:4" x14ac:dyDescent="0.25">
      <c r="A152" s="195" t="s">
        <v>518</v>
      </c>
      <c r="B152" s="196" t="s">
        <v>428</v>
      </c>
      <c r="C152" s="56" t="s">
        <v>483</v>
      </c>
      <c r="D152" s="91" t="s">
        <v>429</v>
      </c>
    </row>
    <row r="153" spans="1:4" x14ac:dyDescent="0.25">
      <c r="A153" s="195" t="s">
        <v>426</v>
      </c>
      <c r="B153" s="196" t="s">
        <v>425</v>
      </c>
      <c r="C153" s="56" t="s">
        <v>483</v>
      </c>
      <c r="D153" s="91" t="s">
        <v>427</v>
      </c>
    </row>
    <row r="154" spans="1:4" x14ac:dyDescent="0.25">
      <c r="A154" s="195" t="s">
        <v>277</v>
      </c>
      <c r="B154" s="196" t="s">
        <v>276</v>
      </c>
      <c r="C154" s="56" t="s">
        <v>483</v>
      </c>
      <c r="D154" s="91" t="s">
        <v>278</v>
      </c>
    </row>
    <row r="155" spans="1:4" x14ac:dyDescent="0.25">
      <c r="A155" s="195" t="s">
        <v>784</v>
      </c>
      <c r="B155" s="196" t="s">
        <v>785</v>
      </c>
      <c r="C155" s="56" t="s">
        <v>483</v>
      </c>
      <c r="D155" s="91" t="s">
        <v>786</v>
      </c>
    </row>
    <row r="156" spans="1:4" x14ac:dyDescent="0.25">
      <c r="A156" s="195" t="s">
        <v>251</v>
      </c>
      <c r="B156" s="196" t="s">
        <v>250</v>
      </c>
      <c r="C156" s="56" t="s">
        <v>483</v>
      </c>
      <c r="D156" s="91" t="s">
        <v>252</v>
      </c>
    </row>
    <row r="157" spans="1:4" x14ac:dyDescent="0.25">
      <c r="A157" s="195" t="s">
        <v>520</v>
      </c>
      <c r="B157" s="196" t="s">
        <v>519</v>
      </c>
      <c r="C157" s="56" t="s">
        <v>483</v>
      </c>
      <c r="D157" s="91" t="s">
        <v>521</v>
      </c>
    </row>
    <row r="158" spans="1:4" x14ac:dyDescent="0.25">
      <c r="A158" s="195" t="s">
        <v>1161</v>
      </c>
      <c r="B158" s="196" t="s">
        <v>1162</v>
      </c>
      <c r="C158" s="56" t="s">
        <v>483</v>
      </c>
      <c r="D158" s="91" t="s">
        <v>1163</v>
      </c>
    </row>
    <row r="159" spans="1:4" x14ac:dyDescent="0.25">
      <c r="A159" s="195" t="s">
        <v>557</v>
      </c>
      <c r="B159" s="196" t="s">
        <v>556</v>
      </c>
      <c r="C159" s="56" t="s">
        <v>483</v>
      </c>
      <c r="D159" s="91" t="s">
        <v>558</v>
      </c>
    </row>
    <row r="160" spans="1:4" x14ac:dyDescent="0.25">
      <c r="A160" s="195" t="s">
        <v>523</v>
      </c>
      <c r="B160" s="196" t="s">
        <v>522</v>
      </c>
      <c r="C160" s="56" t="s">
        <v>483</v>
      </c>
      <c r="D160" s="91" t="s">
        <v>524</v>
      </c>
    </row>
    <row r="161" spans="1:4" x14ac:dyDescent="0.25">
      <c r="A161" s="195" t="s">
        <v>341</v>
      </c>
      <c r="B161" s="196" t="s">
        <v>340</v>
      </c>
      <c r="C161" s="56" t="s">
        <v>483</v>
      </c>
      <c r="D161" s="91" t="s">
        <v>342</v>
      </c>
    </row>
    <row r="162" spans="1:4" x14ac:dyDescent="0.25">
      <c r="A162" s="195" t="s">
        <v>400</v>
      </c>
      <c r="B162" s="196" t="s">
        <v>399</v>
      </c>
      <c r="C162" s="56" t="s">
        <v>483</v>
      </c>
      <c r="D162" s="91" t="s">
        <v>401</v>
      </c>
    </row>
    <row r="163" spans="1:4" x14ac:dyDescent="0.25">
      <c r="A163" s="195" t="s">
        <v>449</v>
      </c>
      <c r="B163" s="196" t="s">
        <v>448</v>
      </c>
      <c r="C163" s="56" t="s">
        <v>483</v>
      </c>
      <c r="D163" s="91" t="s">
        <v>450</v>
      </c>
    </row>
    <row r="164" spans="1:4" x14ac:dyDescent="0.25">
      <c r="A164" s="195" t="s">
        <v>395</v>
      </c>
      <c r="B164" s="196" t="s">
        <v>394</v>
      </c>
      <c r="C164" s="56" t="s">
        <v>483</v>
      </c>
      <c r="D164" s="91" t="s">
        <v>396</v>
      </c>
    </row>
    <row r="165" spans="1:4" x14ac:dyDescent="0.25">
      <c r="A165" s="90" t="s">
        <v>1164</v>
      </c>
      <c r="B165" s="56" t="s">
        <v>294</v>
      </c>
      <c r="C165" s="56" t="s">
        <v>483</v>
      </c>
      <c r="D165" s="91" t="s">
        <v>295</v>
      </c>
    </row>
    <row r="166" spans="1:4" x14ac:dyDescent="0.25">
      <c r="A166" s="90" t="s">
        <v>431</v>
      </c>
      <c r="B166" s="56" t="s">
        <v>430</v>
      </c>
      <c r="C166" s="56" t="s">
        <v>483</v>
      </c>
      <c r="D166" s="91" t="s">
        <v>432</v>
      </c>
    </row>
    <row r="167" spans="1:4" x14ac:dyDescent="0.25">
      <c r="A167" s="90" t="s">
        <v>434</v>
      </c>
      <c r="B167" s="56" t="s">
        <v>433</v>
      </c>
      <c r="C167" s="56" t="s">
        <v>483</v>
      </c>
      <c r="D167" s="91" t="s">
        <v>435</v>
      </c>
    </row>
    <row r="168" spans="1:4" x14ac:dyDescent="0.25">
      <c r="A168" s="90" t="s">
        <v>360</v>
      </c>
      <c r="B168" s="56" t="s">
        <v>359</v>
      </c>
      <c r="C168" s="56" t="s">
        <v>483</v>
      </c>
      <c r="D168" s="91" t="s">
        <v>361</v>
      </c>
    </row>
    <row r="169" spans="1:4" x14ac:dyDescent="0.25">
      <c r="A169" s="90" t="s">
        <v>289</v>
      </c>
      <c r="B169" s="56" t="s">
        <v>288</v>
      </c>
      <c r="C169" s="56" t="s">
        <v>483</v>
      </c>
      <c r="D169" s="91" t="s">
        <v>290</v>
      </c>
    </row>
    <row r="170" spans="1:4" x14ac:dyDescent="0.25">
      <c r="A170" s="90" t="s">
        <v>421</v>
      </c>
      <c r="B170" s="56" t="s">
        <v>420</v>
      </c>
      <c r="C170" s="56" t="s">
        <v>483</v>
      </c>
      <c r="D170" s="91" t="s">
        <v>11</v>
      </c>
    </row>
    <row r="171" spans="1:4" x14ac:dyDescent="0.25">
      <c r="A171" s="90" t="s">
        <v>526</v>
      </c>
      <c r="B171" s="56" t="s">
        <v>525</v>
      </c>
      <c r="C171" s="56" t="s">
        <v>483</v>
      </c>
      <c r="D171" s="91" t="s">
        <v>527</v>
      </c>
    </row>
    <row r="172" spans="1:4" x14ac:dyDescent="0.25">
      <c r="A172" s="90" t="s">
        <v>271</v>
      </c>
      <c r="B172" s="56" t="s">
        <v>270</v>
      </c>
      <c r="C172" s="56" t="s">
        <v>483</v>
      </c>
      <c r="D172" s="91" t="s">
        <v>272</v>
      </c>
    </row>
    <row r="173" spans="1:4" x14ac:dyDescent="0.25">
      <c r="A173" s="90" t="s">
        <v>312</v>
      </c>
      <c r="B173" s="56" t="s">
        <v>311</v>
      </c>
      <c r="C173" s="56" t="s">
        <v>483</v>
      </c>
      <c r="D173" s="91" t="s">
        <v>313</v>
      </c>
    </row>
    <row r="174" spans="1:4" x14ac:dyDescent="0.25">
      <c r="A174" s="90" t="s">
        <v>437</v>
      </c>
      <c r="B174" s="56" t="s">
        <v>436</v>
      </c>
      <c r="C174" s="56" t="s">
        <v>483</v>
      </c>
      <c r="D174" s="91" t="s">
        <v>438</v>
      </c>
    </row>
    <row r="175" spans="1:4" x14ac:dyDescent="0.25">
      <c r="A175" s="90" t="s">
        <v>206</v>
      </c>
      <c r="B175" s="56" t="s">
        <v>205</v>
      </c>
      <c r="C175" s="56" t="s">
        <v>483</v>
      </c>
      <c r="D175" s="91" t="s">
        <v>207</v>
      </c>
    </row>
    <row r="176" spans="1:4" x14ac:dyDescent="0.25">
      <c r="A176" s="92" t="s">
        <v>500</v>
      </c>
      <c r="B176" s="93" t="s">
        <v>397</v>
      </c>
      <c r="C176" s="93" t="s">
        <v>483</v>
      </c>
      <c r="D176" s="94" t="s">
        <v>398</v>
      </c>
    </row>
  </sheetData>
  <sheetProtection algorithmName="SHA-512" hashValue="bHI7Ern+mIfRBobUMec4zR6Wf4A5a6iH8p6QA1DX1AD8JPDFdp91N+bvw1qy7hMLtmvVRHlrT3K0b3SyLZN1hA==" saltValue="K7mtt2FmOTKQp4tzuUPgAQ==" spinCount="100000" sheet="1" objects="1" scenarios="1"/>
  <autoFilter ref="A2:D176" xr:uid="{BFC025A6-B294-433D-AA09-8C965A757D0C}"/>
  <mergeCells count="5">
    <mergeCell ref="A1:D1"/>
    <mergeCell ref="F52:G52"/>
    <mergeCell ref="F26:H26"/>
    <mergeCell ref="F1:H1"/>
    <mergeCell ref="J1:K1"/>
  </mergeCells>
  <pageMargins left="0.70866141732283461" right="0.70866141732283461" top="0.55118110236220474" bottom="0.55118110236220474" header="0.11811023622047244" footer="0.11811023622047244"/>
  <pageSetup paperSize="9" scale="3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8"/>
  <sheetViews>
    <sheetView showGridLines="0" zoomScale="90" zoomScaleNormal="90" workbookViewId="0">
      <pane ySplit="10" topLeftCell="A11" activePane="bottomLeft" state="frozen"/>
      <selection pane="bottomLeft" activeCell="F40" sqref="F40"/>
    </sheetView>
  </sheetViews>
  <sheetFormatPr defaultColWidth="9.109375" defaultRowHeight="10.199999999999999" x14ac:dyDescent="0.2"/>
  <cols>
    <col min="1" max="1" width="7.6640625" style="31" customWidth="1"/>
    <col min="2" max="2" width="10.88671875" style="31" customWidth="1"/>
    <col min="3" max="3" width="10.33203125" style="31" customWidth="1"/>
    <col min="4" max="4" width="15.109375" style="31" customWidth="1"/>
    <col min="5" max="5" width="16.44140625" style="31" bestFit="1" customWidth="1"/>
    <col min="6" max="6" width="22" style="41" customWidth="1"/>
    <col min="7" max="7" width="12" style="31" customWidth="1"/>
    <col min="8" max="8" width="109.44140625" style="31" customWidth="1"/>
    <col min="9" max="16384" width="9.109375" style="31"/>
  </cols>
  <sheetData>
    <row r="1" spans="1:8" ht="14.4" x14ac:dyDescent="0.2">
      <c r="A1" s="270" t="str">
        <f>VLOOKUP("G00",tblTranslation[],LangNameID,FALSE) &amp;" ( "&amp;Idiom&amp;" )"</f>
        <v>Instructions to complete the form ( ENG )</v>
      </c>
      <c r="B1" s="270"/>
      <c r="C1" s="270"/>
      <c r="D1" s="270"/>
      <c r="E1" s="270"/>
      <c r="F1" s="270"/>
      <c r="G1" s="270"/>
      <c r="H1" s="270"/>
    </row>
    <row r="2" spans="1:8" ht="13.8" x14ac:dyDescent="0.2">
      <c r="A2" s="271" t="str">
        <f>VLOOKUP("G01",tblTranslation[],LangFieldID,FALSE)</f>
        <v>General</v>
      </c>
      <c r="B2" s="271"/>
      <c r="C2" s="271"/>
      <c r="D2" s="271"/>
      <c r="E2" s="271"/>
      <c r="F2" s="38"/>
      <c r="G2" s="32"/>
      <c r="H2" s="33"/>
    </row>
    <row r="3" spans="1:8" x14ac:dyDescent="0.2">
      <c r="A3" s="33" t="s">
        <v>574</v>
      </c>
      <c r="B3" s="272" t="str">
        <f>VLOOKUP("G01a",tblTranslation[],LangNameID,FALSE)</f>
        <v>Complete as far as possible the Header and Detail sections (don't leave fields empty where information is known)</v>
      </c>
      <c r="C3" s="272"/>
      <c r="D3" s="272"/>
      <c r="E3" s="272"/>
      <c r="F3" s="272"/>
      <c r="G3" s="272"/>
      <c r="H3" s="272"/>
    </row>
    <row r="4" spans="1:8" x14ac:dyDescent="0.2">
      <c r="A4" s="33" t="s">
        <v>575</v>
      </c>
      <c r="B4" s="272" t="str">
        <f>VLOOKUP("G01b",tblTranslation[],LangNameID,FALSE)</f>
        <v>In Header section, only white cells can be filled (manually or by selecting from the Combo Box the corresponding code)</v>
      </c>
      <c r="C4" s="272"/>
      <c r="D4" s="272"/>
      <c r="E4" s="272"/>
      <c r="F4" s="272"/>
      <c r="G4" s="272"/>
      <c r="H4" s="272"/>
    </row>
    <row r="5" spans="1:8" x14ac:dyDescent="0.2">
      <c r="A5" s="33" t="s">
        <v>576</v>
      </c>
      <c r="B5" s="272" t="str">
        <f>VLOOKUP("G01c",tblTranslation[],LangNameID,FALSE)</f>
        <v>Always use ICCAT standard codes (when element "OTHERS" of various fields is required it must be explicitly described in "Notes")</v>
      </c>
      <c r="C5" s="272"/>
      <c r="D5" s="272"/>
      <c r="E5" s="272"/>
      <c r="F5" s="272"/>
      <c r="G5" s="272"/>
      <c r="H5" s="272"/>
    </row>
    <row r="6" spans="1:8" x14ac:dyDescent="0.2">
      <c r="A6" s="33" t="s">
        <v>577</v>
      </c>
      <c r="B6" s="272" t="str">
        <f>VLOOKUP("G01d",tblTranslation[],LangNameID,FALSE)</f>
        <v>Recommendation for users with databases: To paste an entire dataset into the Detail section (must have the same structure and format) use "Paste special (values)"</v>
      </c>
      <c r="C6" s="272"/>
      <c r="D6" s="272"/>
      <c r="E6" s="272"/>
      <c r="F6" s="272"/>
      <c r="G6" s="272"/>
      <c r="H6" s="272"/>
    </row>
    <row r="7" spans="1:8" x14ac:dyDescent="0.2">
      <c r="A7" s="33" t="s">
        <v>578</v>
      </c>
      <c r="B7" s="272" t="str">
        <f>VLOOKUP("G01e",tblTranslation[],LangNameID,FALSE)</f>
        <v>Leave "blank" the fields for which you don't collect information</v>
      </c>
      <c r="C7" s="272"/>
      <c r="D7" s="272"/>
      <c r="E7" s="272"/>
      <c r="F7" s="272"/>
      <c r="G7" s="272"/>
      <c r="H7" s="272"/>
    </row>
    <row r="8" spans="1:8" x14ac:dyDescent="0.2">
      <c r="A8" s="34"/>
      <c r="B8" s="34"/>
      <c r="C8" s="6"/>
      <c r="D8" s="6"/>
      <c r="E8" s="6"/>
      <c r="F8" s="39"/>
      <c r="G8" s="35"/>
      <c r="H8" s="34"/>
    </row>
    <row r="9" spans="1:8" ht="13.8" x14ac:dyDescent="0.2">
      <c r="A9" s="249" t="str">
        <f>VLOOKUP("S00",tblTranslation[],LangFieldID,FALSE)</f>
        <v>Specific (by field)</v>
      </c>
      <c r="B9" s="249"/>
      <c r="C9" s="249"/>
      <c r="D9" s="249"/>
      <c r="E9" s="249"/>
      <c r="F9" s="39"/>
      <c r="G9" s="35"/>
      <c r="H9" s="34"/>
    </row>
    <row r="10" spans="1:8" x14ac:dyDescent="0.2">
      <c r="A10" s="36" t="str">
        <f>VLOOKUP("SC01",tblTranslation[],LangFieldID,FALSE)</f>
        <v>Form</v>
      </c>
      <c r="B10" s="36" t="str">
        <f>VLOOKUP("SC02",tblTranslation[],LangFieldID,FALSE)</f>
        <v>Sub-form</v>
      </c>
      <c r="C10" s="36" t="str">
        <f>VLOOKUP("SC03",tblTranslation[],LangFieldID,FALSE)</f>
        <v>Part</v>
      </c>
      <c r="D10" s="36" t="str">
        <f>VLOOKUP("SC04",tblTranslation[],LangFieldID,FALSE)</f>
        <v>Section</v>
      </c>
      <c r="E10" s="36" t="str">
        <f>VLOOKUP("SC05",tblTranslation[],LangFieldID,FALSE)</f>
        <v>Sub-section</v>
      </c>
      <c r="F10" s="40" t="str">
        <f>VLOOKUP("SC06",tblTranslation[],LangFieldID,FALSE)</f>
        <v>Field (name)</v>
      </c>
      <c r="G10" s="37" t="str">
        <f>VLOOKUP("SC07",tblTranslation[],LangFieldID,FALSE)</f>
        <v>Field (format)</v>
      </c>
      <c r="H10" s="36" t="str">
        <f>VLOOKUP("SC08",tblTranslation[],LangFieldID,FALSE)</f>
        <v>Description</v>
      </c>
    </row>
    <row r="11" spans="1:8" x14ac:dyDescent="0.2">
      <c r="A11" s="256" t="str">
        <f>VLOOKUP("T00",tblTranslation[],LangFieldID,FALSE)</f>
        <v>CP53-ChartrCP_FS</v>
      </c>
      <c r="B11" s="250" t="str">
        <f>VLOOKUP("T01",tblTranslation[],LangFieldID,FALSE)</f>
        <v>Title</v>
      </c>
      <c r="C11" s="251"/>
      <c r="D11" s="251"/>
      <c r="E11" s="252"/>
      <c r="F11" s="69" t="str">
        <f>VLOOKUP("tVersion",tblTranslation[],LangFieldID,FALSE)</f>
        <v>Version</v>
      </c>
      <c r="G11" s="70" t="str">
        <f>VLOOKUP("tVersion",tblTranslation[],6,FALSE)</f>
        <v>(fixed)</v>
      </c>
      <c r="H11" s="71" t="str">
        <f>VLOOKUP("tVersion",tblTranslation[],LangNameID,FALSE)</f>
        <v>Always use the lastest version of this form.</v>
      </c>
    </row>
    <row r="12" spans="1:8" x14ac:dyDescent="0.2">
      <c r="A12" s="256"/>
      <c r="B12" s="253"/>
      <c r="C12" s="254"/>
      <c r="D12" s="254"/>
      <c r="E12" s="255"/>
      <c r="F12" s="69" t="str">
        <f>VLOOKUP("tLang",tblTranslation[],LangFieldID,FALSE)</f>
        <v>Language</v>
      </c>
      <c r="G12" s="70" t="str">
        <f>VLOOKUP("tLang",tblTranslation[],6,FALSE)</f>
        <v>ICCAT code</v>
      </c>
      <c r="H12" s="71" t="str">
        <f>VLOOKUP("tLang",tblTranslation[],LangNameID,FALSE)</f>
        <v>Choose the language (EN, FR, ES) for form translation</v>
      </c>
    </row>
    <row r="13" spans="1:8" x14ac:dyDescent="0.2">
      <c r="A13" s="256"/>
      <c r="B13" s="256" t="str">
        <f>VLOOKUP("T03",tblTranslation[],LangFieldID,FALSE)</f>
        <v>CP53</v>
      </c>
      <c r="C13" s="256" t="str">
        <f>VLOOKUP("H00",tblTranslation[],LangFieldID,FALSE)</f>
        <v>Header</v>
      </c>
      <c r="D13" s="267" t="str">
        <f>VLOOKUP("H10",tblTranslation[],LangFieldID,FALSE)</f>
        <v>Chartering Correspondent (CP)</v>
      </c>
      <c r="E13" s="267"/>
      <c r="F13" s="72" t="str">
        <f>VLOOKUP("hPerson1",tblTranslation[],LangFieldID,FALSE)</f>
        <v>Name</v>
      </c>
      <c r="G13" s="73" t="str">
        <f>VLOOKUP("hPerson1",tblTranslation[],6,FALSE)</f>
        <v>string</v>
      </c>
      <c r="H13" s="74" t="str">
        <f>VLOOKUP("hPerson1",tblTranslation[],LangNameID,FALSE)</f>
        <v>Enter the name of the person of the chartering Party to be contacted in the event of enquiries</v>
      </c>
    </row>
    <row r="14" spans="1:8" x14ac:dyDescent="0.2">
      <c r="A14" s="256"/>
      <c r="B14" s="256"/>
      <c r="C14" s="256"/>
      <c r="D14" s="267"/>
      <c r="E14" s="267"/>
      <c r="F14" s="72" t="str">
        <f>VLOOKUP("hAgency1",tblTranslation[],LangFieldID,FALSE)</f>
        <v>Reporting Agency</v>
      </c>
      <c r="G14" s="73" t="str">
        <f>VLOOKUP("hAgency1",tblTranslation[],6,FALSE)</f>
        <v>string</v>
      </c>
      <c r="H14" s="74" t="str">
        <f>VLOOKUP("hAgency1",tblTranslation[],LangNameID,FALSE)</f>
        <v>Enter the name of your ministry, institute or agency of the chartering Party</v>
      </c>
    </row>
    <row r="15" spans="1:8" x14ac:dyDescent="0.2">
      <c r="A15" s="256"/>
      <c r="B15" s="256"/>
      <c r="C15" s="256"/>
      <c r="D15" s="267"/>
      <c r="E15" s="267"/>
      <c r="F15" s="72" t="str">
        <f>VLOOKUP("hAddress1",tblTranslation[],LangFieldID,FALSE)</f>
        <v>Address</v>
      </c>
      <c r="G15" s="73" t="str">
        <f>VLOOKUP("hAddress1",tblTranslation[],6,FALSE)</f>
        <v>string</v>
      </c>
      <c r="H15" s="74" t="str">
        <f>VLOOKUP("hAddress1",tblTranslation[],LangNameID,FALSE)</f>
        <v>Enter the street address of your ministry, institute or agency of the chartering Party</v>
      </c>
    </row>
    <row r="16" spans="1:8" x14ac:dyDescent="0.2">
      <c r="A16" s="256"/>
      <c r="B16" s="256"/>
      <c r="C16" s="256"/>
      <c r="D16" s="267"/>
      <c r="E16" s="267"/>
      <c r="F16" s="72" t="str">
        <f>VLOOKUP("hEmail1",tblTranslation[],LangFieldID,FALSE)</f>
        <v>Email</v>
      </c>
      <c r="G16" s="73" t="str">
        <f>VLOOKUP("hEmail1",tblTranslation[],6,FALSE)</f>
        <v>string</v>
      </c>
      <c r="H16" s="74" t="str">
        <f>VLOOKUP("hEmail1",tblTranslation[],LangNameID,FALSE)</f>
        <v>Enter the email address of the person of the chartering Party to be contacted</v>
      </c>
    </row>
    <row r="17" spans="1:9" x14ac:dyDescent="0.2">
      <c r="A17" s="256"/>
      <c r="B17" s="256"/>
      <c r="C17" s="256"/>
      <c r="D17" s="267"/>
      <c r="E17" s="267"/>
      <c r="F17" s="72" t="str">
        <f>VLOOKUP("hPhone1",tblTranslation[],LangFieldID,FALSE)</f>
        <v>Phone</v>
      </c>
      <c r="G17" s="73" t="str">
        <f>VLOOKUP("hPhone1",tblTranslation[],6,FALSE)</f>
        <v>string</v>
      </c>
      <c r="H17" s="74" t="str">
        <f>VLOOKUP("hPhone1",tblTranslation[],LangNameID,FALSE)</f>
        <v>Enter the telephone number of the person of the chartering Party to be contacted</v>
      </c>
    </row>
    <row r="18" spans="1:9" x14ac:dyDescent="0.2">
      <c r="A18" s="256"/>
      <c r="B18" s="256"/>
      <c r="C18" s="256"/>
      <c r="D18" s="267"/>
      <c r="E18" s="267"/>
      <c r="F18" s="144" t="str">
        <f>VLOOKUP("hFlagRep1",tblTranslation[],LangFieldID,FALSE)</f>
        <v>Reporting Flag</v>
      </c>
      <c r="G18" s="73" t="str">
        <f>VLOOKUP("hFlagRep1",tblTranslation[],6,FALSE)</f>
        <v>ICCAT code</v>
      </c>
      <c r="H18" s="74" t="str">
        <f>VLOOKUP("hFlagRep1",tblTranslation[],LangNameID,FALSE)</f>
        <v>Enter the flag of the chartering Party submitting the information</v>
      </c>
    </row>
    <row r="19" spans="1:9" x14ac:dyDescent="0.2">
      <c r="A19" s="256"/>
      <c r="B19" s="256"/>
      <c r="C19" s="256"/>
      <c r="D19" s="266" t="s">
        <v>486</v>
      </c>
      <c r="E19" s="266"/>
      <c r="F19" s="72" t="str">
        <f>VLOOKUP("hDateRep",tblTranslation[],LangFieldID,FALSE)</f>
        <v>Date reported</v>
      </c>
      <c r="G19" s="73" t="str">
        <f>VLOOKUP("hDateRep",tblTranslation[],6,FALSE)</f>
        <v>date</v>
      </c>
      <c r="H19" s="74" t="str">
        <f>VLOOKUP("hDateRep",tblTranslation[],LangNameID,FALSE)</f>
        <v>Secretariat use only</v>
      </c>
    </row>
    <row r="20" spans="1:9" x14ac:dyDescent="0.2">
      <c r="A20" s="256"/>
      <c r="B20" s="256"/>
      <c r="C20" s="256"/>
      <c r="D20" s="267"/>
      <c r="E20" s="267"/>
      <c r="F20" s="72" t="str">
        <f>VLOOKUP("hRef",tblTranslation[],LangFieldID,FALSE)</f>
        <v>Reference Nº</v>
      </c>
      <c r="G20" s="73" t="str">
        <f>VLOOKUP("hRef",tblTranslation[],6,FALSE)</f>
        <v>ICCAT code</v>
      </c>
      <c r="H20" s="74" t="str">
        <f>VLOOKUP("hRef",tblTranslation[],LangNameID,FALSE)</f>
        <v>Secretariat use only</v>
      </c>
    </row>
    <row r="21" spans="1:9" x14ac:dyDescent="0.2">
      <c r="A21" s="256"/>
      <c r="B21" s="256"/>
      <c r="C21" s="256"/>
      <c r="D21" s="267" t="str">
        <f>VLOOKUP("H20",tblTranslation[],LangFieldID,FALSE)</f>
        <v>Flag State Correspondent (FS)</v>
      </c>
      <c r="E21" s="267"/>
      <c r="F21" s="72" t="str">
        <f>VLOOKUP("hPerson2",tblTranslation[],LangFieldID,FALSE)</f>
        <v>Name</v>
      </c>
      <c r="G21" s="73" t="str">
        <f>VLOOKUP("hPerson2",tblTranslation[],6,FALSE)</f>
        <v>string</v>
      </c>
      <c r="H21" s="74" t="str">
        <f>VLOOKUP("hPerson2",tblTranslation[],LangNameID,FALSE)</f>
        <v>Enter the name of the person of the CPC (Party, Entity or Fishing Entity) that is going to charter the Fishing Vessel to be contacted in the event of enquiries</v>
      </c>
    </row>
    <row r="22" spans="1:9" x14ac:dyDescent="0.2">
      <c r="A22" s="256"/>
      <c r="B22" s="256"/>
      <c r="C22" s="256"/>
      <c r="D22" s="267"/>
      <c r="E22" s="267"/>
      <c r="F22" s="72" t="str">
        <f>VLOOKUP("hAgency2",tblTranslation[],LangFieldID,FALSE)</f>
        <v>Reporting Agency</v>
      </c>
      <c r="G22" s="73" t="str">
        <f>VLOOKUP("hAgency2",tblTranslation[],6,FALSE)</f>
        <v>string</v>
      </c>
      <c r="H22" s="74" t="str">
        <f>VLOOKUP("hAgency2",tblTranslation[],LangNameID,FALSE)</f>
        <v>Enter the name of the ministry, institute or agency of the CPC (Party, Entity or Fishing Entity) that is going to charter the Fishing Vessel</v>
      </c>
      <c r="I22" s="79"/>
    </row>
    <row r="23" spans="1:9" x14ac:dyDescent="0.2">
      <c r="A23" s="256"/>
      <c r="B23" s="256"/>
      <c r="C23" s="256"/>
      <c r="D23" s="267"/>
      <c r="E23" s="267"/>
      <c r="F23" s="72" t="str">
        <f>VLOOKUP("hAddress2",tblTranslation[],LangFieldID,FALSE)</f>
        <v>Address</v>
      </c>
      <c r="G23" s="73" t="str">
        <f>VLOOKUP("hAddress2",tblTranslation[],6,FALSE)</f>
        <v>string</v>
      </c>
      <c r="H23" s="74" t="str">
        <f>VLOOKUP("hAddress2",tblTranslation[],LangNameID,FALSE)</f>
        <v>Enter the street address of the ministry, institute or agency of the CPC (Party, Entity or Fishing Entity) that is going to charter the Fishing Vessel</v>
      </c>
      <c r="I23" s="79"/>
    </row>
    <row r="24" spans="1:9" x14ac:dyDescent="0.2">
      <c r="A24" s="256"/>
      <c r="B24" s="256"/>
      <c r="C24" s="256"/>
      <c r="D24" s="267"/>
      <c r="E24" s="267"/>
      <c r="F24" s="72" t="str">
        <f>VLOOKUP("hEmail2",tblTranslation[],LangFieldID,FALSE)</f>
        <v>Email</v>
      </c>
      <c r="G24" s="73" t="str">
        <f>VLOOKUP("hEmail2",tblTranslation[],6,FALSE)</f>
        <v>string</v>
      </c>
      <c r="H24" s="74" t="str">
        <f>VLOOKUP("hEmail2",tblTranslation[],LangNameID,FALSE)</f>
        <v>Enter the email address of the person to be contacted of the CPC (Party, Entity or Fishing Entity) that is going to charter the Fishing Vessel</v>
      </c>
      <c r="I24" s="79"/>
    </row>
    <row r="25" spans="1:9" x14ac:dyDescent="0.2">
      <c r="A25" s="256"/>
      <c r="B25" s="256"/>
      <c r="C25" s="256"/>
      <c r="D25" s="273"/>
      <c r="E25" s="273"/>
      <c r="F25" s="72" t="str">
        <f>VLOOKUP("hPhone2",tblTranslation[],LangFieldID,FALSE)</f>
        <v>Phone</v>
      </c>
      <c r="G25" s="73" t="str">
        <f>VLOOKUP("hPhone2",tblTranslation[],6,FALSE)</f>
        <v>string</v>
      </c>
      <c r="H25" s="74" t="str">
        <f>VLOOKUP("hPhone2",tblTranslation[],LangNameID,FALSE)</f>
        <v>Enter the telephone number of the person of the CPC (Party, Entity or Fishing Entity) to be contacted</v>
      </c>
      <c r="I25" s="79"/>
    </row>
    <row r="26" spans="1:9" x14ac:dyDescent="0.2">
      <c r="A26" s="256"/>
      <c r="B26" s="256"/>
      <c r="C26" s="256"/>
      <c r="D26" s="273"/>
      <c r="E26" s="273"/>
      <c r="F26" s="144" t="str">
        <f>VLOOKUP("hFlagRep2",tblTranslation[],LangFieldID,FALSE)</f>
        <v>Reporting Flag</v>
      </c>
      <c r="G26" s="73" t="str">
        <f>VLOOKUP("hFlagRep2",tblTranslation[],6,FALSE)</f>
        <v>ICCAT code</v>
      </c>
      <c r="H26" s="74" t="str">
        <f>VLOOKUP("hFlagRep2",tblTranslation[],LangNameID,FALSE)</f>
        <v>Enter the flag of the CPC (Party, Entity or Fishing Entity) that is going to charter the Fishing Vessel and submit the information</v>
      </c>
      <c r="I26" s="80"/>
    </row>
    <row r="27" spans="1:9" x14ac:dyDescent="0.2">
      <c r="A27" s="256"/>
      <c r="B27" s="256"/>
      <c r="C27" s="256"/>
      <c r="D27" s="273"/>
      <c r="E27" s="273"/>
      <c r="F27" s="72" t="str">
        <f>VLOOKUP("hFlagOth",tblTranslation[],LangFieldID,FALSE)</f>
        <v>or Other (specify)</v>
      </c>
      <c r="G27" s="73" t="str">
        <f>VLOOKUP("hFlagOth",tblTranslation[],6,FALSE)</f>
        <v>string</v>
      </c>
      <c r="H27" s="74" t="str">
        <f>VLOOKUP("hFlagOth",tblTranslation[],LangNameID,FALSE)</f>
        <v>Enter the flag of the Non Contracting Party or other entity not included in the ICCAT codes that is going to charter the Fishing Vessel</v>
      </c>
      <c r="I27" s="80"/>
    </row>
    <row r="28" spans="1:9" x14ac:dyDescent="0.2">
      <c r="A28" s="256"/>
      <c r="B28" s="256"/>
      <c r="C28" s="256"/>
      <c r="D28" s="267" t="s">
        <v>486</v>
      </c>
      <c r="E28" s="267"/>
      <c r="F28" s="72" t="str">
        <f>VLOOKUP("hDateRep",tblTranslation[],LangFieldID,FALSE)</f>
        <v>Date reported</v>
      </c>
      <c r="G28" s="73" t="str">
        <f>VLOOKUP("hDateRep",tblTranslation[],6,FALSE)</f>
        <v>date</v>
      </c>
      <c r="H28" s="74" t="str">
        <f>VLOOKUP("hDateRep",tblTranslation[],LangNameID,FALSE)</f>
        <v>Secretariat use only</v>
      </c>
      <c r="I28" s="79"/>
    </row>
    <row r="29" spans="1:9" x14ac:dyDescent="0.2">
      <c r="A29" s="256"/>
      <c r="B29" s="256"/>
      <c r="C29" s="256"/>
      <c r="D29" s="267"/>
      <c r="E29" s="267"/>
      <c r="F29" s="72" t="str">
        <f>VLOOKUP("hRef",tblTranslation[],LangFieldID,FALSE)</f>
        <v>Reference Nº</v>
      </c>
      <c r="G29" s="73" t="str">
        <f>VLOOKUP("hRef",tblTranslation[],6,FALSE)</f>
        <v>ICCAT code</v>
      </c>
      <c r="H29" s="74" t="str">
        <f>VLOOKUP("hRef",tblTranslation[],LangNameID,FALSE)</f>
        <v>Secretariat use only</v>
      </c>
    </row>
    <row r="30" spans="1:9" x14ac:dyDescent="0.2">
      <c r="A30" s="256"/>
      <c r="B30" s="256"/>
      <c r="C30" s="256"/>
      <c r="D30" s="267"/>
      <c r="E30" s="267"/>
      <c r="F30" s="72" t="str">
        <f>VLOOKUP("hFname",tblTranslation[],LangFieldID,FALSE)</f>
        <v>File name (proposed)</v>
      </c>
      <c r="G30" s="73" t="str">
        <f>VLOOKUP("hFName",tblTranslation[],6,FALSE)</f>
        <v>string</v>
      </c>
      <c r="H30" s="74" t="str">
        <f>VLOOKUP("hFName",tblTranslation[],LangNameID,FALSE)</f>
        <v>Send the form to ICCAT with the proposed file name (if required, adding a suffix at the end of the filename: [suffix])</v>
      </c>
    </row>
    <row r="31" spans="1:9" ht="20.399999999999999" x14ac:dyDescent="0.2">
      <c r="A31" s="256"/>
      <c r="B31" s="256"/>
      <c r="C31" s="256" t="str">
        <f>VLOOKUP("D00",tblTranslation[],LangFieldID,FALSE)</f>
        <v>Detail</v>
      </c>
      <c r="D31" s="268" t="str">
        <f>VLOOKUP("D10",tblTranslation[],LangFieldID,FALSE)</f>
        <v>Mandatory information (vessels)</v>
      </c>
      <c r="E31" s="263" t="str">
        <f>VLOOKUP("D11",tblTranslation[],LangFieldID,FALSE)</f>
        <v>Identification</v>
      </c>
      <c r="F31" s="75" t="str">
        <f>VLOOKUP("ICCATSerialNo",tblTranslation[],LangFieldID,FALSE)</f>
        <v>ICCAT Serial Number
(If applicable)</v>
      </c>
      <c r="G31" s="76" t="str">
        <f>VLOOKUP("ICCATSerialNo",tblTranslation[],6,FALSE)</f>
        <v>ICCAT code</v>
      </c>
      <c r="H31" s="77" t="str">
        <f>VLOOKUP("ICCATSerialNo",tblTranslation[],LangNameID,FALSE)</f>
        <v>ICCAT serial number (unique) of the Vessel registered. To be completed if the vessel is over 20 m and currently entered on the ICCAT Record of Vessels by the Flag State</v>
      </c>
    </row>
    <row r="32" spans="1:9" x14ac:dyDescent="0.2">
      <c r="A32" s="256"/>
      <c r="B32" s="256"/>
      <c r="C32" s="256"/>
      <c r="D32" s="269"/>
      <c r="E32" s="263"/>
      <c r="F32" s="75" t="str">
        <f>VLOOKUP("NatRegNo",tblTranslation[],LangFieldID,FALSE)</f>
        <v>Nat. Registry Nº (NRN)</v>
      </c>
      <c r="G32" s="76" t="str">
        <f>VLOOKUP("NatRegNo",tblTranslation[],6,FALSE)</f>
        <v>string</v>
      </c>
      <c r="H32" s="77" t="str">
        <f>VLOOKUP("NatRegNo",tblTranslation[],LangNameID,FALSE)</f>
        <v>The national registry number as it appears in the registry of its CPC</v>
      </c>
    </row>
    <row r="33" spans="1:8" ht="20.399999999999999" x14ac:dyDescent="0.2">
      <c r="A33" s="256"/>
      <c r="B33" s="256"/>
      <c r="C33" s="256"/>
      <c r="D33" s="269"/>
      <c r="E33" s="263"/>
      <c r="F33" s="75" t="str">
        <f>VLOOKUP("IMONo",tblTranslation[],LangFieldID,FALSE)</f>
        <v>IMO Number</v>
      </c>
      <c r="G33" s="76" t="str">
        <f>VLOOKUP("IMONo",tblTranslation[],6,FALSE)</f>
        <v>integer</v>
      </c>
      <c r="H33" s="77" t="str">
        <f>VLOOKUP("IMONo",tblTranslation[],LangNameID,FALSE)</f>
        <v>IMO number. All vessels of 20 m or greater must have an IMO number, except wooden LSFVs that are not authorized to fish on the high seas or LSFVs unable to obtain an IMO number</v>
      </c>
    </row>
    <row r="34" spans="1:8" ht="20.399999999999999" x14ac:dyDescent="0.2">
      <c r="A34" s="256"/>
      <c r="B34" s="256"/>
      <c r="C34" s="256"/>
      <c r="D34" s="269"/>
      <c r="E34" s="263"/>
      <c r="F34" s="75" t="str">
        <f>VLOOKUP("IRCS",tblTranslation[],LangFieldID,FALSE)</f>
        <v>Internat. RCS</v>
      </c>
      <c r="G34" s="76" t="str">
        <f>VLOOKUP("IRCS",tblTranslation[],6,FALSE)</f>
        <v>string</v>
      </c>
      <c r="H34" s="77" t="str">
        <f>VLOOKUP("IRCS",tblTranslation[],LangNameID,FALSE)</f>
        <v>International Radio Call Sign. This must comprise only letters and numbers, e.g. 7T2472 (no spaces, "-", ".", or any other special character are allowed. If the vessel is too small to have an IRCS assigned, then "n/a" should be entered</v>
      </c>
    </row>
    <row r="35" spans="1:8" x14ac:dyDescent="0.2">
      <c r="A35" s="256"/>
      <c r="B35" s="256"/>
      <c r="C35" s="256"/>
      <c r="D35" s="269"/>
      <c r="E35" s="263"/>
      <c r="F35" s="75" t="str">
        <f>VLOOKUP("VesselName",tblTranslation[],LangFieldID,FALSE)</f>
        <v>Vessel name (Latin)</v>
      </c>
      <c r="G35" s="76" t="str">
        <f>VLOOKUP("VesselName",tblTranslation[],6,FALSE)</f>
        <v>string</v>
      </c>
      <c r="H35" s="77" t="str">
        <f>VLOOKUP("VesselName",tblTranslation[],LangNameID,FALSE)</f>
        <v>Vessel name in Latin script</v>
      </c>
    </row>
    <row r="36" spans="1:8" x14ac:dyDescent="0.2">
      <c r="A36" s="256"/>
      <c r="B36" s="256"/>
      <c r="C36" s="256"/>
      <c r="D36" s="269"/>
      <c r="E36" s="263"/>
      <c r="F36" s="78" t="str">
        <f>VLOOKUP("FlagCPCd",tblTranslation[],LangFieldID,FALSE)</f>
        <v>Flag (Chartering)</v>
      </c>
      <c r="G36" s="76" t="str">
        <f>VLOOKUP("FlagCPCd",tblTranslation[],6,FALSE)</f>
        <v>ICCAT code</v>
      </c>
      <c r="H36" s="77" t="str">
        <f>VLOOKUP("FlagCPCd",tblTranslation[],LangNameID,FALSE)</f>
        <v>Select the flag (choose from available flag codes) of the chartering party</v>
      </c>
    </row>
    <row r="37" spans="1:8" x14ac:dyDescent="0.2">
      <c r="A37" s="256"/>
      <c r="B37" s="256"/>
      <c r="C37" s="256"/>
      <c r="D37" s="269"/>
      <c r="E37" s="263"/>
      <c r="F37" s="78" t="str">
        <f>VLOOKUP("FlagFSCd",tblTranslation[],LangFieldID,FALSE)</f>
        <v>Flag (Flag State)</v>
      </c>
      <c r="G37" s="76" t="str">
        <f>VLOOKUP("FlagFSCd",tblTranslation[],6,FALSE)</f>
        <v>ICCAT code</v>
      </c>
      <c r="H37" s="77" t="str">
        <f>VLOOKUP("FlagFSCd",tblTranslation[],LangNameID,FALSE)</f>
        <v>Select the flag (choose from available flag codes) under which the vessel to be chartered is registered</v>
      </c>
    </row>
    <row r="38" spans="1:8" ht="20.399999999999999" x14ac:dyDescent="0.2">
      <c r="A38" s="256"/>
      <c r="B38" s="256"/>
      <c r="C38" s="256"/>
      <c r="D38" s="269"/>
      <c r="E38" s="263" t="str">
        <f>VLOOKUP("D12",tblTranslation[],LangFieldID,FALSE)</f>
        <v>Ownership details</v>
      </c>
      <c r="F38" s="75" t="str">
        <f>VLOOKUP("OwName",tblTranslation[],LangFieldID,FALSE)</f>
        <v>Name</v>
      </c>
      <c r="G38" s="76" t="str">
        <f>VLOOKUP("OwName",tblTranslation[],6,FALSE)</f>
        <v>string</v>
      </c>
      <c r="H38" s="77" t="str">
        <f>VLOOKUP("OwName",tblTranslation[],LangNameID,FALSE)</f>
        <v xml:space="preserve">Name of person or company who owns the vessel. If a given vessel has more than one owner these should be separated by  the character "|" (vertical bar). (Max. 150 characters) </v>
      </c>
    </row>
    <row r="39" spans="1:8" x14ac:dyDescent="0.2">
      <c r="A39" s="256"/>
      <c r="B39" s="256"/>
      <c r="C39" s="256"/>
      <c r="D39" s="269"/>
      <c r="E39" s="263"/>
      <c r="F39" s="75" t="str">
        <f>VLOOKUP("OwAddrs",tblTranslation[],LangFieldID,FALSE)</f>
        <v>Address</v>
      </c>
      <c r="G39" s="76" t="str">
        <f>VLOOKUP("OwAddrs",tblTranslation[],6,FALSE)</f>
        <v>string</v>
      </c>
      <c r="H39" s="77" t="str">
        <f>VLOOKUP("OwAddrs",tblTranslation[],LangNameID,FALSE)</f>
        <v>Street address of person or company who owns the vessel</v>
      </c>
    </row>
    <row r="40" spans="1:8" x14ac:dyDescent="0.2">
      <c r="A40" s="256"/>
      <c r="B40" s="256"/>
      <c r="C40" s="256"/>
      <c r="D40" s="269"/>
      <c r="E40" s="264" t="str">
        <f>VLOOKUP("D13",tblTranslation[],LangFieldID,FALSE)</f>
        <v xml:space="preserve">Characteristics </v>
      </c>
      <c r="F40" s="78" t="str">
        <f>VLOOKUP("IsscfvID",tblTranslation[],LangFieldID,FALSE)</f>
        <v>Vessel type (ISSCFV)</v>
      </c>
      <c r="G40" s="76" t="str">
        <f>VLOOKUP("IsscfvID",tblTranslation[],6,FALSE)</f>
        <v>ICCAT code</v>
      </c>
      <c r="H40" s="77" t="str">
        <f>VLOOKUP("IsscfvID",tblTranslation[],LangNameID,FALSE)</f>
        <v>Please check the code sheet for a list of valid 3 Alpha codes. Only one type can be selected for each vessel (choose from the available vessel type codes)</v>
      </c>
    </row>
    <row r="41" spans="1:8" x14ac:dyDescent="0.2">
      <c r="A41" s="256"/>
      <c r="B41" s="256"/>
      <c r="C41" s="256"/>
      <c r="D41" s="269"/>
      <c r="E41" s="264"/>
      <c r="F41" s="78" t="str">
        <f>VLOOKUP("IsscfgID",tblTranslation[],LangFieldID,FALSE)</f>
        <v>Gear type (ISSCFG)</v>
      </c>
      <c r="G41" s="76" t="str">
        <f>VLOOKUP("IsscfgID",tblTranslation[],6,FALSE)</f>
        <v>ICCAT code</v>
      </c>
      <c r="H41" s="77" t="str">
        <f>VLOOKUP("IsscfgID",tblTranslation[],LangNameID,FALSE)</f>
        <v>Please check the code sheet for a list of valid 3 Alpha codes. Only one type can be selected for each fishing gear (choose from the available fishing gear type codes)</v>
      </c>
    </row>
    <row r="42" spans="1:8" ht="20.399999999999999" x14ac:dyDescent="0.2">
      <c r="A42" s="256"/>
      <c r="B42" s="256"/>
      <c r="C42" s="256"/>
      <c r="D42" s="269"/>
      <c r="E42" s="264"/>
      <c r="F42" s="75" t="str">
        <f>VLOOKUP("LengthM",tblTranslation[],LangFieldID,FALSE)</f>
        <v>Length (m)</v>
      </c>
      <c r="G42" s="76" t="str">
        <f>VLOOKUP("LengthM",tblTranslation[],6,FALSE)</f>
        <v>float</v>
      </c>
      <c r="H42" s="77" t="str">
        <f>VLOOKUP("LengthM",tblTranslation[],LangNameID,FALSE)</f>
        <v>Length should be length overall, defined as the distance measured in a straight line between the foremost point of the bow and the aftermost point of the stern. Length should be limited to 1 decimal place (e.g. 23.9)</v>
      </c>
    </row>
    <row r="43" spans="1:8" ht="20.399999999999999" x14ac:dyDescent="0.2">
      <c r="A43" s="256"/>
      <c r="B43" s="256"/>
      <c r="C43" s="256"/>
      <c r="D43" s="269"/>
      <c r="E43" s="264"/>
      <c r="F43" s="78" t="str">
        <f>VLOOKUP("LenType",tblTranslation[],LangFieldID,FALSE)</f>
        <v>Length type</v>
      </c>
      <c r="G43" s="76" t="str">
        <f>VLOOKUP("LenType",tblTranslation[],6,FALSE)</f>
        <v>ICCAT code</v>
      </c>
      <c r="H43" s="77" t="str">
        <f>VLOOKUP("LenType",tblTranslation[],LangNameID,FALSE)</f>
        <v>Two codes are available: LOA (length overall) and OTH (other). The length type should be length overall (LOA). If OTH is reported, an explanation should accompany the submission</v>
      </c>
    </row>
    <row r="44" spans="1:8" x14ac:dyDescent="0.2">
      <c r="A44" s="256"/>
      <c r="B44" s="256"/>
      <c r="C44" s="256"/>
      <c r="D44" s="257" t="str">
        <f>VLOOKUP("D20",tblTranslation[],LangFieldID,FALSE)</f>
        <v>Mandatory information (arrangement)</v>
      </c>
      <c r="E44" s="261" t="str">
        <f>VLOOKUP("D14",tblTranslation[],LangFieldID,FALSE)</f>
        <v>Fishing Activities</v>
      </c>
      <c r="F44" s="82" t="str">
        <f>VLOOKUP("Fishery1Cd",tblTranslation[],LangFieldID,FALSE)</f>
        <v>Fishery 1 (cod)</v>
      </c>
      <c r="G44" s="76" t="str">
        <f>VLOOKUP("Fishery1Cd",tblTranslation[],6,FALSE)</f>
        <v>ICCAT code</v>
      </c>
      <c r="H44" s="77" t="str">
        <f>VLOOKUP("Fishery1Cd",tblTranslation[],LangNameID,FALSE)</f>
        <v>Choose fishery in which the Vessel is going to participate (option 1)</v>
      </c>
    </row>
    <row r="45" spans="1:8" x14ac:dyDescent="0.2">
      <c r="A45" s="256"/>
      <c r="B45" s="256"/>
      <c r="C45" s="256"/>
      <c r="D45" s="258"/>
      <c r="E45" s="262"/>
      <c r="F45" s="82" t="str">
        <f>VLOOKUP("Quota1CP",tblTranslation[],LangFieldID,FALSE)</f>
        <v>Quota 1 allocated (t)</v>
      </c>
      <c r="G45" s="76" t="str">
        <f>VLOOKUP("Quota1CP",tblTranslation[],6,FALSE)</f>
        <v>float</v>
      </c>
      <c r="H45" s="77" t="str">
        <f>VLOOKUP("Quota1CP",tblTranslation[],LangNameID,FALSE)</f>
        <v>Show the quota (in tonnes) allocated to the chartering Party (option 1)</v>
      </c>
    </row>
    <row r="46" spans="1:8" x14ac:dyDescent="0.2">
      <c r="A46" s="256"/>
      <c r="B46" s="256"/>
      <c r="C46" s="256"/>
      <c r="D46" s="258"/>
      <c r="E46" s="262"/>
      <c r="F46" s="82" t="str">
        <f>VLOOKUP("Fishery2Cd",tblTranslation[],LangFieldID,FALSE)</f>
        <v>Fishery 2 (cod)</v>
      </c>
      <c r="G46" s="76" t="str">
        <f>VLOOKUP("Fishery2Cd",tblTranslation[],6,FALSE)</f>
        <v>ICCAT code</v>
      </c>
      <c r="H46" s="77" t="str">
        <f>VLOOKUP("Fishery2Cd",tblTranslation[],LangNameID,FALSE)</f>
        <v>Choose fishery in which the Vessel is going to participate (option 2)</v>
      </c>
    </row>
    <row r="47" spans="1:8" x14ac:dyDescent="0.2">
      <c r="A47" s="256"/>
      <c r="B47" s="256"/>
      <c r="C47" s="256"/>
      <c r="D47" s="258"/>
      <c r="E47" s="262"/>
      <c r="F47" s="82" t="str">
        <f>VLOOKUP("Quota2CP",tblTranslation[],LangFieldID,FALSE)</f>
        <v>Quota 2 allocated (t)</v>
      </c>
      <c r="G47" s="76" t="str">
        <f>VLOOKUP("Quota2CP",tblTranslation[],6,FALSE)</f>
        <v>float</v>
      </c>
      <c r="H47" s="77" t="str">
        <f>VLOOKUP("Quota2CP",tblTranslation[],LangNameID,FALSE)</f>
        <v>Show the quota (in tonnes) allocated to the chartering Party (option 2)</v>
      </c>
    </row>
    <row r="48" spans="1:8" x14ac:dyDescent="0.2">
      <c r="A48" s="256"/>
      <c r="B48" s="256"/>
      <c r="C48" s="256"/>
      <c r="D48" s="258"/>
      <c r="E48" s="262"/>
      <c r="F48" s="82" t="str">
        <f>VLOOKUP("Fishery3Cd",tblTranslation[],LangFieldID,FALSE)</f>
        <v>Fishery 3 (cod)</v>
      </c>
      <c r="G48" s="76" t="str">
        <f>VLOOKUP("Fishery3Cd",tblTranslation[],6,FALSE)</f>
        <v>ICCAT code</v>
      </c>
      <c r="H48" s="77" t="str">
        <f>VLOOKUP("Fishery3Cd",tblTranslation[],LangNameID,FALSE)</f>
        <v>Choose fishery in which the Vessel is going to participate (option 3)</v>
      </c>
    </row>
    <row r="49" spans="1:8" x14ac:dyDescent="0.2">
      <c r="A49" s="256"/>
      <c r="B49" s="256"/>
      <c r="C49" s="256"/>
      <c r="D49" s="258"/>
      <c r="E49" s="262"/>
      <c r="F49" s="82" t="str">
        <f>VLOOKUP("Quota3CP",tblTranslation[],LangFieldID,FALSE)</f>
        <v>Quota 3 allocated (t)</v>
      </c>
      <c r="G49" s="76" t="str">
        <f>VLOOKUP("Quota3CP",tblTranslation[],6,FALSE)</f>
        <v>float</v>
      </c>
      <c r="H49" s="77" t="str">
        <f>VLOOKUP("Quota3CP",tblTranslation[],LangNameID,FALSE)</f>
        <v>Show the quota (in tonnes) allocated to the chartering Party (option 3)</v>
      </c>
    </row>
    <row r="50" spans="1:8" x14ac:dyDescent="0.2">
      <c r="A50" s="256"/>
      <c r="B50" s="256"/>
      <c r="C50" s="256"/>
      <c r="D50" s="258"/>
      <c r="E50" s="262"/>
      <c r="F50" s="82" t="str">
        <f>VLOOKUP("Fishery4Cd",tblTranslation[],LangFieldID,FALSE)</f>
        <v>Fishery 4 (cod)</v>
      </c>
      <c r="G50" s="76" t="str">
        <f>VLOOKUP("Fishery4Cd",tblTranslation[],6,FALSE)</f>
        <v>ICCAT code</v>
      </c>
      <c r="H50" s="77" t="str">
        <f>VLOOKUP("Fishery4Cd",tblTranslation[],LangNameID,FALSE)</f>
        <v>Choose fishery in which the Vessel is going to participate (option 4)</v>
      </c>
    </row>
    <row r="51" spans="1:8" x14ac:dyDescent="0.2">
      <c r="A51" s="256"/>
      <c r="B51" s="256"/>
      <c r="C51" s="256"/>
      <c r="D51" s="258"/>
      <c r="E51" s="262"/>
      <c r="F51" s="82" t="str">
        <f>VLOOKUP("Quota4CP",tblTranslation[],LangFieldID,FALSE)</f>
        <v>Quota 4 allocated (t)</v>
      </c>
      <c r="G51" s="76" t="str">
        <f>VLOOKUP("Quota4CP",tblTranslation[],6,FALSE)</f>
        <v>float</v>
      </c>
      <c r="H51" s="77" t="str">
        <f>VLOOKUP("Quota4CP",tblTranslation[],LangNameID,FALSE)</f>
        <v>Show the quota (in tonnes) allocated to the chartering Party (option 4)</v>
      </c>
    </row>
    <row r="52" spans="1:8" x14ac:dyDescent="0.2">
      <c r="A52" s="256"/>
      <c r="B52" s="256"/>
      <c r="C52" s="256"/>
      <c r="D52" s="258"/>
      <c r="E52" s="262"/>
      <c r="F52" s="82" t="str">
        <f>VLOOKUP("Fishery5Cd",tblTranslation[],LangFieldID,FALSE)</f>
        <v>Fishery 5 (cod)</v>
      </c>
      <c r="G52" s="76" t="str">
        <f>VLOOKUP("Fishery5Cd",tblTranslation[],6,FALSE)</f>
        <v>ICCAT code</v>
      </c>
      <c r="H52" s="77" t="str">
        <f>VLOOKUP("Fishery5Cd",tblTranslation[],LangNameID,FALSE)</f>
        <v>Choose fishery in which the Vessel is going to participate (option 5)</v>
      </c>
    </row>
    <row r="53" spans="1:8" x14ac:dyDescent="0.2">
      <c r="A53" s="256"/>
      <c r="B53" s="256"/>
      <c r="C53" s="256"/>
      <c r="D53" s="258"/>
      <c r="E53" s="265"/>
      <c r="F53" s="82" t="str">
        <f>VLOOKUP("Quota5CP",tblTranslation[],LangFieldID,FALSE)</f>
        <v>Quota 5 allocated (t)</v>
      </c>
      <c r="G53" s="76" t="str">
        <f>VLOOKUP("Quota5CP",tblTranslation[],6,FALSE)</f>
        <v>float</v>
      </c>
      <c r="H53" s="77" t="str">
        <f>VLOOKUP("Quota5CP",tblTranslation[],LangNameID,FALSE)</f>
        <v>Show the quota (in tonnes) allocated to the chartering Party (option 5)</v>
      </c>
    </row>
    <row r="54" spans="1:8" x14ac:dyDescent="0.2">
      <c r="A54" s="256"/>
      <c r="B54" s="256"/>
      <c r="C54" s="256"/>
      <c r="D54" s="258"/>
      <c r="E54" s="261" t="str">
        <f>VLOOKUP("D21",tblTranslation[],LangFieldID,FALSE)</f>
        <v>Consent of CP</v>
      </c>
      <c r="F54" s="82" t="str">
        <f>VLOOKUP("ConsentCP",tblTranslation[],LangFieldID,FALSE)</f>
        <v>CP consent att.</v>
      </c>
      <c r="G54" s="76" t="str">
        <f>VLOOKUP("ConsentCP",tblTranslation[],6,FALSE)</f>
        <v>(fixed)</v>
      </c>
      <c r="H54" s="77" t="str">
        <f>VLOOKUP("ConsentCP",tblTranslation[],LangNameID,FALSE)</f>
        <v>Indicate whether the consent of the chartering Contracting Party is attached or not (Yes/No)</v>
      </c>
    </row>
    <row r="55" spans="1:8" x14ac:dyDescent="0.2">
      <c r="A55" s="256"/>
      <c r="B55" s="256"/>
      <c r="C55" s="256"/>
      <c r="D55" s="258"/>
      <c r="E55" s="262"/>
      <c r="F55" s="82" t="str">
        <f>VLOOKUP("AdptMeasCP",tblTranslation[],LangFieldID,FALSE)</f>
        <v>CP Adopted Meas.</v>
      </c>
      <c r="G55" s="76" t="str">
        <f>VLOOKUP("AdptMeasCP",tblTranslation[],6,FALSE)</f>
        <v>(fixed)</v>
      </c>
      <c r="H55" s="77" t="str">
        <f>VLOOKUP("AdptMeasCP",tblTranslation[],LangNameID,FALSE)</f>
        <v>Indicate whether the measures adopted by the chartering Contracting Party to implement these provisions are attached or not (Yes/No)</v>
      </c>
    </row>
    <row r="56" spans="1:8" x14ac:dyDescent="0.2">
      <c r="A56" s="256"/>
      <c r="B56" s="256"/>
      <c r="C56" s="256"/>
      <c r="D56" s="259"/>
      <c r="E56" s="261" t="str">
        <f>VLOOKUP("D22",tblTranslation[],LangFieldID,FALSE)</f>
        <v>Consent of FS</v>
      </c>
      <c r="F56" s="82" t="str">
        <f>VLOOKUP("ConsentFS",tblTranslation[],LangFieldID,FALSE)</f>
        <v>FS consent att.</v>
      </c>
      <c r="G56" s="76" t="str">
        <f>VLOOKUP("ConsentFS",tblTranslation[],6,FALSE)</f>
        <v>(fixed)</v>
      </c>
      <c r="H56" s="77" t="str">
        <f>VLOOKUP("ConsentFS",tblTranslation[],LangNameID,FALSE)</f>
        <v>Indicate whether the consent of the flag CPC (Party, Entity or Fishing Entity) is attached or not (Yes/No)</v>
      </c>
    </row>
    <row r="57" spans="1:8" x14ac:dyDescent="0.2">
      <c r="A57" s="256"/>
      <c r="B57" s="256"/>
      <c r="C57" s="256"/>
      <c r="D57" s="259"/>
      <c r="E57" s="265"/>
      <c r="F57" s="82" t="str">
        <f>VLOOKUP("AdptMeasFS",tblTranslation[],LangFieldID,FALSE)</f>
        <v>FS Adopted Meas.</v>
      </c>
      <c r="G57" s="76" t="str">
        <f>VLOOKUP("AdptMeasFS",tblTranslation[],6,FALSE)</f>
        <v>(fixed)</v>
      </c>
      <c r="H57" s="77" t="str">
        <f>VLOOKUP("AdptMeasFS",tblTranslation[],LangNameID,FALSE)</f>
        <v>Indicate whether the measures adopted by the flag CPC (Party, Entity or Fishing Entity) to implement these provisions are attached or not (Yes/No)</v>
      </c>
    </row>
    <row r="58" spans="1:8" x14ac:dyDescent="0.2">
      <c r="A58" s="256"/>
      <c r="B58" s="256"/>
      <c r="C58" s="256"/>
      <c r="D58" s="260"/>
      <c r="E58" s="83"/>
      <c r="F58" s="82" t="str">
        <f>VLOOKUP("AutoTerm",tblTranslation[],LangFieldID,FALSE)</f>
        <v>Auto Termination</v>
      </c>
      <c r="G58" s="76" t="str">
        <f>VLOOKUP("AutoTerm",tblTranslation[],6,FALSE)</f>
        <v>(fixed)</v>
      </c>
      <c r="H58" s="77" t="str">
        <f>VLOOKUP("AutoTerm",tblTranslation[],LangNameID,FALSE)</f>
        <v>Indicate whether Chartering to be considered automatically terminated at end date of the Time Period defined (Yes/No)</v>
      </c>
    </row>
  </sheetData>
  <sheetProtection algorithmName="SHA-512" hashValue="vBF0l+hvGLZacmHyh/iguic1DoSTpNJ2e/V94UVMMI5XggnwyIgZFBBO3qv1nX3Gzthcs+kkFdIB0LxZe6G6Pg==" saltValue="wn/KcTvw9s2FkFckNzH5EA==" spinCount="100000" sheet="1" objects="1" scenarios="1"/>
  <mergeCells count="25">
    <mergeCell ref="B6:H6"/>
    <mergeCell ref="C13:C30"/>
    <mergeCell ref="D13:E18"/>
    <mergeCell ref="D21:E27"/>
    <mergeCell ref="D28:E30"/>
    <mergeCell ref="B13:B58"/>
    <mergeCell ref="B7:H7"/>
    <mergeCell ref="A1:H1"/>
    <mergeCell ref="A2:E2"/>
    <mergeCell ref="B3:H3"/>
    <mergeCell ref="B4:H4"/>
    <mergeCell ref="B5:H5"/>
    <mergeCell ref="A9:E9"/>
    <mergeCell ref="B11:E12"/>
    <mergeCell ref="A11:A58"/>
    <mergeCell ref="D44:D58"/>
    <mergeCell ref="E54:E55"/>
    <mergeCell ref="E31:E37"/>
    <mergeCell ref="E38:E39"/>
    <mergeCell ref="E40:E43"/>
    <mergeCell ref="E56:E57"/>
    <mergeCell ref="D19:E20"/>
    <mergeCell ref="D31:D43"/>
    <mergeCell ref="E44:E53"/>
    <mergeCell ref="C31:C58"/>
  </mergeCells>
  <hyperlinks>
    <hyperlink ref="F36" location="FlagCod" display="FlagCod" xr:uid="{00000000-0004-0000-0400-000002000000}"/>
    <hyperlink ref="F37" location="FlagCod" display="FlagCod" xr:uid="{00000000-0004-0000-0400-000003000000}"/>
    <hyperlink ref="F40" location="IsscfvCod" display="IsscfvCod" xr:uid="{00000000-0004-0000-0400-000004000000}"/>
    <hyperlink ref="F41" location="IsscfgCod" display="IsscfgCod" xr:uid="{00000000-0004-0000-0400-000005000000}"/>
    <hyperlink ref="F43" location="LenTypeCod" display="LenTypeCod" xr:uid="{00000000-0004-0000-0400-000007000000}"/>
    <hyperlink ref="F18" location="FlagName" display="FlagName" xr:uid="{A7636CA7-C00B-49CC-AB83-A361DFE2ACC5}"/>
    <hyperlink ref="F26" location="FlagName" display="FlagName" xr:uid="{628D2360-4F99-4018-B32A-1F3579B2AD50}"/>
  </hyperlink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88"/>
  <sheetViews>
    <sheetView zoomScale="80" zoomScaleNormal="80" workbookViewId="0">
      <pane ySplit="4" topLeftCell="A5" activePane="bottomLeft" state="frozen"/>
      <selection pane="bottomLeft" activeCell="G20" sqref="G20"/>
    </sheetView>
  </sheetViews>
  <sheetFormatPr defaultColWidth="6.44140625" defaultRowHeight="12" x14ac:dyDescent="0.3"/>
  <cols>
    <col min="1" max="1" width="11.88671875" style="49" bestFit="1" customWidth="1"/>
    <col min="2" max="2" width="8.88671875" style="49" bestFit="1" customWidth="1"/>
    <col min="3" max="3" width="11.33203125" style="49" bestFit="1" customWidth="1"/>
    <col min="4" max="4" width="10.44140625" style="49" bestFit="1" customWidth="1"/>
    <col min="5" max="5" width="8.88671875" style="49" bestFit="1" customWidth="1"/>
    <col min="6" max="6" width="12.6640625" style="49" bestFit="1" customWidth="1"/>
    <col min="7" max="7" width="28.44140625" style="49" bestFit="1" customWidth="1"/>
    <col min="8" max="8" width="30.44140625" style="49" bestFit="1" customWidth="1"/>
    <col min="9" max="9" width="31.6640625" style="49" bestFit="1" customWidth="1"/>
    <col min="10" max="10" width="115.5546875" style="49" bestFit="1" customWidth="1"/>
    <col min="11" max="11" width="130.109375" style="49" bestFit="1" customWidth="1"/>
    <col min="12" max="12" width="122.33203125" style="49" bestFit="1" customWidth="1"/>
    <col min="13" max="16384" width="6.44140625" style="49"/>
  </cols>
  <sheetData>
    <row r="1" spans="1:12" ht="13.8" x14ac:dyDescent="0.3">
      <c r="A1" s="274" t="s">
        <v>571</v>
      </c>
      <c r="B1" s="274"/>
      <c r="C1" s="274"/>
      <c r="D1" s="274"/>
      <c r="E1" s="274"/>
      <c r="F1" s="50"/>
      <c r="G1" s="51" t="s">
        <v>572</v>
      </c>
      <c r="H1" s="52">
        <f>IF(Idiom="ENG",7,IF(Idiom="FRA",8,9))</f>
        <v>7</v>
      </c>
    </row>
    <row r="2" spans="1:12" x14ac:dyDescent="0.3">
      <c r="A2" s="53"/>
      <c r="B2" s="53"/>
      <c r="C2" s="53"/>
      <c r="D2" s="53"/>
      <c r="E2" s="53"/>
      <c r="F2" s="53"/>
      <c r="G2" s="51" t="s">
        <v>573</v>
      </c>
      <c r="H2" s="52">
        <f>IF(Idiom="ENG",10,IF(Idiom="FRA",11,12))</f>
        <v>10</v>
      </c>
    </row>
    <row r="4" spans="1:12" x14ac:dyDescent="0.3">
      <c r="A4" s="58" t="s">
        <v>465</v>
      </c>
      <c r="B4" s="59" t="s">
        <v>559</v>
      </c>
      <c r="C4" s="59" t="s">
        <v>560</v>
      </c>
      <c r="D4" s="59" t="s">
        <v>457</v>
      </c>
      <c r="E4" s="59" t="s">
        <v>561</v>
      </c>
      <c r="F4" s="60" t="s">
        <v>562</v>
      </c>
      <c r="G4" s="60" t="s">
        <v>563</v>
      </c>
      <c r="H4" s="60" t="s">
        <v>564</v>
      </c>
      <c r="I4" s="60" t="s">
        <v>565</v>
      </c>
      <c r="J4" s="59" t="s">
        <v>734</v>
      </c>
      <c r="K4" s="59" t="s">
        <v>735</v>
      </c>
      <c r="L4" s="61" t="s">
        <v>736</v>
      </c>
    </row>
    <row r="5" spans="1:12" ht="26.25" customHeight="1" x14ac:dyDescent="0.3">
      <c r="A5" s="120" t="s">
        <v>656</v>
      </c>
      <c r="B5" s="116">
        <v>1</v>
      </c>
      <c r="C5" s="116" t="s">
        <v>792</v>
      </c>
      <c r="D5" s="116" t="s">
        <v>459</v>
      </c>
      <c r="E5" s="116" t="s">
        <v>581</v>
      </c>
      <c r="F5" s="116" t="s">
        <v>566</v>
      </c>
      <c r="G5" s="116" t="s">
        <v>787</v>
      </c>
      <c r="H5" s="116" t="s">
        <v>787</v>
      </c>
      <c r="I5" s="116" t="s">
        <v>787</v>
      </c>
      <c r="J5" s="116" t="s">
        <v>789</v>
      </c>
      <c r="K5" s="116" t="s">
        <v>987</v>
      </c>
      <c r="L5" s="121" t="s">
        <v>988</v>
      </c>
    </row>
    <row r="6" spans="1:12" x14ac:dyDescent="0.3">
      <c r="A6" s="122" t="s">
        <v>475</v>
      </c>
      <c r="B6" s="116">
        <v>2</v>
      </c>
      <c r="C6" s="116" t="s">
        <v>792</v>
      </c>
      <c r="D6" s="116" t="s">
        <v>459</v>
      </c>
      <c r="E6" s="123" t="s">
        <v>588</v>
      </c>
      <c r="F6" s="123" t="s">
        <v>566</v>
      </c>
      <c r="G6" s="123" t="s">
        <v>459</v>
      </c>
      <c r="H6" s="123" t="s">
        <v>636</v>
      </c>
      <c r="I6" s="123" t="s">
        <v>637</v>
      </c>
      <c r="J6" s="123" t="s">
        <v>638</v>
      </c>
      <c r="K6" s="123" t="s">
        <v>639</v>
      </c>
      <c r="L6" s="124" t="s">
        <v>640</v>
      </c>
    </row>
    <row r="7" spans="1:12" x14ac:dyDescent="0.3">
      <c r="A7" s="125" t="s">
        <v>647</v>
      </c>
      <c r="B7" s="116">
        <v>3</v>
      </c>
      <c r="C7" s="116" t="s">
        <v>792</v>
      </c>
      <c r="D7" s="116" t="s">
        <v>459</v>
      </c>
      <c r="E7" s="123" t="s">
        <v>588</v>
      </c>
      <c r="F7" s="123" t="s">
        <v>566</v>
      </c>
      <c r="G7" s="123" t="s">
        <v>641</v>
      </c>
      <c r="H7" s="123" t="s">
        <v>642</v>
      </c>
      <c r="I7" s="123" t="s">
        <v>643</v>
      </c>
      <c r="J7" s="123" t="s">
        <v>644</v>
      </c>
      <c r="K7" s="123" t="s">
        <v>645</v>
      </c>
      <c r="L7" s="124" t="s">
        <v>646</v>
      </c>
    </row>
    <row r="8" spans="1:12" x14ac:dyDescent="0.2">
      <c r="A8" s="120" t="s">
        <v>651</v>
      </c>
      <c r="B8" s="116">
        <v>4</v>
      </c>
      <c r="C8" s="116" t="s">
        <v>792</v>
      </c>
      <c r="D8" s="116" t="s">
        <v>459</v>
      </c>
      <c r="E8" s="116" t="s">
        <v>581</v>
      </c>
      <c r="F8" s="116" t="s">
        <v>566</v>
      </c>
      <c r="G8" s="116" t="s">
        <v>788</v>
      </c>
      <c r="H8" s="116" t="s">
        <v>788</v>
      </c>
      <c r="I8" s="116" t="s">
        <v>788</v>
      </c>
      <c r="J8" s="116" t="s">
        <v>790</v>
      </c>
      <c r="K8" s="126" t="s">
        <v>989</v>
      </c>
      <c r="L8" s="127" t="s">
        <v>990</v>
      </c>
    </row>
    <row r="9" spans="1:12" x14ac:dyDescent="0.3">
      <c r="A9" s="128" t="s">
        <v>710</v>
      </c>
      <c r="B9" s="116">
        <v>5</v>
      </c>
      <c r="C9" s="129" t="s">
        <v>792</v>
      </c>
      <c r="D9" s="116" t="s">
        <v>459</v>
      </c>
      <c r="E9" s="130" t="s">
        <v>567</v>
      </c>
      <c r="F9" s="130" t="s">
        <v>648</v>
      </c>
      <c r="G9" s="130" t="s">
        <v>488</v>
      </c>
      <c r="H9" s="130" t="s">
        <v>488</v>
      </c>
      <c r="I9" s="130" t="s">
        <v>649</v>
      </c>
      <c r="J9" s="123" t="s">
        <v>650</v>
      </c>
      <c r="K9" s="123" t="s">
        <v>737</v>
      </c>
      <c r="L9" s="124" t="s">
        <v>738</v>
      </c>
    </row>
    <row r="10" spans="1:12" x14ac:dyDescent="0.3">
      <c r="A10" s="125" t="s">
        <v>711</v>
      </c>
      <c r="B10" s="116">
        <v>6</v>
      </c>
      <c r="C10" s="116" t="s">
        <v>792</v>
      </c>
      <c r="D10" s="116" t="s">
        <v>459</v>
      </c>
      <c r="E10" s="123" t="s">
        <v>567</v>
      </c>
      <c r="F10" s="123" t="s">
        <v>568</v>
      </c>
      <c r="G10" s="123" t="s">
        <v>652</v>
      </c>
      <c r="H10" s="123" t="s">
        <v>653</v>
      </c>
      <c r="I10" s="123" t="s">
        <v>654</v>
      </c>
      <c r="J10" s="123" t="s">
        <v>655</v>
      </c>
      <c r="K10" s="123" t="s">
        <v>739</v>
      </c>
      <c r="L10" s="124" t="s">
        <v>740</v>
      </c>
    </row>
    <row r="11" spans="1:12" x14ac:dyDescent="0.3">
      <c r="A11" s="122" t="s">
        <v>680</v>
      </c>
      <c r="B11" s="116">
        <v>7</v>
      </c>
      <c r="C11" s="116" t="s">
        <v>792</v>
      </c>
      <c r="D11" s="123" t="s">
        <v>5</v>
      </c>
      <c r="E11" s="123" t="s">
        <v>581</v>
      </c>
      <c r="F11" s="123" t="s">
        <v>566</v>
      </c>
      <c r="G11" s="123" t="s">
        <v>5</v>
      </c>
      <c r="H11" s="123" t="s">
        <v>683</v>
      </c>
      <c r="I11" s="123" t="s">
        <v>684</v>
      </c>
      <c r="J11" s="123" t="s">
        <v>566</v>
      </c>
      <c r="K11" s="123" t="s">
        <v>566</v>
      </c>
      <c r="L11" s="124" t="s">
        <v>566</v>
      </c>
    </row>
    <row r="12" spans="1:12" x14ac:dyDescent="0.3">
      <c r="A12" s="120" t="s">
        <v>681</v>
      </c>
      <c r="B12" s="116">
        <v>8</v>
      </c>
      <c r="C12" s="116" t="s">
        <v>792</v>
      </c>
      <c r="D12" s="116" t="s">
        <v>5</v>
      </c>
      <c r="E12" s="116" t="s">
        <v>657</v>
      </c>
      <c r="F12" s="116" t="s">
        <v>566</v>
      </c>
      <c r="G12" s="123" t="s">
        <v>959</v>
      </c>
      <c r="H12" s="123" t="s">
        <v>961</v>
      </c>
      <c r="I12" s="123" t="s">
        <v>962</v>
      </c>
      <c r="J12" s="123" t="s">
        <v>566</v>
      </c>
      <c r="K12" s="123" t="s">
        <v>566</v>
      </c>
      <c r="L12" s="124" t="s">
        <v>566</v>
      </c>
    </row>
    <row r="13" spans="1:12" x14ac:dyDescent="0.3">
      <c r="A13" s="120" t="s">
        <v>682</v>
      </c>
      <c r="B13" s="116">
        <v>9</v>
      </c>
      <c r="C13" s="116" t="s">
        <v>792</v>
      </c>
      <c r="D13" s="116" t="s">
        <v>5</v>
      </c>
      <c r="E13" s="116" t="s">
        <v>657</v>
      </c>
      <c r="F13" s="116" t="s">
        <v>566</v>
      </c>
      <c r="G13" s="123" t="s">
        <v>960</v>
      </c>
      <c r="H13" s="123" t="s">
        <v>963</v>
      </c>
      <c r="I13" s="123" t="s">
        <v>964</v>
      </c>
      <c r="J13" s="123" t="s">
        <v>566</v>
      </c>
      <c r="K13" s="123" t="s">
        <v>566</v>
      </c>
      <c r="L13" s="124" t="s">
        <v>566</v>
      </c>
    </row>
    <row r="14" spans="1:12" x14ac:dyDescent="0.3">
      <c r="A14" s="120" t="s">
        <v>689</v>
      </c>
      <c r="B14" s="116">
        <v>10</v>
      </c>
      <c r="C14" s="116" t="s">
        <v>792</v>
      </c>
      <c r="D14" s="116" t="s">
        <v>5</v>
      </c>
      <c r="E14" s="116" t="s">
        <v>657</v>
      </c>
      <c r="F14" s="116" t="s">
        <v>566</v>
      </c>
      <c r="G14" s="129" t="s">
        <v>486</v>
      </c>
      <c r="H14" s="129" t="s">
        <v>687</v>
      </c>
      <c r="I14" s="129" t="s">
        <v>688</v>
      </c>
      <c r="J14" s="123" t="s">
        <v>566</v>
      </c>
      <c r="K14" s="123" t="s">
        <v>566</v>
      </c>
      <c r="L14" s="124" t="s">
        <v>566</v>
      </c>
    </row>
    <row r="15" spans="1:12" x14ac:dyDescent="0.3">
      <c r="A15" s="120" t="s">
        <v>791</v>
      </c>
      <c r="B15" s="116">
        <v>11</v>
      </c>
      <c r="C15" s="116" t="s">
        <v>792</v>
      </c>
      <c r="D15" s="116" t="s">
        <v>5</v>
      </c>
      <c r="E15" s="116" t="s">
        <v>657</v>
      </c>
      <c r="F15" s="116" t="s">
        <v>566</v>
      </c>
      <c r="G15" s="130" t="s">
        <v>690</v>
      </c>
      <c r="H15" s="130" t="s">
        <v>733</v>
      </c>
      <c r="I15" s="130" t="s">
        <v>732</v>
      </c>
      <c r="J15" s="123" t="s">
        <v>566</v>
      </c>
      <c r="K15" s="123" t="s">
        <v>566</v>
      </c>
      <c r="L15" s="124" t="s">
        <v>566</v>
      </c>
    </row>
    <row r="16" spans="1:12" x14ac:dyDescent="0.3">
      <c r="A16" s="120" t="s">
        <v>793</v>
      </c>
      <c r="B16" s="116">
        <v>12</v>
      </c>
      <c r="C16" s="116" t="s">
        <v>792</v>
      </c>
      <c r="D16" s="116" t="s">
        <v>5</v>
      </c>
      <c r="E16" s="116" t="s">
        <v>567</v>
      </c>
      <c r="F16" s="116" t="s">
        <v>673</v>
      </c>
      <c r="G16" s="116" t="s">
        <v>1</v>
      </c>
      <c r="H16" s="116" t="s">
        <v>471</v>
      </c>
      <c r="I16" s="116" t="s">
        <v>472</v>
      </c>
      <c r="J16" s="116" t="s">
        <v>860</v>
      </c>
      <c r="K16" s="116" t="s">
        <v>991</v>
      </c>
      <c r="L16" s="121" t="s">
        <v>992</v>
      </c>
    </row>
    <row r="17" spans="1:12" x14ac:dyDescent="0.3">
      <c r="A17" s="120" t="s">
        <v>794</v>
      </c>
      <c r="B17" s="116">
        <v>13</v>
      </c>
      <c r="C17" s="116" t="s">
        <v>792</v>
      </c>
      <c r="D17" s="116" t="s">
        <v>5</v>
      </c>
      <c r="E17" s="116" t="s">
        <v>567</v>
      </c>
      <c r="F17" s="116" t="s">
        <v>673</v>
      </c>
      <c r="G17" s="116" t="s">
        <v>461</v>
      </c>
      <c r="H17" s="116" t="s">
        <v>502</v>
      </c>
      <c r="I17" s="116" t="s">
        <v>487</v>
      </c>
      <c r="J17" s="116" t="s">
        <v>861</v>
      </c>
      <c r="K17" s="116" t="s">
        <v>993</v>
      </c>
      <c r="L17" s="121" t="s">
        <v>994</v>
      </c>
    </row>
    <row r="18" spans="1:12" x14ac:dyDescent="0.3">
      <c r="A18" s="120" t="s">
        <v>795</v>
      </c>
      <c r="B18" s="116">
        <v>14</v>
      </c>
      <c r="C18" s="116" t="s">
        <v>792</v>
      </c>
      <c r="D18" s="116" t="s">
        <v>5</v>
      </c>
      <c r="E18" s="116" t="s">
        <v>567</v>
      </c>
      <c r="F18" s="116" t="s">
        <v>673</v>
      </c>
      <c r="G18" s="116" t="s">
        <v>4</v>
      </c>
      <c r="H18" s="116" t="s">
        <v>473</v>
      </c>
      <c r="I18" s="116" t="s">
        <v>474</v>
      </c>
      <c r="J18" s="116" t="s">
        <v>862</v>
      </c>
      <c r="K18" s="116" t="s">
        <v>995</v>
      </c>
      <c r="L18" s="121" t="s">
        <v>996</v>
      </c>
    </row>
    <row r="19" spans="1:12" x14ac:dyDescent="0.3">
      <c r="A19" s="120" t="s">
        <v>796</v>
      </c>
      <c r="B19" s="116">
        <v>15</v>
      </c>
      <c r="C19" s="116" t="s">
        <v>792</v>
      </c>
      <c r="D19" s="116" t="s">
        <v>5</v>
      </c>
      <c r="E19" s="116" t="s">
        <v>567</v>
      </c>
      <c r="F19" s="116" t="s">
        <v>673</v>
      </c>
      <c r="G19" s="116" t="s">
        <v>3</v>
      </c>
      <c r="H19" s="116" t="s">
        <v>3</v>
      </c>
      <c r="I19" s="116" t="s">
        <v>3</v>
      </c>
      <c r="J19" s="116" t="s">
        <v>863</v>
      </c>
      <c r="K19" s="116" t="s">
        <v>997</v>
      </c>
      <c r="L19" s="121" t="s">
        <v>998</v>
      </c>
    </row>
    <row r="20" spans="1:12" x14ac:dyDescent="0.3">
      <c r="A20" s="120" t="s">
        <v>797</v>
      </c>
      <c r="B20" s="116">
        <v>16</v>
      </c>
      <c r="C20" s="116" t="s">
        <v>792</v>
      </c>
      <c r="D20" s="116" t="s">
        <v>5</v>
      </c>
      <c r="E20" s="116" t="s">
        <v>567</v>
      </c>
      <c r="F20" s="116" t="s">
        <v>673</v>
      </c>
      <c r="G20" s="116" t="s">
        <v>2</v>
      </c>
      <c r="H20" s="116" t="s">
        <v>476</v>
      </c>
      <c r="I20" s="116" t="s">
        <v>477</v>
      </c>
      <c r="J20" s="116" t="s">
        <v>864</v>
      </c>
      <c r="K20" s="116" t="s">
        <v>999</v>
      </c>
      <c r="L20" s="121" t="s">
        <v>1000</v>
      </c>
    </row>
    <row r="21" spans="1:12" x14ac:dyDescent="0.3">
      <c r="A21" s="120" t="s">
        <v>798</v>
      </c>
      <c r="B21" s="116">
        <v>17</v>
      </c>
      <c r="C21" s="116" t="s">
        <v>792</v>
      </c>
      <c r="D21" s="116" t="s">
        <v>5</v>
      </c>
      <c r="E21" s="116" t="s">
        <v>567</v>
      </c>
      <c r="F21" s="116" t="s">
        <v>568</v>
      </c>
      <c r="G21" s="116" t="s">
        <v>460</v>
      </c>
      <c r="H21" s="116" t="s">
        <v>501</v>
      </c>
      <c r="I21" s="116" t="s">
        <v>503</v>
      </c>
      <c r="J21" s="116" t="s">
        <v>865</v>
      </c>
      <c r="K21" s="116" t="s">
        <v>1001</v>
      </c>
      <c r="L21" s="121" t="s">
        <v>1002</v>
      </c>
    </row>
    <row r="22" spans="1:12" x14ac:dyDescent="0.3">
      <c r="A22" s="120" t="s">
        <v>799</v>
      </c>
      <c r="B22" s="116">
        <v>18</v>
      </c>
      <c r="C22" s="116" t="s">
        <v>792</v>
      </c>
      <c r="D22" s="116" t="s">
        <v>5</v>
      </c>
      <c r="E22" s="116" t="s">
        <v>567</v>
      </c>
      <c r="F22" s="116" t="s">
        <v>673</v>
      </c>
      <c r="G22" s="116" t="s">
        <v>1</v>
      </c>
      <c r="H22" s="116" t="s">
        <v>471</v>
      </c>
      <c r="I22" s="116" t="s">
        <v>472</v>
      </c>
      <c r="J22" s="116" t="s">
        <v>1003</v>
      </c>
      <c r="K22" s="116" t="s">
        <v>1004</v>
      </c>
      <c r="L22" s="121" t="s">
        <v>1005</v>
      </c>
    </row>
    <row r="23" spans="1:12" x14ac:dyDescent="0.3">
      <c r="A23" s="120" t="s">
        <v>800</v>
      </c>
      <c r="B23" s="116">
        <v>19</v>
      </c>
      <c r="C23" s="116" t="s">
        <v>792</v>
      </c>
      <c r="D23" s="116" t="s">
        <v>5</v>
      </c>
      <c r="E23" s="116" t="s">
        <v>567</v>
      </c>
      <c r="F23" s="116" t="s">
        <v>673</v>
      </c>
      <c r="G23" s="116" t="s">
        <v>461</v>
      </c>
      <c r="H23" s="116" t="s">
        <v>502</v>
      </c>
      <c r="I23" s="116" t="s">
        <v>487</v>
      </c>
      <c r="J23" s="116" t="s">
        <v>1006</v>
      </c>
      <c r="K23" s="116" t="s">
        <v>1007</v>
      </c>
      <c r="L23" s="121" t="s">
        <v>1008</v>
      </c>
    </row>
    <row r="24" spans="1:12" x14ac:dyDescent="0.3">
      <c r="A24" s="120" t="s">
        <v>801</v>
      </c>
      <c r="B24" s="116">
        <v>20</v>
      </c>
      <c r="C24" s="116" t="s">
        <v>792</v>
      </c>
      <c r="D24" s="116" t="s">
        <v>5</v>
      </c>
      <c r="E24" s="116" t="s">
        <v>567</v>
      </c>
      <c r="F24" s="116" t="s">
        <v>673</v>
      </c>
      <c r="G24" s="116" t="s">
        <v>4</v>
      </c>
      <c r="H24" s="116" t="s">
        <v>473</v>
      </c>
      <c r="I24" s="116" t="s">
        <v>474</v>
      </c>
      <c r="J24" s="116" t="s">
        <v>1009</v>
      </c>
      <c r="K24" s="116" t="s">
        <v>1010</v>
      </c>
      <c r="L24" s="121" t="s">
        <v>1011</v>
      </c>
    </row>
    <row r="25" spans="1:12" x14ac:dyDescent="0.3">
      <c r="A25" s="120" t="s">
        <v>802</v>
      </c>
      <c r="B25" s="116">
        <v>21</v>
      </c>
      <c r="C25" s="116" t="s">
        <v>792</v>
      </c>
      <c r="D25" s="116" t="s">
        <v>5</v>
      </c>
      <c r="E25" s="116" t="s">
        <v>567</v>
      </c>
      <c r="F25" s="116" t="s">
        <v>673</v>
      </c>
      <c r="G25" s="116" t="s">
        <v>3</v>
      </c>
      <c r="H25" s="116" t="s">
        <v>3</v>
      </c>
      <c r="I25" s="116" t="s">
        <v>3</v>
      </c>
      <c r="J25" s="116" t="s">
        <v>1012</v>
      </c>
      <c r="K25" s="116" t="s">
        <v>1013</v>
      </c>
      <c r="L25" s="121" t="s">
        <v>1014</v>
      </c>
    </row>
    <row r="26" spans="1:12" x14ac:dyDescent="0.3">
      <c r="A26" s="120" t="s">
        <v>803</v>
      </c>
      <c r="B26" s="116">
        <v>22</v>
      </c>
      <c r="C26" s="116" t="s">
        <v>792</v>
      </c>
      <c r="D26" s="116" t="s">
        <v>5</v>
      </c>
      <c r="E26" s="116" t="s">
        <v>567</v>
      </c>
      <c r="F26" s="116" t="s">
        <v>673</v>
      </c>
      <c r="G26" s="116" t="s">
        <v>2</v>
      </c>
      <c r="H26" s="116" t="s">
        <v>476</v>
      </c>
      <c r="I26" s="116" t="s">
        <v>477</v>
      </c>
      <c r="J26" s="116" t="s">
        <v>866</v>
      </c>
      <c r="K26" s="116" t="s">
        <v>1015</v>
      </c>
      <c r="L26" s="121" t="s">
        <v>1016</v>
      </c>
    </row>
    <row r="27" spans="1:12" x14ac:dyDescent="0.3">
      <c r="A27" s="120" t="s">
        <v>804</v>
      </c>
      <c r="B27" s="116">
        <v>23</v>
      </c>
      <c r="C27" s="116" t="s">
        <v>792</v>
      </c>
      <c r="D27" s="116" t="s">
        <v>5</v>
      </c>
      <c r="E27" s="116" t="s">
        <v>567</v>
      </c>
      <c r="F27" s="116" t="s">
        <v>568</v>
      </c>
      <c r="G27" s="116" t="s">
        <v>460</v>
      </c>
      <c r="H27" s="116" t="s">
        <v>501</v>
      </c>
      <c r="I27" s="116" t="s">
        <v>503</v>
      </c>
      <c r="J27" s="116" t="s">
        <v>1017</v>
      </c>
      <c r="K27" s="116" t="s">
        <v>1018</v>
      </c>
      <c r="L27" s="121" t="s">
        <v>1019</v>
      </c>
    </row>
    <row r="28" spans="1:12" x14ac:dyDescent="0.3">
      <c r="A28" s="120" t="s">
        <v>808</v>
      </c>
      <c r="B28" s="116">
        <v>24</v>
      </c>
      <c r="C28" s="116" t="s">
        <v>792</v>
      </c>
      <c r="D28" s="116" t="s">
        <v>5</v>
      </c>
      <c r="E28" s="116" t="s">
        <v>567</v>
      </c>
      <c r="F28" s="116" t="s">
        <v>673</v>
      </c>
      <c r="G28" s="116" t="s">
        <v>805</v>
      </c>
      <c r="H28" s="116" t="s">
        <v>806</v>
      </c>
      <c r="I28" s="116" t="s">
        <v>807</v>
      </c>
      <c r="J28" s="116" t="s">
        <v>1020</v>
      </c>
      <c r="K28" s="116" t="s">
        <v>1021</v>
      </c>
      <c r="L28" s="121" t="s">
        <v>1022</v>
      </c>
    </row>
    <row r="29" spans="1:12" x14ac:dyDescent="0.3">
      <c r="A29" s="120" t="s">
        <v>835</v>
      </c>
      <c r="B29" s="116">
        <v>25</v>
      </c>
      <c r="C29" s="116" t="s">
        <v>792</v>
      </c>
      <c r="D29" s="116" t="s">
        <v>5</v>
      </c>
      <c r="E29" s="116" t="s">
        <v>686</v>
      </c>
      <c r="F29" s="116" t="s">
        <v>566</v>
      </c>
      <c r="G29" s="116" t="s">
        <v>844</v>
      </c>
      <c r="H29" s="116" t="s">
        <v>965</v>
      </c>
      <c r="I29" s="116" t="s">
        <v>966</v>
      </c>
      <c r="J29" s="116" t="s">
        <v>566</v>
      </c>
      <c r="K29" s="116" t="s">
        <v>566</v>
      </c>
      <c r="L29" s="121" t="s">
        <v>566</v>
      </c>
    </row>
    <row r="30" spans="1:12" x14ac:dyDescent="0.3">
      <c r="A30" s="120" t="s">
        <v>836</v>
      </c>
      <c r="B30" s="116">
        <v>26</v>
      </c>
      <c r="C30" s="116" t="s">
        <v>792</v>
      </c>
      <c r="D30" s="116" t="s">
        <v>5</v>
      </c>
      <c r="E30" s="116" t="s">
        <v>567</v>
      </c>
      <c r="F30" s="116" t="s">
        <v>691</v>
      </c>
      <c r="G30" s="116" t="s">
        <v>837</v>
      </c>
      <c r="H30" s="116" t="s">
        <v>838</v>
      </c>
      <c r="I30" s="116" t="s">
        <v>839</v>
      </c>
      <c r="J30" s="116" t="s">
        <v>872</v>
      </c>
      <c r="K30" s="116" t="s">
        <v>1023</v>
      </c>
      <c r="L30" s="121" t="s">
        <v>1024</v>
      </c>
    </row>
    <row r="31" spans="1:12" x14ac:dyDescent="0.3">
      <c r="A31" s="120" t="s">
        <v>840</v>
      </c>
      <c r="B31" s="116">
        <v>27</v>
      </c>
      <c r="C31" s="116" t="s">
        <v>792</v>
      </c>
      <c r="D31" s="116" t="s">
        <v>5</v>
      </c>
      <c r="E31" s="116" t="s">
        <v>567</v>
      </c>
      <c r="F31" s="116" t="s">
        <v>691</v>
      </c>
      <c r="G31" s="116" t="s">
        <v>841</v>
      </c>
      <c r="H31" s="116" t="s">
        <v>842</v>
      </c>
      <c r="I31" s="116" t="s">
        <v>843</v>
      </c>
      <c r="J31" s="116" t="s">
        <v>873</v>
      </c>
      <c r="K31" s="116" t="s">
        <v>1025</v>
      </c>
      <c r="L31" s="121" t="s">
        <v>1026</v>
      </c>
    </row>
    <row r="32" spans="1:12" x14ac:dyDescent="0.3">
      <c r="A32" s="120" t="s">
        <v>676</v>
      </c>
      <c r="B32" s="116">
        <v>28</v>
      </c>
      <c r="C32" s="116" t="s">
        <v>792</v>
      </c>
      <c r="D32" s="116" t="s">
        <v>5</v>
      </c>
      <c r="E32" s="116" t="s">
        <v>567</v>
      </c>
      <c r="F32" s="116" t="s">
        <v>673</v>
      </c>
      <c r="G32" s="116" t="s">
        <v>492</v>
      </c>
      <c r="H32" s="116" t="s">
        <v>493</v>
      </c>
      <c r="I32" s="116" t="s">
        <v>494</v>
      </c>
      <c r="J32" s="116" t="s">
        <v>876</v>
      </c>
      <c r="K32" s="116" t="s">
        <v>874</v>
      </c>
      <c r="L32" s="121" t="s">
        <v>875</v>
      </c>
    </row>
    <row r="33" spans="1:12" x14ac:dyDescent="0.3">
      <c r="A33" s="131" t="s">
        <v>712</v>
      </c>
      <c r="B33" s="116">
        <v>29</v>
      </c>
      <c r="C33" s="116" t="s">
        <v>792</v>
      </c>
      <c r="D33" s="129" t="s">
        <v>5</v>
      </c>
      <c r="E33" s="129" t="s">
        <v>567</v>
      </c>
      <c r="F33" s="129" t="s">
        <v>691</v>
      </c>
      <c r="G33" s="129" t="s">
        <v>692</v>
      </c>
      <c r="H33" s="129" t="s">
        <v>693</v>
      </c>
      <c r="I33" s="129" t="s">
        <v>694</v>
      </c>
      <c r="J33" s="129" t="s">
        <v>486</v>
      </c>
      <c r="K33" s="129" t="s">
        <v>687</v>
      </c>
      <c r="L33" s="132" t="s">
        <v>695</v>
      </c>
    </row>
    <row r="34" spans="1:12" x14ac:dyDescent="0.3">
      <c r="A34" s="133" t="s">
        <v>696</v>
      </c>
      <c r="B34" s="116">
        <v>30</v>
      </c>
      <c r="C34" s="116" t="s">
        <v>792</v>
      </c>
      <c r="D34" s="129" t="s">
        <v>5</v>
      </c>
      <c r="E34" s="129" t="s">
        <v>567</v>
      </c>
      <c r="F34" s="129" t="s">
        <v>568</v>
      </c>
      <c r="G34" s="129" t="s">
        <v>697</v>
      </c>
      <c r="H34" s="129" t="s">
        <v>698</v>
      </c>
      <c r="I34" s="129" t="s">
        <v>699</v>
      </c>
      <c r="J34" s="129" t="s">
        <v>486</v>
      </c>
      <c r="K34" s="129" t="s">
        <v>687</v>
      </c>
      <c r="L34" s="132" t="s">
        <v>688</v>
      </c>
    </row>
    <row r="35" spans="1:12" x14ac:dyDescent="0.3">
      <c r="A35" s="131" t="s">
        <v>713</v>
      </c>
      <c r="B35" s="116">
        <v>31</v>
      </c>
      <c r="C35" s="116" t="s">
        <v>792</v>
      </c>
      <c r="D35" s="129" t="s">
        <v>5</v>
      </c>
      <c r="E35" s="129" t="s">
        <v>567</v>
      </c>
      <c r="F35" s="129" t="s">
        <v>673</v>
      </c>
      <c r="G35" s="129" t="s">
        <v>700</v>
      </c>
      <c r="H35" s="129" t="s">
        <v>730</v>
      </c>
      <c r="I35" s="129" t="s">
        <v>731</v>
      </c>
      <c r="J35" s="129" t="s">
        <v>728</v>
      </c>
      <c r="K35" s="129" t="s">
        <v>741</v>
      </c>
      <c r="L35" s="132" t="s">
        <v>729</v>
      </c>
    </row>
    <row r="36" spans="1:12" x14ac:dyDescent="0.3">
      <c r="A36" s="134" t="s">
        <v>714</v>
      </c>
      <c r="B36" s="116">
        <v>32</v>
      </c>
      <c r="C36" s="116" t="s">
        <v>792</v>
      </c>
      <c r="D36" s="129" t="s">
        <v>458</v>
      </c>
      <c r="E36" s="129" t="s">
        <v>581</v>
      </c>
      <c r="F36" s="116" t="s">
        <v>566</v>
      </c>
      <c r="G36" s="129" t="s">
        <v>458</v>
      </c>
      <c r="H36" s="129" t="s">
        <v>715</v>
      </c>
      <c r="I36" s="129" t="s">
        <v>716</v>
      </c>
      <c r="J36" s="129" t="s">
        <v>566</v>
      </c>
      <c r="K36" s="129" t="s">
        <v>566</v>
      </c>
      <c r="L36" s="135" t="s">
        <v>566</v>
      </c>
    </row>
    <row r="37" spans="1:12" x14ac:dyDescent="0.3">
      <c r="A37" s="120" t="s">
        <v>717</v>
      </c>
      <c r="B37" s="116">
        <v>33</v>
      </c>
      <c r="C37" s="116" t="s">
        <v>792</v>
      </c>
      <c r="D37" s="116" t="s">
        <v>458</v>
      </c>
      <c r="E37" s="116" t="s">
        <v>657</v>
      </c>
      <c r="F37" s="116" t="s">
        <v>566</v>
      </c>
      <c r="G37" s="116" t="s">
        <v>489</v>
      </c>
      <c r="H37" s="116" t="s">
        <v>490</v>
      </c>
      <c r="I37" s="116" t="s">
        <v>491</v>
      </c>
      <c r="J37" s="116" t="s">
        <v>566</v>
      </c>
      <c r="K37" s="116" t="s">
        <v>566</v>
      </c>
      <c r="L37" s="121" t="s">
        <v>566</v>
      </c>
    </row>
    <row r="38" spans="1:12" x14ac:dyDescent="0.3">
      <c r="A38" s="120" t="s">
        <v>719</v>
      </c>
      <c r="B38" s="116">
        <v>34</v>
      </c>
      <c r="C38" s="116" t="s">
        <v>792</v>
      </c>
      <c r="D38" s="116" t="s">
        <v>458</v>
      </c>
      <c r="E38" s="116" t="s">
        <v>686</v>
      </c>
      <c r="F38" s="116" t="s">
        <v>566</v>
      </c>
      <c r="G38" s="116" t="s">
        <v>0</v>
      </c>
      <c r="H38" s="116" t="s">
        <v>0</v>
      </c>
      <c r="I38" s="116" t="s">
        <v>464</v>
      </c>
      <c r="J38" s="116" t="s">
        <v>566</v>
      </c>
      <c r="K38" s="116" t="s">
        <v>566</v>
      </c>
      <c r="L38" s="121" t="s">
        <v>566</v>
      </c>
    </row>
    <row r="39" spans="1:12" x14ac:dyDescent="0.3">
      <c r="A39" s="120" t="s">
        <v>720</v>
      </c>
      <c r="B39" s="116">
        <v>35</v>
      </c>
      <c r="C39" s="116" t="s">
        <v>792</v>
      </c>
      <c r="D39" s="116" t="s">
        <v>458</v>
      </c>
      <c r="E39" s="116" t="s">
        <v>686</v>
      </c>
      <c r="F39" s="116" t="s">
        <v>566</v>
      </c>
      <c r="G39" s="116" t="s">
        <v>832</v>
      </c>
      <c r="H39" s="116" t="s">
        <v>833</v>
      </c>
      <c r="I39" s="116" t="s">
        <v>834</v>
      </c>
      <c r="J39" s="116" t="s">
        <v>566</v>
      </c>
      <c r="K39" s="116" t="s">
        <v>566</v>
      </c>
      <c r="L39" s="121" t="s">
        <v>566</v>
      </c>
    </row>
    <row r="40" spans="1:12" x14ac:dyDescent="0.3">
      <c r="A40" s="120" t="s">
        <v>721</v>
      </c>
      <c r="B40" s="116">
        <v>36</v>
      </c>
      <c r="C40" s="116" t="s">
        <v>792</v>
      </c>
      <c r="D40" s="116" t="s">
        <v>458</v>
      </c>
      <c r="E40" s="116" t="s">
        <v>686</v>
      </c>
      <c r="F40" s="116" t="s">
        <v>566</v>
      </c>
      <c r="G40" s="116" t="s">
        <v>6</v>
      </c>
      <c r="H40" s="116" t="s">
        <v>462</v>
      </c>
      <c r="I40" s="116" t="s">
        <v>463</v>
      </c>
      <c r="J40" s="116" t="s">
        <v>566</v>
      </c>
      <c r="K40" s="116" t="s">
        <v>566</v>
      </c>
      <c r="L40" s="121" t="s">
        <v>566</v>
      </c>
    </row>
    <row r="41" spans="1:12" x14ac:dyDescent="0.3">
      <c r="A41" s="120" t="s">
        <v>722</v>
      </c>
      <c r="B41" s="116">
        <v>37</v>
      </c>
      <c r="C41" s="116" t="s">
        <v>792</v>
      </c>
      <c r="D41" s="116" t="s">
        <v>458</v>
      </c>
      <c r="E41" s="116" t="s">
        <v>686</v>
      </c>
      <c r="F41" s="116" t="s">
        <v>566</v>
      </c>
      <c r="G41" s="116" t="s">
        <v>845</v>
      </c>
      <c r="H41" s="116" t="s">
        <v>967</v>
      </c>
      <c r="I41" s="116" t="s">
        <v>968</v>
      </c>
      <c r="J41" s="116" t="s">
        <v>566</v>
      </c>
      <c r="K41" s="116" t="s">
        <v>566</v>
      </c>
      <c r="L41" s="121" t="s">
        <v>566</v>
      </c>
    </row>
    <row r="42" spans="1:12" x14ac:dyDescent="0.3">
      <c r="A42" s="120" t="s">
        <v>718</v>
      </c>
      <c r="B42" s="116">
        <v>38</v>
      </c>
      <c r="C42" s="116" t="s">
        <v>792</v>
      </c>
      <c r="D42" s="116" t="s">
        <v>458</v>
      </c>
      <c r="E42" s="116" t="s">
        <v>657</v>
      </c>
      <c r="F42" s="116" t="s">
        <v>566</v>
      </c>
      <c r="G42" s="116" t="s">
        <v>856</v>
      </c>
      <c r="H42" s="116" t="s">
        <v>1076</v>
      </c>
      <c r="I42" s="116" t="s">
        <v>1077</v>
      </c>
      <c r="J42" s="116" t="s">
        <v>566</v>
      </c>
      <c r="K42" s="116" t="s">
        <v>566</v>
      </c>
      <c r="L42" s="121" t="s">
        <v>566</v>
      </c>
    </row>
    <row r="43" spans="1:12" x14ac:dyDescent="0.3">
      <c r="A43" s="120" t="s">
        <v>723</v>
      </c>
      <c r="B43" s="116">
        <v>39</v>
      </c>
      <c r="C43" s="116" t="s">
        <v>792</v>
      </c>
      <c r="D43" s="116" t="s">
        <v>458</v>
      </c>
      <c r="E43" s="116" t="s">
        <v>686</v>
      </c>
      <c r="F43" s="116" t="s">
        <v>566</v>
      </c>
      <c r="G43" s="116" t="s">
        <v>857</v>
      </c>
      <c r="H43" s="116" t="s">
        <v>969</v>
      </c>
      <c r="I43" s="116" t="s">
        <v>970</v>
      </c>
      <c r="J43" s="116" t="s">
        <v>566</v>
      </c>
      <c r="K43" s="116" t="s">
        <v>566</v>
      </c>
      <c r="L43" s="121" t="s">
        <v>566</v>
      </c>
    </row>
    <row r="44" spans="1:12" x14ac:dyDescent="0.3">
      <c r="A44" s="120" t="s">
        <v>858</v>
      </c>
      <c r="B44" s="116">
        <v>40</v>
      </c>
      <c r="C44" s="116" t="s">
        <v>792</v>
      </c>
      <c r="D44" s="116" t="s">
        <v>458</v>
      </c>
      <c r="E44" s="116" t="s">
        <v>686</v>
      </c>
      <c r="F44" s="116" t="s">
        <v>566</v>
      </c>
      <c r="G44" s="116" t="s">
        <v>859</v>
      </c>
      <c r="H44" s="116" t="s">
        <v>971</v>
      </c>
      <c r="I44" s="116" t="s">
        <v>972</v>
      </c>
      <c r="J44" s="116" t="s">
        <v>566</v>
      </c>
      <c r="K44" s="116" t="s">
        <v>566</v>
      </c>
      <c r="L44" s="121" t="s">
        <v>566</v>
      </c>
    </row>
    <row r="45" spans="1:12" ht="20.399999999999999" x14ac:dyDescent="0.3">
      <c r="A45" s="120" t="s">
        <v>470</v>
      </c>
      <c r="B45" s="116">
        <v>41</v>
      </c>
      <c r="C45" s="116" t="s">
        <v>792</v>
      </c>
      <c r="D45" s="116" t="s">
        <v>458</v>
      </c>
      <c r="E45" s="116" t="s">
        <v>567</v>
      </c>
      <c r="F45" s="116" t="s">
        <v>568</v>
      </c>
      <c r="G45" s="116" t="s">
        <v>810</v>
      </c>
      <c r="H45" s="116" t="s">
        <v>811</v>
      </c>
      <c r="I45" s="116" t="s">
        <v>812</v>
      </c>
      <c r="J45" s="116" t="s">
        <v>809</v>
      </c>
      <c r="K45" s="136" t="s">
        <v>1027</v>
      </c>
      <c r="L45" s="137" t="s">
        <v>1028</v>
      </c>
    </row>
    <row r="46" spans="1:12" x14ac:dyDescent="0.3">
      <c r="A46" s="120" t="s">
        <v>479</v>
      </c>
      <c r="B46" s="116">
        <v>42</v>
      </c>
      <c r="C46" s="116" t="s">
        <v>792</v>
      </c>
      <c r="D46" s="116" t="s">
        <v>458</v>
      </c>
      <c r="E46" s="116" t="s">
        <v>567</v>
      </c>
      <c r="F46" s="116" t="s">
        <v>673</v>
      </c>
      <c r="G46" s="116" t="s">
        <v>658</v>
      </c>
      <c r="H46" s="116" t="s">
        <v>659</v>
      </c>
      <c r="I46" s="116" t="s">
        <v>660</v>
      </c>
      <c r="J46" s="116" t="s">
        <v>871</v>
      </c>
      <c r="K46" s="136" t="s">
        <v>1029</v>
      </c>
      <c r="L46" s="137" t="s">
        <v>1030</v>
      </c>
    </row>
    <row r="47" spans="1:12" ht="20.399999999999999" x14ac:dyDescent="0.3">
      <c r="A47" s="120" t="s">
        <v>813</v>
      </c>
      <c r="B47" s="116">
        <v>43</v>
      </c>
      <c r="C47" s="116" t="s">
        <v>792</v>
      </c>
      <c r="D47" s="116" t="s">
        <v>458</v>
      </c>
      <c r="E47" s="116" t="s">
        <v>567</v>
      </c>
      <c r="F47" s="116" t="s">
        <v>674</v>
      </c>
      <c r="G47" s="116" t="s">
        <v>814</v>
      </c>
      <c r="H47" s="116" t="s">
        <v>815</v>
      </c>
      <c r="I47" s="116" t="s">
        <v>816</v>
      </c>
      <c r="J47" s="116" t="s">
        <v>817</v>
      </c>
      <c r="K47" s="136" t="s">
        <v>818</v>
      </c>
      <c r="L47" s="137" t="s">
        <v>819</v>
      </c>
    </row>
    <row r="48" spans="1:12" ht="20.399999999999999" x14ac:dyDescent="0.3">
      <c r="A48" s="120" t="s">
        <v>466</v>
      </c>
      <c r="B48" s="116">
        <v>44</v>
      </c>
      <c r="C48" s="116" t="s">
        <v>792</v>
      </c>
      <c r="D48" s="116" t="s">
        <v>458</v>
      </c>
      <c r="E48" s="116" t="s">
        <v>567</v>
      </c>
      <c r="F48" s="116" t="s">
        <v>673</v>
      </c>
      <c r="G48" s="116" t="s">
        <v>761</v>
      </c>
      <c r="H48" s="116" t="s">
        <v>762</v>
      </c>
      <c r="I48" s="116" t="s">
        <v>763</v>
      </c>
      <c r="J48" s="116" t="s">
        <v>724</v>
      </c>
      <c r="K48" s="136" t="s">
        <v>742</v>
      </c>
      <c r="L48" s="137" t="s">
        <v>569</v>
      </c>
    </row>
    <row r="49" spans="1:12" s="7" customFormat="1" ht="10.199999999999999" x14ac:dyDescent="0.3">
      <c r="A49" s="123" t="s">
        <v>820</v>
      </c>
      <c r="B49" s="116">
        <v>45</v>
      </c>
      <c r="C49" s="116" t="s">
        <v>792</v>
      </c>
      <c r="D49" s="123" t="s">
        <v>458</v>
      </c>
      <c r="E49" s="123" t="s">
        <v>567</v>
      </c>
      <c r="F49" s="138" t="s">
        <v>673</v>
      </c>
      <c r="G49" s="123" t="s">
        <v>821</v>
      </c>
      <c r="H49" s="123" t="s">
        <v>822</v>
      </c>
      <c r="I49" s="123" t="s">
        <v>823</v>
      </c>
      <c r="J49" s="123" t="s">
        <v>824</v>
      </c>
      <c r="K49" s="123" t="s">
        <v>825</v>
      </c>
      <c r="L49" s="123" t="s">
        <v>826</v>
      </c>
    </row>
    <row r="50" spans="1:12" x14ac:dyDescent="0.3">
      <c r="A50" s="120" t="s">
        <v>829</v>
      </c>
      <c r="B50" s="116">
        <v>46</v>
      </c>
      <c r="C50" s="116" t="s">
        <v>792</v>
      </c>
      <c r="D50" s="116" t="s">
        <v>458</v>
      </c>
      <c r="E50" s="116" t="s">
        <v>567</v>
      </c>
      <c r="F50" s="116" t="s">
        <v>568</v>
      </c>
      <c r="G50" s="116" t="s">
        <v>830</v>
      </c>
      <c r="H50" s="116" t="s">
        <v>973</v>
      </c>
      <c r="I50" s="116" t="s">
        <v>974</v>
      </c>
      <c r="J50" s="116" t="s">
        <v>1031</v>
      </c>
      <c r="K50" s="136" t="s">
        <v>1032</v>
      </c>
      <c r="L50" s="137" t="s">
        <v>1033</v>
      </c>
    </row>
    <row r="51" spans="1:12" x14ac:dyDescent="0.3">
      <c r="A51" s="120" t="s">
        <v>828</v>
      </c>
      <c r="B51" s="116">
        <v>47</v>
      </c>
      <c r="C51" s="116" t="s">
        <v>792</v>
      </c>
      <c r="D51" s="116" t="s">
        <v>458</v>
      </c>
      <c r="E51" s="116" t="s">
        <v>567</v>
      </c>
      <c r="F51" s="116" t="s">
        <v>568</v>
      </c>
      <c r="G51" s="116" t="s">
        <v>831</v>
      </c>
      <c r="H51" s="116" t="s">
        <v>975</v>
      </c>
      <c r="I51" s="116" t="s">
        <v>976</v>
      </c>
      <c r="J51" s="116" t="s">
        <v>877</v>
      </c>
      <c r="K51" s="136" t="s">
        <v>1034</v>
      </c>
      <c r="L51" s="137" t="s">
        <v>1035</v>
      </c>
    </row>
    <row r="52" spans="1:12" ht="20.399999999999999" x14ac:dyDescent="0.3">
      <c r="A52" s="139" t="s">
        <v>868</v>
      </c>
      <c r="B52" s="116">
        <v>48</v>
      </c>
      <c r="C52" s="116" t="s">
        <v>792</v>
      </c>
      <c r="D52" s="139" t="s">
        <v>458</v>
      </c>
      <c r="E52" s="139" t="s">
        <v>567</v>
      </c>
      <c r="F52" s="139" t="s">
        <v>673</v>
      </c>
      <c r="G52" s="139" t="s">
        <v>1</v>
      </c>
      <c r="H52" s="139" t="s">
        <v>471</v>
      </c>
      <c r="I52" s="139" t="s">
        <v>472</v>
      </c>
      <c r="J52" s="139" t="s">
        <v>1036</v>
      </c>
      <c r="K52" s="139" t="s">
        <v>1037</v>
      </c>
      <c r="L52" s="140" t="s">
        <v>1038</v>
      </c>
    </row>
    <row r="53" spans="1:12" x14ac:dyDescent="0.3">
      <c r="A53" s="139" t="s">
        <v>869</v>
      </c>
      <c r="B53" s="116">
        <v>49</v>
      </c>
      <c r="C53" s="116" t="s">
        <v>792</v>
      </c>
      <c r="D53" s="139" t="s">
        <v>458</v>
      </c>
      <c r="E53" s="139" t="s">
        <v>567</v>
      </c>
      <c r="F53" s="139" t="s">
        <v>673</v>
      </c>
      <c r="G53" s="139" t="s">
        <v>4</v>
      </c>
      <c r="H53" s="139" t="s">
        <v>473</v>
      </c>
      <c r="I53" s="139" t="s">
        <v>474</v>
      </c>
      <c r="J53" s="139" t="s">
        <v>870</v>
      </c>
      <c r="K53" s="139" t="s">
        <v>1039</v>
      </c>
      <c r="L53" s="140" t="s">
        <v>1040</v>
      </c>
    </row>
    <row r="54" spans="1:12" ht="20.399999999999999" x14ac:dyDescent="0.3">
      <c r="A54" s="120" t="s">
        <v>467</v>
      </c>
      <c r="B54" s="116">
        <v>50</v>
      </c>
      <c r="C54" s="116" t="s">
        <v>792</v>
      </c>
      <c r="D54" s="116" t="s">
        <v>458</v>
      </c>
      <c r="E54" s="116" t="s">
        <v>567</v>
      </c>
      <c r="F54" s="116" t="s">
        <v>568</v>
      </c>
      <c r="G54" s="116" t="s">
        <v>667</v>
      </c>
      <c r="H54" s="116" t="s">
        <v>668</v>
      </c>
      <c r="I54" s="116" t="s">
        <v>669</v>
      </c>
      <c r="J54" s="116" t="s">
        <v>725</v>
      </c>
      <c r="K54" s="136" t="s">
        <v>743</v>
      </c>
      <c r="L54" s="137" t="s">
        <v>744</v>
      </c>
    </row>
    <row r="55" spans="1:12" ht="20.399999999999999" x14ac:dyDescent="0.3">
      <c r="A55" s="120" t="s">
        <v>468</v>
      </c>
      <c r="B55" s="116">
        <v>51</v>
      </c>
      <c r="C55" s="116" t="s">
        <v>792</v>
      </c>
      <c r="D55" s="116" t="s">
        <v>458</v>
      </c>
      <c r="E55" s="116" t="s">
        <v>567</v>
      </c>
      <c r="F55" s="116" t="s">
        <v>568</v>
      </c>
      <c r="G55" s="116" t="s">
        <v>670</v>
      </c>
      <c r="H55" s="116" t="s">
        <v>671</v>
      </c>
      <c r="I55" s="116" t="s">
        <v>672</v>
      </c>
      <c r="J55" s="116" t="s">
        <v>726</v>
      </c>
      <c r="K55" s="136" t="s">
        <v>745</v>
      </c>
      <c r="L55" s="137" t="s">
        <v>746</v>
      </c>
    </row>
    <row r="56" spans="1:12" ht="20.399999999999999" x14ac:dyDescent="0.3">
      <c r="A56" s="120" t="s">
        <v>469</v>
      </c>
      <c r="B56" s="116">
        <v>52</v>
      </c>
      <c r="C56" s="116" t="s">
        <v>792</v>
      </c>
      <c r="D56" s="116" t="s">
        <v>458</v>
      </c>
      <c r="E56" s="116" t="s">
        <v>567</v>
      </c>
      <c r="F56" s="116" t="s">
        <v>675</v>
      </c>
      <c r="G56" s="116" t="s">
        <v>661</v>
      </c>
      <c r="H56" s="116" t="s">
        <v>662</v>
      </c>
      <c r="I56" s="116" t="s">
        <v>663</v>
      </c>
      <c r="J56" s="116" t="s">
        <v>764</v>
      </c>
      <c r="K56" s="136" t="s">
        <v>570</v>
      </c>
      <c r="L56" s="137" t="s">
        <v>747</v>
      </c>
    </row>
    <row r="57" spans="1:12" x14ac:dyDescent="0.3">
      <c r="A57" s="120" t="s">
        <v>478</v>
      </c>
      <c r="B57" s="116">
        <v>53</v>
      </c>
      <c r="C57" s="116" t="s">
        <v>792</v>
      </c>
      <c r="D57" s="116" t="s">
        <v>458</v>
      </c>
      <c r="E57" s="116" t="s">
        <v>567</v>
      </c>
      <c r="F57" s="116" t="s">
        <v>568</v>
      </c>
      <c r="G57" s="116" t="s">
        <v>664</v>
      </c>
      <c r="H57" s="116" t="s">
        <v>665</v>
      </c>
      <c r="I57" s="116" t="s">
        <v>666</v>
      </c>
      <c r="J57" s="116" t="s">
        <v>727</v>
      </c>
      <c r="K57" s="136" t="s">
        <v>748</v>
      </c>
      <c r="L57" s="137" t="s">
        <v>749</v>
      </c>
    </row>
    <row r="58" spans="1:12" x14ac:dyDescent="0.3">
      <c r="A58" s="120" t="s">
        <v>903</v>
      </c>
      <c r="B58" s="116">
        <v>54</v>
      </c>
      <c r="C58" s="116" t="s">
        <v>792</v>
      </c>
      <c r="D58" s="116" t="s">
        <v>458</v>
      </c>
      <c r="E58" s="116" t="s">
        <v>567</v>
      </c>
      <c r="F58" s="116" t="s">
        <v>568</v>
      </c>
      <c r="G58" s="116" t="s">
        <v>904</v>
      </c>
      <c r="H58" s="116" t="s">
        <v>905</v>
      </c>
      <c r="I58" s="116" t="s">
        <v>906</v>
      </c>
      <c r="J58" s="116" t="s">
        <v>907</v>
      </c>
      <c r="K58" s="116" t="s">
        <v>1041</v>
      </c>
      <c r="L58" s="137" t="s">
        <v>1042</v>
      </c>
    </row>
    <row r="59" spans="1:12" x14ac:dyDescent="0.3">
      <c r="A59" s="120" t="s">
        <v>914</v>
      </c>
      <c r="B59" s="116">
        <v>55</v>
      </c>
      <c r="C59" s="116" t="s">
        <v>792</v>
      </c>
      <c r="D59" s="116" t="s">
        <v>458</v>
      </c>
      <c r="E59" s="116" t="s">
        <v>567</v>
      </c>
      <c r="F59" s="116" t="s">
        <v>675</v>
      </c>
      <c r="G59" s="116" t="s">
        <v>915</v>
      </c>
      <c r="H59" s="116" t="s">
        <v>916</v>
      </c>
      <c r="I59" s="116" t="s">
        <v>917</v>
      </c>
      <c r="J59" s="116" t="s">
        <v>918</v>
      </c>
      <c r="K59" s="116" t="s">
        <v>1043</v>
      </c>
      <c r="L59" s="121" t="s">
        <v>1044</v>
      </c>
    </row>
    <row r="60" spans="1:12" x14ac:dyDescent="0.3">
      <c r="A60" s="120" t="s">
        <v>919</v>
      </c>
      <c r="B60" s="116">
        <v>56</v>
      </c>
      <c r="C60" s="116" t="s">
        <v>792</v>
      </c>
      <c r="D60" s="116" t="s">
        <v>458</v>
      </c>
      <c r="E60" s="116" t="s">
        <v>567</v>
      </c>
      <c r="F60" s="116" t="s">
        <v>568</v>
      </c>
      <c r="G60" s="116" t="s">
        <v>921</v>
      </c>
      <c r="H60" s="116" t="s">
        <v>922</v>
      </c>
      <c r="I60" s="116" t="s">
        <v>923</v>
      </c>
      <c r="J60" s="116" t="s">
        <v>924</v>
      </c>
      <c r="K60" s="116" t="s">
        <v>1045</v>
      </c>
      <c r="L60" s="137" t="s">
        <v>1046</v>
      </c>
    </row>
    <row r="61" spans="1:12" x14ac:dyDescent="0.3">
      <c r="A61" s="120" t="s">
        <v>920</v>
      </c>
      <c r="B61" s="116">
        <v>57</v>
      </c>
      <c r="C61" s="116" t="s">
        <v>792</v>
      </c>
      <c r="D61" s="116" t="s">
        <v>458</v>
      </c>
      <c r="E61" s="116" t="s">
        <v>567</v>
      </c>
      <c r="F61" s="116" t="s">
        <v>675</v>
      </c>
      <c r="G61" s="116" t="s">
        <v>925</v>
      </c>
      <c r="H61" s="116" t="s">
        <v>926</v>
      </c>
      <c r="I61" s="116" t="s">
        <v>927</v>
      </c>
      <c r="J61" s="116" t="s">
        <v>928</v>
      </c>
      <c r="K61" s="116" t="s">
        <v>1047</v>
      </c>
      <c r="L61" s="121" t="s">
        <v>1048</v>
      </c>
    </row>
    <row r="62" spans="1:12" x14ac:dyDescent="0.3">
      <c r="A62" s="120" t="s">
        <v>957</v>
      </c>
      <c r="B62" s="116">
        <v>58</v>
      </c>
      <c r="C62" s="116" t="s">
        <v>792</v>
      </c>
      <c r="D62" s="116" t="s">
        <v>458</v>
      </c>
      <c r="E62" s="116" t="s">
        <v>567</v>
      </c>
      <c r="F62" s="116" t="s">
        <v>568</v>
      </c>
      <c r="G62" s="116" t="s">
        <v>929</v>
      </c>
      <c r="H62" s="116" t="s">
        <v>930</v>
      </c>
      <c r="I62" s="116" t="s">
        <v>931</v>
      </c>
      <c r="J62" s="116" t="s">
        <v>932</v>
      </c>
      <c r="K62" s="116" t="s">
        <v>1049</v>
      </c>
      <c r="L62" s="137" t="s">
        <v>1050</v>
      </c>
    </row>
    <row r="63" spans="1:12" x14ac:dyDescent="0.3">
      <c r="A63" s="120" t="s">
        <v>958</v>
      </c>
      <c r="B63" s="116">
        <v>59</v>
      </c>
      <c r="C63" s="116" t="s">
        <v>792</v>
      </c>
      <c r="D63" s="116" t="s">
        <v>458</v>
      </c>
      <c r="E63" s="116" t="s">
        <v>567</v>
      </c>
      <c r="F63" s="116" t="s">
        <v>675</v>
      </c>
      <c r="G63" s="116" t="s">
        <v>933</v>
      </c>
      <c r="H63" s="116" t="s">
        <v>934</v>
      </c>
      <c r="I63" s="116" t="s">
        <v>935</v>
      </c>
      <c r="J63" s="116" t="s">
        <v>936</v>
      </c>
      <c r="K63" s="116" t="s">
        <v>1051</v>
      </c>
      <c r="L63" s="121" t="s">
        <v>1052</v>
      </c>
    </row>
    <row r="64" spans="1:12" x14ac:dyDescent="0.3">
      <c r="A64" s="120" t="s">
        <v>955</v>
      </c>
      <c r="B64" s="116">
        <v>60</v>
      </c>
      <c r="C64" s="116" t="s">
        <v>792</v>
      </c>
      <c r="D64" s="116" t="s">
        <v>458</v>
      </c>
      <c r="E64" s="116" t="s">
        <v>567</v>
      </c>
      <c r="F64" s="116" t="s">
        <v>568</v>
      </c>
      <c r="G64" s="116" t="s">
        <v>937</v>
      </c>
      <c r="H64" s="116" t="s">
        <v>938</v>
      </c>
      <c r="I64" s="116" t="s">
        <v>939</v>
      </c>
      <c r="J64" s="116" t="s">
        <v>940</v>
      </c>
      <c r="K64" s="116" t="s">
        <v>1053</v>
      </c>
      <c r="L64" s="137" t="s">
        <v>1054</v>
      </c>
    </row>
    <row r="65" spans="1:12" x14ac:dyDescent="0.3">
      <c r="A65" s="120" t="s">
        <v>956</v>
      </c>
      <c r="B65" s="116">
        <v>61</v>
      </c>
      <c r="C65" s="116" t="s">
        <v>792</v>
      </c>
      <c r="D65" s="116" t="s">
        <v>458</v>
      </c>
      <c r="E65" s="116" t="s">
        <v>567</v>
      </c>
      <c r="F65" s="116" t="s">
        <v>675</v>
      </c>
      <c r="G65" s="116" t="s">
        <v>941</v>
      </c>
      <c r="H65" s="116" t="s">
        <v>942</v>
      </c>
      <c r="I65" s="116" t="s">
        <v>943</v>
      </c>
      <c r="J65" s="116" t="s">
        <v>944</v>
      </c>
      <c r="K65" s="116" t="s">
        <v>1055</v>
      </c>
      <c r="L65" s="121" t="s">
        <v>1056</v>
      </c>
    </row>
    <row r="66" spans="1:12" x14ac:dyDescent="0.3">
      <c r="A66" s="120" t="s">
        <v>953</v>
      </c>
      <c r="B66" s="116">
        <v>62</v>
      </c>
      <c r="C66" s="116" t="s">
        <v>792</v>
      </c>
      <c r="D66" s="116" t="s">
        <v>458</v>
      </c>
      <c r="E66" s="116" t="s">
        <v>567</v>
      </c>
      <c r="F66" s="116" t="s">
        <v>568</v>
      </c>
      <c r="G66" s="116" t="s">
        <v>945</v>
      </c>
      <c r="H66" s="116" t="s">
        <v>946</v>
      </c>
      <c r="I66" s="116" t="s">
        <v>947</v>
      </c>
      <c r="J66" s="116" t="s">
        <v>948</v>
      </c>
      <c r="K66" s="116" t="s">
        <v>1057</v>
      </c>
      <c r="L66" s="137" t="s">
        <v>1058</v>
      </c>
    </row>
    <row r="67" spans="1:12" x14ac:dyDescent="0.3">
      <c r="A67" s="120" t="s">
        <v>954</v>
      </c>
      <c r="B67" s="116">
        <v>63</v>
      </c>
      <c r="C67" s="116" t="s">
        <v>792</v>
      </c>
      <c r="D67" s="116" t="s">
        <v>458</v>
      </c>
      <c r="E67" s="116" t="s">
        <v>567</v>
      </c>
      <c r="F67" s="116" t="s">
        <v>675</v>
      </c>
      <c r="G67" s="116" t="s">
        <v>949</v>
      </c>
      <c r="H67" s="116" t="s">
        <v>950</v>
      </c>
      <c r="I67" s="116" t="s">
        <v>951</v>
      </c>
      <c r="J67" s="116" t="s">
        <v>952</v>
      </c>
      <c r="K67" s="116" t="s">
        <v>1059</v>
      </c>
      <c r="L67" s="121" t="s">
        <v>1060</v>
      </c>
    </row>
    <row r="68" spans="1:12" x14ac:dyDescent="0.3">
      <c r="A68" s="120" t="s">
        <v>847</v>
      </c>
      <c r="B68" s="116">
        <v>64</v>
      </c>
      <c r="C68" s="116" t="s">
        <v>792</v>
      </c>
      <c r="D68" s="116" t="s">
        <v>458</v>
      </c>
      <c r="E68" s="116" t="s">
        <v>567</v>
      </c>
      <c r="F68" s="116" t="s">
        <v>648</v>
      </c>
      <c r="G68" s="116" t="s">
        <v>852</v>
      </c>
      <c r="H68" s="116" t="s">
        <v>977</v>
      </c>
      <c r="I68" s="116" t="s">
        <v>978</v>
      </c>
      <c r="J68" s="116" t="s">
        <v>850</v>
      </c>
      <c r="K68" s="116" t="s">
        <v>1061</v>
      </c>
      <c r="L68" s="121" t="s">
        <v>1062</v>
      </c>
    </row>
    <row r="69" spans="1:12" x14ac:dyDescent="0.3">
      <c r="A69" s="120" t="s">
        <v>846</v>
      </c>
      <c r="B69" s="116">
        <v>65</v>
      </c>
      <c r="C69" s="116" t="s">
        <v>792</v>
      </c>
      <c r="D69" s="116" t="s">
        <v>458</v>
      </c>
      <c r="E69" s="116" t="s">
        <v>567</v>
      </c>
      <c r="F69" s="116" t="s">
        <v>648</v>
      </c>
      <c r="G69" s="116" t="s">
        <v>854</v>
      </c>
      <c r="H69" s="116" t="s">
        <v>979</v>
      </c>
      <c r="I69" s="116" t="s">
        <v>980</v>
      </c>
      <c r="J69" s="116" t="s">
        <v>851</v>
      </c>
      <c r="K69" s="116" t="s">
        <v>1063</v>
      </c>
      <c r="L69" s="121" t="s">
        <v>1064</v>
      </c>
    </row>
    <row r="70" spans="1:12" x14ac:dyDescent="0.3">
      <c r="A70" s="120" t="s">
        <v>848</v>
      </c>
      <c r="B70" s="116">
        <v>66</v>
      </c>
      <c r="C70" s="116" t="s">
        <v>792</v>
      </c>
      <c r="D70" s="116" t="s">
        <v>458</v>
      </c>
      <c r="E70" s="116" t="s">
        <v>567</v>
      </c>
      <c r="F70" s="116" t="s">
        <v>648</v>
      </c>
      <c r="G70" s="116" t="s">
        <v>853</v>
      </c>
      <c r="H70" s="116" t="s">
        <v>981</v>
      </c>
      <c r="I70" s="116" t="s">
        <v>982</v>
      </c>
      <c r="J70" s="116" t="s">
        <v>1065</v>
      </c>
      <c r="K70" s="116" t="s">
        <v>1066</v>
      </c>
      <c r="L70" s="121" t="s">
        <v>1067</v>
      </c>
    </row>
    <row r="71" spans="1:12" x14ac:dyDescent="0.3">
      <c r="A71" s="120" t="s">
        <v>849</v>
      </c>
      <c r="B71" s="116">
        <v>67</v>
      </c>
      <c r="C71" s="116" t="s">
        <v>792</v>
      </c>
      <c r="D71" s="116" t="s">
        <v>458</v>
      </c>
      <c r="E71" s="116" t="s">
        <v>567</v>
      </c>
      <c r="F71" s="116" t="s">
        <v>648</v>
      </c>
      <c r="G71" s="116" t="s">
        <v>855</v>
      </c>
      <c r="H71" s="116" t="s">
        <v>983</v>
      </c>
      <c r="I71" s="116" t="s">
        <v>984</v>
      </c>
      <c r="J71" s="116" t="s">
        <v>1068</v>
      </c>
      <c r="K71" s="116" t="s">
        <v>1069</v>
      </c>
      <c r="L71" s="121" t="s">
        <v>1070</v>
      </c>
    </row>
    <row r="72" spans="1:12" x14ac:dyDescent="0.3">
      <c r="A72" s="120" t="s">
        <v>878</v>
      </c>
      <c r="B72" s="116">
        <v>68</v>
      </c>
      <c r="C72" s="116" t="s">
        <v>792</v>
      </c>
      <c r="D72" s="116" t="s">
        <v>458</v>
      </c>
      <c r="E72" s="116" t="s">
        <v>567</v>
      </c>
      <c r="F72" s="116" t="s">
        <v>648</v>
      </c>
      <c r="G72" s="116" t="s">
        <v>879</v>
      </c>
      <c r="H72" s="116" t="s">
        <v>985</v>
      </c>
      <c r="I72" s="116" t="s">
        <v>986</v>
      </c>
      <c r="J72" s="116" t="s">
        <v>880</v>
      </c>
      <c r="K72" s="116" t="s">
        <v>1071</v>
      </c>
      <c r="L72" s="121" t="s">
        <v>1072</v>
      </c>
    </row>
    <row r="73" spans="1:12" x14ac:dyDescent="0.3">
      <c r="A73" s="120" t="s">
        <v>579</v>
      </c>
      <c r="B73" s="116">
        <v>69</v>
      </c>
      <c r="C73" s="116" t="s">
        <v>635</v>
      </c>
      <c r="D73" s="116" t="s">
        <v>580</v>
      </c>
      <c r="E73" s="116" t="s">
        <v>581</v>
      </c>
      <c r="F73" s="116" t="s">
        <v>566</v>
      </c>
      <c r="G73" s="116" t="s">
        <v>582</v>
      </c>
      <c r="H73" s="116" t="s">
        <v>582</v>
      </c>
      <c r="I73" s="116" t="s">
        <v>583</v>
      </c>
      <c r="J73" s="116" t="s">
        <v>584</v>
      </c>
      <c r="K73" s="116" t="s">
        <v>585</v>
      </c>
      <c r="L73" s="121" t="s">
        <v>586</v>
      </c>
    </row>
    <row r="74" spans="1:12" x14ac:dyDescent="0.3">
      <c r="A74" s="120" t="s">
        <v>587</v>
      </c>
      <c r="B74" s="116">
        <v>70</v>
      </c>
      <c r="C74" s="116" t="s">
        <v>635</v>
      </c>
      <c r="D74" s="116" t="s">
        <v>580</v>
      </c>
      <c r="E74" s="116" t="s">
        <v>588</v>
      </c>
      <c r="F74" s="116" t="s">
        <v>566</v>
      </c>
      <c r="G74" s="116" t="s">
        <v>580</v>
      </c>
      <c r="H74" s="116" t="s">
        <v>580</v>
      </c>
      <c r="I74" s="116" t="s">
        <v>580</v>
      </c>
      <c r="J74" s="116" t="s">
        <v>566</v>
      </c>
      <c r="K74" s="116" t="s">
        <v>566</v>
      </c>
      <c r="L74" s="121" t="s">
        <v>566</v>
      </c>
    </row>
    <row r="75" spans="1:12" x14ac:dyDescent="0.3">
      <c r="A75" s="120" t="s">
        <v>589</v>
      </c>
      <c r="B75" s="116">
        <v>71</v>
      </c>
      <c r="C75" s="116" t="s">
        <v>635</v>
      </c>
      <c r="D75" s="116" t="s">
        <v>580</v>
      </c>
      <c r="E75" s="116" t="s">
        <v>590</v>
      </c>
      <c r="F75" s="116" t="s">
        <v>566</v>
      </c>
      <c r="G75" s="116" t="s">
        <v>591</v>
      </c>
      <c r="H75" s="116" t="s">
        <v>591</v>
      </c>
      <c r="I75" s="116" t="s">
        <v>591</v>
      </c>
      <c r="J75" s="116" t="s">
        <v>1073</v>
      </c>
      <c r="K75" s="116" t="s">
        <v>750</v>
      </c>
      <c r="L75" s="121" t="s">
        <v>751</v>
      </c>
    </row>
    <row r="76" spans="1:12" x14ac:dyDescent="0.3">
      <c r="A76" s="120" t="s">
        <v>592</v>
      </c>
      <c r="B76" s="116">
        <v>72</v>
      </c>
      <c r="C76" s="116" t="s">
        <v>635</v>
      </c>
      <c r="D76" s="116" t="s">
        <v>580</v>
      </c>
      <c r="E76" s="116" t="s">
        <v>590</v>
      </c>
      <c r="F76" s="116" t="s">
        <v>566</v>
      </c>
      <c r="G76" s="116" t="s">
        <v>593</v>
      </c>
      <c r="H76" s="116" t="s">
        <v>593</v>
      </c>
      <c r="I76" s="116" t="s">
        <v>593</v>
      </c>
      <c r="J76" s="116" t="s">
        <v>1074</v>
      </c>
      <c r="K76" s="116" t="s">
        <v>752</v>
      </c>
      <c r="L76" s="121" t="s">
        <v>753</v>
      </c>
    </row>
    <row r="77" spans="1:12" x14ac:dyDescent="0.3">
      <c r="A77" s="120" t="s">
        <v>594</v>
      </c>
      <c r="B77" s="116">
        <v>73</v>
      </c>
      <c r="C77" s="116" t="s">
        <v>635</v>
      </c>
      <c r="D77" s="116" t="s">
        <v>580</v>
      </c>
      <c r="E77" s="116" t="s">
        <v>590</v>
      </c>
      <c r="F77" s="116" t="s">
        <v>566</v>
      </c>
      <c r="G77" s="116" t="s">
        <v>595</v>
      </c>
      <c r="H77" s="116" t="s">
        <v>595</v>
      </c>
      <c r="I77" s="116" t="s">
        <v>595</v>
      </c>
      <c r="J77" s="116" t="s">
        <v>1075</v>
      </c>
      <c r="K77" s="116" t="s">
        <v>754</v>
      </c>
      <c r="L77" s="121" t="s">
        <v>755</v>
      </c>
    </row>
    <row r="78" spans="1:12" ht="20.399999999999999" x14ac:dyDescent="0.3">
      <c r="A78" s="120" t="s">
        <v>596</v>
      </c>
      <c r="B78" s="116">
        <v>74</v>
      </c>
      <c r="C78" s="116" t="s">
        <v>635</v>
      </c>
      <c r="D78" s="116" t="s">
        <v>580</v>
      </c>
      <c r="E78" s="116" t="s">
        <v>590</v>
      </c>
      <c r="F78" s="116" t="s">
        <v>566</v>
      </c>
      <c r="G78" s="116" t="s">
        <v>597</v>
      </c>
      <c r="H78" s="116" t="s">
        <v>597</v>
      </c>
      <c r="I78" s="116" t="s">
        <v>597</v>
      </c>
      <c r="J78" s="116" t="s">
        <v>756</v>
      </c>
      <c r="K78" s="116" t="s">
        <v>757</v>
      </c>
      <c r="L78" s="121" t="s">
        <v>758</v>
      </c>
    </row>
    <row r="79" spans="1:12" x14ac:dyDescent="0.3">
      <c r="A79" s="120" t="s">
        <v>598</v>
      </c>
      <c r="B79" s="116">
        <v>75</v>
      </c>
      <c r="C79" s="116" t="s">
        <v>635</v>
      </c>
      <c r="D79" s="116" t="s">
        <v>580</v>
      </c>
      <c r="E79" s="116" t="s">
        <v>590</v>
      </c>
      <c r="F79" s="116" t="s">
        <v>566</v>
      </c>
      <c r="G79" s="116" t="s">
        <v>599</v>
      </c>
      <c r="H79" s="116" t="s">
        <v>599</v>
      </c>
      <c r="I79" s="116" t="s">
        <v>599</v>
      </c>
      <c r="J79" s="116" t="s">
        <v>600</v>
      </c>
      <c r="K79" s="116" t="s">
        <v>759</v>
      </c>
      <c r="L79" s="121" t="s">
        <v>760</v>
      </c>
    </row>
    <row r="80" spans="1:12" x14ac:dyDescent="0.3">
      <c r="A80" s="120" t="s">
        <v>601</v>
      </c>
      <c r="B80" s="116">
        <v>76</v>
      </c>
      <c r="C80" s="116" t="s">
        <v>635</v>
      </c>
      <c r="D80" s="116" t="s">
        <v>602</v>
      </c>
      <c r="E80" s="116" t="s">
        <v>588</v>
      </c>
      <c r="F80" s="116" t="s">
        <v>566</v>
      </c>
      <c r="G80" s="116" t="s">
        <v>603</v>
      </c>
      <c r="H80" s="116" t="s">
        <v>604</v>
      </c>
      <c r="I80" s="116" t="s">
        <v>605</v>
      </c>
      <c r="J80" s="116" t="s">
        <v>566</v>
      </c>
      <c r="K80" s="116" t="s">
        <v>566</v>
      </c>
      <c r="L80" s="121" t="s">
        <v>566</v>
      </c>
    </row>
    <row r="81" spans="1:12" x14ac:dyDescent="0.3">
      <c r="A81" s="120" t="s">
        <v>606</v>
      </c>
      <c r="B81" s="116">
        <v>77</v>
      </c>
      <c r="C81" s="116" t="s">
        <v>635</v>
      </c>
      <c r="D81" s="116" t="s">
        <v>602</v>
      </c>
      <c r="E81" s="116" t="s">
        <v>590</v>
      </c>
      <c r="F81" s="116" t="s">
        <v>566</v>
      </c>
      <c r="G81" s="116" t="s">
        <v>607</v>
      </c>
      <c r="H81" s="116" t="s">
        <v>608</v>
      </c>
      <c r="I81" s="116" t="s">
        <v>609</v>
      </c>
      <c r="J81" s="116" t="s">
        <v>566</v>
      </c>
      <c r="K81" s="116" t="s">
        <v>566</v>
      </c>
      <c r="L81" s="121" t="s">
        <v>566</v>
      </c>
    </row>
    <row r="82" spans="1:12" x14ac:dyDescent="0.3">
      <c r="A82" s="120" t="s">
        <v>610</v>
      </c>
      <c r="B82" s="116">
        <v>78</v>
      </c>
      <c r="C82" s="116" t="s">
        <v>635</v>
      </c>
      <c r="D82" s="116" t="s">
        <v>602</v>
      </c>
      <c r="E82" s="116" t="s">
        <v>590</v>
      </c>
      <c r="F82" s="116" t="s">
        <v>566</v>
      </c>
      <c r="G82" s="116" t="s">
        <v>611</v>
      </c>
      <c r="H82" s="116" t="s">
        <v>612</v>
      </c>
      <c r="I82" s="116" t="s">
        <v>613</v>
      </c>
      <c r="J82" s="116" t="s">
        <v>566</v>
      </c>
      <c r="K82" s="116" t="s">
        <v>566</v>
      </c>
      <c r="L82" s="121" t="s">
        <v>566</v>
      </c>
    </row>
    <row r="83" spans="1:12" x14ac:dyDescent="0.3">
      <c r="A83" s="120" t="s">
        <v>614</v>
      </c>
      <c r="B83" s="116">
        <v>79</v>
      </c>
      <c r="C83" s="116" t="s">
        <v>635</v>
      </c>
      <c r="D83" s="116" t="s">
        <v>602</v>
      </c>
      <c r="E83" s="116" t="s">
        <v>590</v>
      </c>
      <c r="F83" s="116" t="s">
        <v>566</v>
      </c>
      <c r="G83" s="116" t="s">
        <v>615</v>
      </c>
      <c r="H83" s="116" t="s">
        <v>616</v>
      </c>
      <c r="I83" s="116" t="s">
        <v>617</v>
      </c>
      <c r="J83" s="116" t="s">
        <v>566</v>
      </c>
      <c r="K83" s="116" t="s">
        <v>566</v>
      </c>
      <c r="L83" s="121" t="s">
        <v>566</v>
      </c>
    </row>
    <row r="84" spans="1:12" x14ac:dyDescent="0.3">
      <c r="A84" s="120" t="s">
        <v>618</v>
      </c>
      <c r="B84" s="116">
        <v>80</v>
      </c>
      <c r="C84" s="116" t="s">
        <v>635</v>
      </c>
      <c r="D84" s="116" t="s">
        <v>602</v>
      </c>
      <c r="E84" s="116" t="s">
        <v>590</v>
      </c>
      <c r="F84" s="116" t="s">
        <v>566</v>
      </c>
      <c r="G84" s="116" t="s">
        <v>457</v>
      </c>
      <c r="H84" s="116" t="s">
        <v>619</v>
      </c>
      <c r="I84" s="116" t="s">
        <v>620</v>
      </c>
      <c r="J84" s="116" t="s">
        <v>566</v>
      </c>
      <c r="K84" s="116" t="s">
        <v>566</v>
      </c>
      <c r="L84" s="121" t="s">
        <v>566</v>
      </c>
    </row>
    <row r="85" spans="1:12" x14ac:dyDescent="0.3">
      <c r="A85" s="120" t="s">
        <v>621</v>
      </c>
      <c r="B85" s="116">
        <v>81</v>
      </c>
      <c r="C85" s="116" t="s">
        <v>635</v>
      </c>
      <c r="D85" s="116" t="s">
        <v>602</v>
      </c>
      <c r="E85" s="116" t="s">
        <v>590</v>
      </c>
      <c r="F85" s="116" t="s">
        <v>566</v>
      </c>
      <c r="G85" s="116" t="s">
        <v>622</v>
      </c>
      <c r="H85" s="116" t="s">
        <v>623</v>
      </c>
      <c r="I85" s="116" t="s">
        <v>624</v>
      </c>
      <c r="J85" s="116" t="s">
        <v>566</v>
      </c>
      <c r="K85" s="116" t="s">
        <v>566</v>
      </c>
      <c r="L85" s="121" t="s">
        <v>566</v>
      </c>
    </row>
    <row r="86" spans="1:12" x14ac:dyDescent="0.3">
      <c r="A86" s="120" t="s">
        <v>625</v>
      </c>
      <c r="B86" s="116">
        <v>82</v>
      </c>
      <c r="C86" s="116" t="s">
        <v>635</v>
      </c>
      <c r="D86" s="116" t="s">
        <v>602</v>
      </c>
      <c r="E86" s="116" t="s">
        <v>590</v>
      </c>
      <c r="F86" s="116" t="s">
        <v>566</v>
      </c>
      <c r="G86" s="116" t="s">
        <v>626</v>
      </c>
      <c r="H86" s="116" t="s">
        <v>627</v>
      </c>
      <c r="I86" s="116" t="s">
        <v>628</v>
      </c>
      <c r="J86" s="116" t="s">
        <v>566</v>
      </c>
      <c r="K86" s="116" t="s">
        <v>566</v>
      </c>
      <c r="L86" s="121" t="s">
        <v>566</v>
      </c>
    </row>
    <row r="87" spans="1:12" x14ac:dyDescent="0.3">
      <c r="A87" s="120" t="s">
        <v>629</v>
      </c>
      <c r="B87" s="116">
        <v>83</v>
      </c>
      <c r="C87" s="116" t="s">
        <v>635</v>
      </c>
      <c r="D87" s="116" t="s">
        <v>602</v>
      </c>
      <c r="E87" s="116" t="s">
        <v>590</v>
      </c>
      <c r="F87" s="116" t="s">
        <v>566</v>
      </c>
      <c r="G87" s="116" t="s">
        <v>630</v>
      </c>
      <c r="H87" s="116" t="s">
        <v>631</v>
      </c>
      <c r="I87" s="116" t="s">
        <v>632</v>
      </c>
      <c r="J87" s="116" t="s">
        <v>566</v>
      </c>
      <c r="K87" s="116" t="s">
        <v>566</v>
      </c>
      <c r="L87" s="121" t="s">
        <v>566</v>
      </c>
    </row>
    <row r="88" spans="1:12" x14ac:dyDescent="0.3">
      <c r="A88" s="141" t="s">
        <v>633</v>
      </c>
      <c r="B88" s="116">
        <v>84</v>
      </c>
      <c r="C88" s="142" t="s">
        <v>635</v>
      </c>
      <c r="D88" s="142" t="s">
        <v>602</v>
      </c>
      <c r="E88" s="142" t="s">
        <v>590</v>
      </c>
      <c r="F88" s="142" t="s">
        <v>566</v>
      </c>
      <c r="G88" s="142" t="s">
        <v>531</v>
      </c>
      <c r="H88" s="142" t="s">
        <v>531</v>
      </c>
      <c r="I88" s="142" t="s">
        <v>634</v>
      </c>
      <c r="J88" s="142" t="s">
        <v>566</v>
      </c>
      <c r="K88" s="142" t="s">
        <v>566</v>
      </c>
      <c r="L88" s="143" t="s">
        <v>566</v>
      </c>
    </row>
  </sheetData>
  <sheetProtection algorithmName="SHA-512" hashValue="0GdoU1hDTdCoH0afZK6U5w5qXzM8X9PuGBtgOuKw4bcoB7MqYiGRcWzMTUqX9nGG/DXxsVK+XWz85pP7Rp7IQQ==" saltValue="LrcSvTqNlCqMgD3Ffmbo5w==" spinCount="100000" sheet="1" objects="1" scenarios="1" formatCells="0" autoFilter="0"/>
  <mergeCells count="1">
    <mergeCell ref="A1:E1"/>
  </mergeCells>
  <phoneticPr fontId="10" type="noConversion"/>
  <pageMargins left="0.23622047244094488" right="0.23622047244094488" top="0.39370078740157483" bottom="0.3543307086614173" header="0.19685039370078741" footer="0.11811023622047244"/>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g 2 J b U b o U / k i j A A A A 9 Q A A A B I A H A B D b 2 5 m a W c v U G F j a 2 F n Z S 5 4 b W w g o h g A K K A U A A A A A A A A A A A A A A A A A A A A A A A A A A A A h Y 9 B D o I w F E S v Q r q n R d R I y K c s 3 E p i Q j R u m 1 K h E T 6 G F s v d X H g k r y B G U X c u Z 9 5 b z N y v N 0 i H p v Y u q j O 6 x Y T M a E A 8 h b I t N J Y J 6 e 3 R j 0 j K Y S v k S Z T K G 2 U 0 8 W C K h F T W n m P G n H P U z W n b l S w M g h k 7 Z J t c V q o R 5 C P r / 7 K v 0 V i B U h E O + 9 c Y H t J o S V e L c R K w q Y N M 4 5 e H I 3 v S n x L W f W 3 7 T n G F / i 4 H N k V g 7 w v 8 A V B L A w Q U A A I A C A C D Y l t R 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2 J b U S i K R 7 g O A A A A E Q A A A B M A H A B G b 3 J t d W x h c y 9 T Z W N 0 a W 9 u M S 5 t I K I Y A C i g F A A A A A A A A A A A A A A A A A A A A A A A A A A A A C t O T S 7 J z M 9 T C I b Q h t Y A U E s B A i 0 A F A A C A A g A g 2 J b U b o U / k i j A A A A 9 Q A A A B I A A A A A A A A A A A A A A A A A A A A A A E N v b m Z p Z y 9 Q Y W N r Y W d l L n h t b F B L A Q I t A B Q A A g A I A I N i W 1 E P y u m r p A A A A O k A A A A T A A A A A A A A A A A A A A A A A O 8 A A A B b Q 2 9 u d G V u d F 9 U e X B l c 1 0 u e G 1 s U E s B A i 0 A F A A C A A g A g 2 J b U 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B 1 z U u 3 l V b N A j u x H 1 Z w U v B M A A A A A A g A A A A A A A 2 Y A A M A A A A A Q A A A A p H J 5 4 9 L 0 L Z b x g Q p x P z P N w Q A A A A A E g A A A o A A A A B A A A A C P 3 g Y t B B J T H h D m T j 1 1 b e I l U A A A A A 1 e y B s j K y X E o L 2 C s f g b Q o c h + b / T J x t p 0 P 8 Q s A 7 I Q n v 1 Y Q o Q v o G 3 2 W J o g G F w j C M Q W o N k v l c J m N b 3 G S u 4 w r 0 k s J b o 1 F G J Y Y g P B G Z 6 u i Q n S y C P F A A A A C D S i 7 D l y i j P g H p V r M k V d 0 Y h 5 0 X M < / D a t a M a s h u p > 
</file>

<file path=customXml/itemProps1.xml><?xml version="1.0" encoding="utf-8"?>
<ds:datastoreItem xmlns:ds="http://schemas.openxmlformats.org/officeDocument/2006/customXml" ds:itemID="{3140AD77-E089-48CB-82B5-2B5697A721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13</vt:i4>
      </vt:variant>
    </vt:vector>
  </HeadingPairs>
  <TitlesOfParts>
    <vt:vector size="16" baseType="lpstr">
      <vt:lpstr>CP53 (Chartering Arrangements)</vt:lpstr>
      <vt:lpstr>Codes</vt:lpstr>
      <vt:lpstr>Instructions</vt:lpstr>
      <vt:lpstr>FisheryCode</vt:lpstr>
      <vt:lpstr>FlagA2ISO</vt:lpstr>
      <vt:lpstr>FlagCod</vt:lpstr>
      <vt:lpstr>FlagName</vt:lpstr>
      <vt:lpstr>ICCATSerialNo</vt:lpstr>
      <vt:lpstr>Idiom</vt:lpstr>
      <vt:lpstr>IsscfgCod</vt:lpstr>
      <vt:lpstr>IsscfvCod</vt:lpstr>
      <vt:lpstr>LangFieldID</vt:lpstr>
      <vt:lpstr>LangNameID</vt:lpstr>
      <vt:lpstr>LenTypeCod</vt:lpstr>
      <vt:lpstr>NatRegNo</vt:lpstr>
      <vt:lpstr>Status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Cheatle</dc:creator>
  <cp:lastModifiedBy>Felix Mergarejo</cp:lastModifiedBy>
  <cp:lastPrinted>2014-01-21T11:28:28Z</cp:lastPrinted>
  <dcterms:created xsi:type="dcterms:W3CDTF">2011-12-05T10:28:25Z</dcterms:created>
  <dcterms:modified xsi:type="dcterms:W3CDTF">2025-04-04T08:57:10Z</dcterms:modified>
</cp:coreProperties>
</file>