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5_SharedDocs\eForms\WEB\"/>
    </mc:Choice>
  </mc:AlternateContent>
  <xr:revisionPtr revIDLastSave="0" documentId="13_ncr:1_{7C1EB07F-41A2-4910-B54D-1AA812EAE808}" xr6:coauthVersionLast="47" xr6:coauthVersionMax="47" xr10:uidLastSave="{00000000-0000-0000-0000-000000000000}"/>
  <workbookProtection workbookAlgorithmName="SHA-512" workbookHashValue="iT9XiM5yrhBDCHppjJzPftwpHk/JsUT4iLlEVVl+5mA5WJnWJP4RPKkZiu9L/kjYgFIalglAtJy+3bILvKE6Aw==" workbookSaltValue="Ghk6skghUqtszeVbY7rJmw==" workbookSpinCount="100000" lockStructure="1"/>
  <bookViews>
    <workbookView xWindow="28680" yWindow="-120" windowWidth="29040" windowHeight="15720" xr2:uid="{00000000-000D-0000-FFFF-FFFF00000000}"/>
  </bookViews>
  <sheets>
    <sheet name="CP51 (ALD Fishing Gear)" sheetId="1" r:id="rId1"/>
    <sheet name="Codes" sheetId="5" r:id="rId2"/>
    <sheet name="Instructions" sheetId="6" r:id="rId3"/>
    <sheet name="Translation" sheetId="4" state="veryHidden" r:id="rId4"/>
  </sheets>
  <definedNames>
    <definedName name="_xlnm._FilterDatabase" localSheetId="1" hidden="1">Codes!#REF!</definedName>
    <definedName name="_xlnm._FilterDatabase" localSheetId="3" hidden="1">Translation!$A$4:$L$32</definedName>
    <definedName name="Description">Codes!$G$3:$G$5</definedName>
    <definedName name="FailureCode">Codes!$F$42:$F$48</definedName>
    <definedName name="FlagA2ISO">Codes!$D$3:$D$176</definedName>
    <definedName name="FlagCode">Codes!$B$3:$B$176</definedName>
    <definedName name="FlagName">Codes!$A$3:$A$176</definedName>
    <definedName name="fmtLatitude">Codes!$K$4:$K$4</definedName>
    <definedName name="fmtLongitude">Codes!$K$7:$K$7</definedName>
    <definedName name="GearCode">Codes!$F$10:$F$18</definedName>
    <definedName name="GearType">Codes!$I$10:$I$18</definedName>
    <definedName name="Idiom">'CP51 (ALD Fishing Gear)'!$O$2</definedName>
    <definedName name="LangFieldID">Translation!$H$1</definedName>
    <definedName name="LangNameID">Translation!$H$2</definedName>
    <definedName name="MeasuresCode">Codes!$F$31:$F$37</definedName>
    <definedName name="NDirectionDef">Instructions!$G$33</definedName>
    <definedName name="_xlnm.Print_Area" localSheetId="0">'CP51 (ALD Fishing Gear)'!$A$1:$O$48</definedName>
    <definedName name="Status">Codes!$F$3:$F$5</definedName>
    <definedName name="TDirectionDef">Instructions!$G$34</definedName>
    <definedName name="UnitCode">Codes!$F$23:$F$26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1" l="1"/>
  <c r="K24" i="1"/>
  <c r="M24" i="1"/>
  <c r="H42" i="6" l="1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S24" i="1" l="1"/>
  <c r="T24" i="1"/>
  <c r="R24" i="1"/>
  <c r="Q24" i="1"/>
  <c r="P24" i="1"/>
  <c r="O24" i="1"/>
  <c r="N24" i="1"/>
  <c r="J24" i="1"/>
  <c r="I24" i="1"/>
  <c r="H24" i="1"/>
  <c r="G24" i="1"/>
  <c r="F24" i="1"/>
  <c r="B24" i="1"/>
  <c r="A24" i="1" l="1"/>
  <c r="E24" i="1" l="1"/>
  <c r="D24" i="1"/>
  <c r="C24" i="1"/>
  <c r="D11" i="1" l="1"/>
  <c r="I10" i="1" l="1"/>
  <c r="I4" i="1" l="1"/>
  <c r="J9" i="1" s="1"/>
  <c r="H2" i="4"/>
  <c r="H1" i="4"/>
  <c r="G42" i="6" l="1"/>
  <c r="G35" i="6"/>
  <c r="D28" i="6"/>
  <c r="G24" i="6"/>
  <c r="G17" i="6"/>
  <c r="G13" i="6"/>
  <c r="I10" i="6"/>
  <c r="P22" i="1"/>
  <c r="B22" i="1"/>
  <c r="G38" i="6"/>
  <c r="G31" i="6"/>
  <c r="D13" i="6"/>
  <c r="H10" i="6"/>
  <c r="O22" i="1"/>
  <c r="A22" i="1"/>
  <c r="A7" i="1"/>
  <c r="G19" i="6"/>
  <c r="E38" i="6"/>
  <c r="G20" i="6"/>
  <c r="C13" i="6"/>
  <c r="G10" i="6"/>
  <c r="N22" i="1"/>
  <c r="P21" i="1"/>
  <c r="J6" i="1"/>
  <c r="A1" i="1"/>
  <c r="A6" i="1"/>
  <c r="R20" i="1"/>
  <c r="G41" i="6"/>
  <c r="G34" i="6"/>
  <c r="G27" i="6"/>
  <c r="G23" i="6"/>
  <c r="G16" i="6"/>
  <c r="B13" i="6"/>
  <c r="F10" i="6"/>
  <c r="A2" i="6"/>
  <c r="K22" i="1"/>
  <c r="N21" i="1"/>
  <c r="F6" i="1"/>
  <c r="F21" i="1"/>
  <c r="G30" i="6"/>
  <c r="D23" i="6"/>
  <c r="E10" i="6"/>
  <c r="J22" i="1"/>
  <c r="M23" i="1"/>
  <c r="G37" i="6"/>
  <c r="G40" i="6"/>
  <c r="G33" i="6"/>
  <c r="G26" i="6"/>
  <c r="G15" i="6"/>
  <c r="G12" i="6"/>
  <c r="C10" i="6"/>
  <c r="L23" i="1"/>
  <c r="H22" i="1"/>
  <c r="F20" i="1"/>
  <c r="F5" i="1"/>
  <c r="A5" i="1"/>
  <c r="B2" i="1"/>
  <c r="D10" i="6"/>
  <c r="D40" i="6"/>
  <c r="F33" i="6"/>
  <c r="G29" i="6"/>
  <c r="B10" i="6"/>
  <c r="K23" i="1"/>
  <c r="G22" i="1"/>
  <c r="A20" i="1"/>
  <c r="N1" i="1"/>
  <c r="G36" i="6"/>
  <c r="G22" i="6"/>
  <c r="G18" i="6"/>
  <c r="A10" i="6"/>
  <c r="T22" i="1"/>
  <c r="F22" i="1"/>
  <c r="A19" i="1"/>
  <c r="J4" i="1"/>
  <c r="A4" i="1"/>
  <c r="J10" i="1"/>
  <c r="C23" i="6"/>
  <c r="E36" i="6"/>
  <c r="G25" i="6"/>
  <c r="D18" i="6"/>
  <c r="G14" i="6"/>
  <c r="G11" i="6"/>
  <c r="A9" i="6"/>
  <c r="S22" i="1"/>
  <c r="E22" i="1"/>
  <c r="A11" i="1"/>
  <c r="R22" i="1"/>
  <c r="J5" i="1"/>
  <c r="G39" i="6"/>
  <c r="G32" i="6"/>
  <c r="G28" i="6"/>
  <c r="B11" i="6"/>
  <c r="D22" i="1"/>
  <c r="E28" i="6"/>
  <c r="G21" i="6"/>
  <c r="A11" i="6"/>
  <c r="Q22" i="1"/>
  <c r="C22" i="1"/>
  <c r="A10" i="1"/>
  <c r="O1" i="1"/>
  <c r="J8" i="1"/>
  <c r="I22" i="1"/>
  <c r="I20" i="6"/>
  <c r="B5" i="6"/>
  <c r="I41" i="6"/>
  <c r="I34" i="6"/>
  <c r="I27" i="6"/>
  <c r="I23" i="6"/>
  <c r="I16" i="6"/>
  <c r="B4" i="6"/>
  <c r="B1" i="1"/>
  <c r="I30" i="6"/>
  <c r="B3" i="6"/>
  <c r="I37" i="6"/>
  <c r="I19" i="6"/>
  <c r="I29" i="6"/>
  <c r="I40" i="6"/>
  <c r="I33" i="6"/>
  <c r="I26" i="6"/>
  <c r="I15" i="6"/>
  <c r="I12" i="6"/>
  <c r="A1" i="6"/>
  <c r="I36" i="6"/>
  <c r="I22" i="6"/>
  <c r="I18" i="6"/>
  <c r="I25" i="6"/>
  <c r="I14" i="6"/>
  <c r="I11" i="6"/>
  <c r="I39" i="6"/>
  <c r="I32" i="6"/>
  <c r="I28" i="6"/>
  <c r="I21" i="6"/>
  <c r="I42" i="6"/>
  <c r="I35" i="6"/>
  <c r="I24" i="6"/>
  <c r="I17" i="6"/>
  <c r="I13" i="6"/>
  <c r="B7" i="6"/>
  <c r="I38" i="6"/>
  <c r="I31" i="6"/>
  <c r="B6" i="6"/>
</calcChain>
</file>

<file path=xl/sharedStrings.xml><?xml version="1.0" encoding="utf-8"?>
<sst xmlns="http://schemas.openxmlformats.org/spreadsheetml/2006/main" count="1571" uniqueCount="988">
  <si>
    <t>Version</t>
  </si>
  <si>
    <t>Header</t>
  </si>
  <si>
    <t>Secretariat use only</t>
  </si>
  <si>
    <t>Belize</t>
  </si>
  <si>
    <t>Curaçao</t>
  </si>
  <si>
    <t>Japan</t>
  </si>
  <si>
    <t>Marshall Islands</t>
  </si>
  <si>
    <t>Singapore</t>
  </si>
  <si>
    <t>Vanuatu</t>
  </si>
  <si>
    <t>Panama</t>
  </si>
  <si>
    <t>Section</t>
  </si>
  <si>
    <t>FieldID</t>
  </si>
  <si>
    <t>Title</t>
  </si>
  <si>
    <t>T01</t>
  </si>
  <si>
    <t>Reporting Flag</t>
  </si>
  <si>
    <t>Pavillon déclarant</t>
  </si>
  <si>
    <t>Pabellón que informa</t>
  </si>
  <si>
    <t>Agence déclarante</t>
  </si>
  <si>
    <t>Agencia que informa</t>
  </si>
  <si>
    <t>Address</t>
  </si>
  <si>
    <t>Adresse</t>
  </si>
  <si>
    <t>Dirección</t>
  </si>
  <si>
    <t>Phone</t>
  </si>
  <si>
    <t>Téléphone</t>
  </si>
  <si>
    <t>Teléfono</t>
  </si>
  <si>
    <t>Email</t>
  </si>
  <si>
    <t>Notes</t>
  </si>
  <si>
    <t>Remarques</t>
  </si>
  <si>
    <t>Notas</t>
  </si>
  <si>
    <t>Detail</t>
  </si>
  <si>
    <t>FlagName</t>
  </si>
  <si>
    <t>FlagA2ISO</t>
  </si>
  <si>
    <t>Status</t>
  </si>
  <si>
    <t>Description</t>
  </si>
  <si>
    <t>ALB</t>
  </si>
  <si>
    <t>Albania</t>
  </si>
  <si>
    <t>AL</t>
  </si>
  <si>
    <t>CP</t>
  </si>
  <si>
    <t>Contracting Party</t>
  </si>
  <si>
    <t>DZA</t>
  </si>
  <si>
    <t>Algerie</t>
  </si>
  <si>
    <t>DZ</t>
  </si>
  <si>
    <t>NCC</t>
  </si>
  <si>
    <t>Non-Contracting Cooperating Party</t>
  </si>
  <si>
    <t>AGO</t>
  </si>
  <si>
    <t>Angola</t>
  </si>
  <si>
    <t>AO</t>
  </si>
  <si>
    <t>NCO</t>
  </si>
  <si>
    <t>Non-Contracting Other</t>
  </si>
  <si>
    <t>BRB</t>
  </si>
  <si>
    <t>Barbados</t>
  </si>
  <si>
    <t>BB</t>
  </si>
  <si>
    <t>BLZ</t>
  </si>
  <si>
    <t>BZ</t>
  </si>
  <si>
    <t>BRA</t>
  </si>
  <si>
    <t>Brazil</t>
  </si>
  <si>
    <t>BR</t>
  </si>
  <si>
    <t>CAN</t>
  </si>
  <si>
    <t>Canada</t>
  </si>
  <si>
    <t>CA</t>
  </si>
  <si>
    <t>CPV</t>
  </si>
  <si>
    <t>Cape Verde</t>
  </si>
  <si>
    <t>CV</t>
  </si>
  <si>
    <t>CHN</t>
  </si>
  <si>
    <t>China PR</t>
  </si>
  <si>
    <t>CN</t>
  </si>
  <si>
    <t>CIV</t>
  </si>
  <si>
    <t>CI</t>
  </si>
  <si>
    <t>HR</t>
  </si>
  <si>
    <t>EGY</t>
  </si>
  <si>
    <t>Egypt</t>
  </si>
  <si>
    <t>EG</t>
  </si>
  <si>
    <t>BE</t>
  </si>
  <si>
    <t>BG</t>
  </si>
  <si>
    <t>CY</t>
  </si>
  <si>
    <t>DK</t>
  </si>
  <si>
    <t>ES</t>
  </si>
  <si>
    <t>EE</t>
  </si>
  <si>
    <t>FR</t>
  </si>
  <si>
    <t>DE</t>
  </si>
  <si>
    <t>GR</t>
  </si>
  <si>
    <t>HU</t>
  </si>
  <si>
    <t>IE</t>
  </si>
  <si>
    <t>IT</t>
  </si>
  <si>
    <t>LV</t>
  </si>
  <si>
    <t>LT</t>
  </si>
  <si>
    <t>MT</t>
  </si>
  <si>
    <t>NL</t>
  </si>
  <si>
    <t>PL</t>
  </si>
  <si>
    <t>PT</t>
  </si>
  <si>
    <t>SI</t>
  </si>
  <si>
    <t>SE</t>
  </si>
  <si>
    <t>GB</t>
  </si>
  <si>
    <t>PM</t>
  </si>
  <si>
    <t>GAB</t>
  </si>
  <si>
    <t>Gabon</t>
  </si>
  <si>
    <t>GA</t>
  </si>
  <si>
    <t>GHA</t>
  </si>
  <si>
    <t>Ghana</t>
  </si>
  <si>
    <t>GH</t>
  </si>
  <si>
    <t>GTM</t>
  </si>
  <si>
    <t>Guatemala</t>
  </si>
  <si>
    <t>GT</t>
  </si>
  <si>
    <t>GNQ</t>
  </si>
  <si>
    <t>Guinea Ecuatorial</t>
  </si>
  <si>
    <t>GQ</t>
  </si>
  <si>
    <t>GIN</t>
  </si>
  <si>
    <t>GN</t>
  </si>
  <si>
    <t>HND</t>
  </si>
  <si>
    <t>Honduras</t>
  </si>
  <si>
    <t>HN</t>
  </si>
  <si>
    <t>ISL</t>
  </si>
  <si>
    <t>Iceland</t>
  </si>
  <si>
    <t>IS</t>
  </si>
  <si>
    <t>JPN</t>
  </si>
  <si>
    <t>JP</t>
  </si>
  <si>
    <t>KOR</t>
  </si>
  <si>
    <t>KR</t>
  </si>
  <si>
    <t>LBY</t>
  </si>
  <si>
    <t>Libya</t>
  </si>
  <si>
    <t>LY</t>
  </si>
  <si>
    <t>MAR</t>
  </si>
  <si>
    <t>Maroc</t>
  </si>
  <si>
    <t>MA</t>
  </si>
  <si>
    <t>MEX</t>
  </si>
  <si>
    <t>Mexico</t>
  </si>
  <si>
    <t>MX</t>
  </si>
  <si>
    <t>NAM</t>
  </si>
  <si>
    <t>Namibia</t>
  </si>
  <si>
    <t>NA</t>
  </si>
  <si>
    <t>NIC</t>
  </si>
  <si>
    <t>Nicaragua</t>
  </si>
  <si>
    <t>NI</t>
  </si>
  <si>
    <t>NOR</t>
  </si>
  <si>
    <t>Norway</t>
  </si>
  <si>
    <t>NO</t>
  </si>
  <si>
    <t>PAN</t>
  </si>
  <si>
    <t>PA</t>
  </si>
  <si>
    <t>PHL</t>
  </si>
  <si>
    <t>Philippines</t>
  </si>
  <si>
    <t>PH</t>
  </si>
  <si>
    <t>RUS</t>
  </si>
  <si>
    <t>Russian Federation</t>
  </si>
  <si>
    <t>RU</t>
  </si>
  <si>
    <t>STP</t>
  </si>
  <si>
    <t>ST</t>
  </si>
  <si>
    <t>SEN</t>
  </si>
  <si>
    <t>Senegal</t>
  </si>
  <si>
    <t>SN</t>
  </si>
  <si>
    <t>SLE</t>
  </si>
  <si>
    <t>Sierra Leone</t>
  </si>
  <si>
    <t>SL</t>
  </si>
  <si>
    <t>ZAF</t>
  </si>
  <si>
    <t>South Africa</t>
  </si>
  <si>
    <t>ZA</t>
  </si>
  <si>
    <t>VCT</t>
  </si>
  <si>
    <t>VC</t>
  </si>
  <si>
    <t>SYR</t>
  </si>
  <si>
    <t>SY</t>
  </si>
  <si>
    <t>TTO</t>
  </si>
  <si>
    <t>Trinidad and Tobago</t>
  </si>
  <si>
    <t>TT</t>
  </si>
  <si>
    <t>TUN</t>
  </si>
  <si>
    <t>Tunisie</t>
  </si>
  <si>
    <t>TN</t>
  </si>
  <si>
    <t>TUR</t>
  </si>
  <si>
    <t>TR</t>
  </si>
  <si>
    <t>USA</t>
  </si>
  <si>
    <t>US</t>
  </si>
  <si>
    <t>BM</t>
  </si>
  <si>
    <t>VG</t>
  </si>
  <si>
    <t>SH</t>
  </si>
  <si>
    <t>TC</t>
  </si>
  <si>
    <t>URY</t>
  </si>
  <si>
    <t>Uruguay</t>
  </si>
  <si>
    <t>UY</t>
  </si>
  <si>
    <t>VUT</t>
  </si>
  <si>
    <t>VU</t>
  </si>
  <si>
    <t>VEN</t>
  </si>
  <si>
    <t>Venezuela</t>
  </si>
  <si>
    <t>VE</t>
  </si>
  <si>
    <t>TAI</t>
  </si>
  <si>
    <t>Chinese Taipei</t>
  </si>
  <si>
    <t>TW</t>
  </si>
  <si>
    <t>COL</t>
  </si>
  <si>
    <t>Colombia</t>
  </si>
  <si>
    <t>CO</t>
  </si>
  <si>
    <t>GUY</t>
  </si>
  <si>
    <t>Guyana</t>
  </si>
  <si>
    <t>GY</t>
  </si>
  <si>
    <t>SUR</t>
  </si>
  <si>
    <t>Suriname</t>
  </si>
  <si>
    <t>SR</t>
  </si>
  <si>
    <t>AIA</t>
  </si>
  <si>
    <t>Anguilla</t>
  </si>
  <si>
    <t>AI</t>
  </si>
  <si>
    <t>ATG</t>
  </si>
  <si>
    <t>Antigua and Barbuda</t>
  </si>
  <si>
    <t>AG</t>
  </si>
  <si>
    <t>ARG</t>
  </si>
  <si>
    <t>Argentina</t>
  </si>
  <si>
    <t>AR</t>
  </si>
  <si>
    <t>ABW</t>
  </si>
  <si>
    <t>Aruba</t>
  </si>
  <si>
    <t>AW</t>
  </si>
  <si>
    <t>AUS</t>
  </si>
  <si>
    <t>Australia</t>
  </si>
  <si>
    <t>AU</t>
  </si>
  <si>
    <t>BHS</t>
  </si>
  <si>
    <t>Bahamas</t>
  </si>
  <si>
    <t>BS</t>
  </si>
  <si>
    <t>BLR</t>
  </si>
  <si>
    <t>Belarus</t>
  </si>
  <si>
    <t>BY</t>
  </si>
  <si>
    <t>BEN</t>
  </si>
  <si>
    <t>Benin</t>
  </si>
  <si>
    <t>BJ</t>
  </si>
  <si>
    <t>BOL</t>
  </si>
  <si>
    <t>Bolivia</t>
  </si>
  <si>
    <t>BO</t>
  </si>
  <si>
    <t>KHM</t>
  </si>
  <si>
    <t>Cambodia</t>
  </si>
  <si>
    <t>KH</t>
  </si>
  <si>
    <t>CMR</t>
  </si>
  <si>
    <t>Cameroon</t>
  </si>
  <si>
    <t>CM</t>
  </si>
  <si>
    <t>CYM</t>
  </si>
  <si>
    <t>Cayman Islands</t>
  </si>
  <si>
    <t>KY</t>
  </si>
  <si>
    <t>CHL</t>
  </si>
  <si>
    <t>Chile</t>
  </si>
  <si>
    <t>CL</t>
  </si>
  <si>
    <t>COG</t>
  </si>
  <si>
    <t>Congo</t>
  </si>
  <si>
    <t>CG</t>
  </si>
  <si>
    <t>COK</t>
  </si>
  <si>
    <t>Cook Islands</t>
  </si>
  <si>
    <t>CK</t>
  </si>
  <si>
    <t>CRI</t>
  </si>
  <si>
    <t>Costa Rica</t>
  </si>
  <si>
    <t>CR</t>
  </si>
  <si>
    <t>CUB</t>
  </si>
  <si>
    <t>Cuba</t>
  </si>
  <si>
    <t>CU</t>
  </si>
  <si>
    <t>DMA</t>
  </si>
  <si>
    <t>Dominica</t>
  </si>
  <si>
    <t>DM</t>
  </si>
  <si>
    <t>DOM</t>
  </si>
  <si>
    <t>Dominican Republic</t>
  </si>
  <si>
    <t>DO</t>
  </si>
  <si>
    <t>ECU</t>
  </si>
  <si>
    <t>Ecuador</t>
  </si>
  <si>
    <t>EC</t>
  </si>
  <si>
    <t>SLV</t>
  </si>
  <si>
    <t>El Salvador</t>
  </si>
  <si>
    <t>SV</t>
  </si>
  <si>
    <t>FRO</t>
  </si>
  <si>
    <t>Faroe Islands</t>
  </si>
  <si>
    <t>FO</t>
  </si>
  <si>
    <t>FJI</t>
  </si>
  <si>
    <t>Fiji Islands</t>
  </si>
  <si>
    <t>FJ</t>
  </si>
  <si>
    <t>GMB</t>
  </si>
  <si>
    <t>Gambia</t>
  </si>
  <si>
    <t>GM</t>
  </si>
  <si>
    <t>GEO</t>
  </si>
  <si>
    <t>Georgia</t>
  </si>
  <si>
    <t>GE</t>
  </si>
  <si>
    <t>GRD</t>
  </si>
  <si>
    <t>Grenada</t>
  </si>
  <si>
    <t>GD</t>
  </si>
  <si>
    <t>GUM</t>
  </si>
  <si>
    <t>Guam</t>
  </si>
  <si>
    <t>GU</t>
  </si>
  <si>
    <t>GNB</t>
  </si>
  <si>
    <t>Guinea Bissau</t>
  </si>
  <si>
    <t>GW</t>
  </si>
  <si>
    <t>HTI</t>
  </si>
  <si>
    <t>Haiti</t>
  </si>
  <si>
    <t>HT</t>
  </si>
  <si>
    <t>IND</t>
  </si>
  <si>
    <t>India</t>
  </si>
  <si>
    <t>IN</t>
  </si>
  <si>
    <t>IDN</t>
  </si>
  <si>
    <t>Indonesia</t>
  </si>
  <si>
    <t>ID</t>
  </si>
  <si>
    <t>IRN</t>
  </si>
  <si>
    <t>Iran</t>
  </si>
  <si>
    <t>IR</t>
  </si>
  <si>
    <t>ISR</t>
  </si>
  <si>
    <t>Israel</t>
  </si>
  <si>
    <t>IL</t>
  </si>
  <si>
    <t>JAM</t>
  </si>
  <si>
    <t>Jamaica</t>
  </si>
  <si>
    <t>JM</t>
  </si>
  <si>
    <t>KEN</t>
  </si>
  <si>
    <t>Kenya</t>
  </si>
  <si>
    <t>KE</t>
  </si>
  <si>
    <t>KIR</t>
  </si>
  <si>
    <t>Kiribati</t>
  </si>
  <si>
    <t>KI</t>
  </si>
  <si>
    <t>KWT</t>
  </si>
  <si>
    <t>Kuwait</t>
  </si>
  <si>
    <t>KW</t>
  </si>
  <si>
    <t>LBN</t>
  </si>
  <si>
    <t>Lebanon</t>
  </si>
  <si>
    <t>LB</t>
  </si>
  <si>
    <t>LBR</t>
  </si>
  <si>
    <t>Liberia</t>
  </si>
  <si>
    <t>LR</t>
  </si>
  <si>
    <t>MDG</t>
  </si>
  <si>
    <t>Madagascar</t>
  </si>
  <si>
    <t>MG</t>
  </si>
  <si>
    <t>MYS</t>
  </si>
  <si>
    <t>Malaysia</t>
  </si>
  <si>
    <t>MY</t>
  </si>
  <si>
    <t>MDV</t>
  </si>
  <si>
    <t>Maldives</t>
  </si>
  <si>
    <t>MV</t>
  </si>
  <si>
    <t>MHL</t>
  </si>
  <si>
    <t>MH</t>
  </si>
  <si>
    <t>MRT</t>
  </si>
  <si>
    <t>Mauritania</t>
  </si>
  <si>
    <t>MR</t>
  </si>
  <si>
    <t>MUS</t>
  </si>
  <si>
    <t>Mauritius</t>
  </si>
  <si>
    <t>MU</t>
  </si>
  <si>
    <t>FSM</t>
  </si>
  <si>
    <t>Micronesia</t>
  </si>
  <si>
    <t>FM</t>
  </si>
  <si>
    <t>MOZ</t>
  </si>
  <si>
    <t>Mozambique</t>
  </si>
  <si>
    <t>MZ</t>
  </si>
  <si>
    <t>NZL</t>
  </si>
  <si>
    <t>New Zealand</t>
  </si>
  <si>
    <t>NZ</t>
  </si>
  <si>
    <t>NGA</t>
  </si>
  <si>
    <t>Nigeria</t>
  </si>
  <si>
    <t>NG</t>
  </si>
  <si>
    <t>OMN</t>
  </si>
  <si>
    <t>Oman</t>
  </si>
  <si>
    <t>OM</t>
  </si>
  <si>
    <t>PLW</t>
  </si>
  <si>
    <t>Palau</t>
  </si>
  <si>
    <t>PW</t>
  </si>
  <si>
    <t>PNG</t>
  </si>
  <si>
    <t>Papua New Guinea</t>
  </si>
  <si>
    <t>PG</t>
  </si>
  <si>
    <t>PER</t>
  </si>
  <si>
    <t>PE</t>
  </si>
  <si>
    <t>PYF</t>
  </si>
  <si>
    <t>Polynesie Française</t>
  </si>
  <si>
    <t>PF</t>
  </si>
  <si>
    <t>PRI</t>
  </si>
  <si>
    <t>Puerto Rico</t>
  </si>
  <si>
    <t>PR</t>
  </si>
  <si>
    <t>RO</t>
  </si>
  <si>
    <t>KNA</t>
  </si>
  <si>
    <t>Saint Kitts and Nevis</t>
  </si>
  <si>
    <t>KN</t>
  </si>
  <si>
    <t>SYC</t>
  </si>
  <si>
    <t>Seychelles</t>
  </si>
  <si>
    <t>SC</t>
  </si>
  <si>
    <t>SGP</t>
  </si>
  <si>
    <t>SG</t>
  </si>
  <si>
    <t>SLB</t>
  </si>
  <si>
    <t>Solomon Islands</t>
  </si>
  <si>
    <t>SB</t>
  </si>
  <si>
    <t>LKA</t>
  </si>
  <si>
    <t>Sri Lanka</t>
  </si>
  <si>
    <t>LK</t>
  </si>
  <si>
    <t>LCA</t>
  </si>
  <si>
    <t>LC</t>
  </si>
  <si>
    <t>CHE</t>
  </si>
  <si>
    <t>Switzerland</t>
  </si>
  <si>
    <t>CH</t>
  </si>
  <si>
    <t>TZA</t>
  </si>
  <si>
    <t>Tanzania</t>
  </si>
  <si>
    <t>TZ</t>
  </si>
  <si>
    <t>THA</t>
  </si>
  <si>
    <t>Thailand</t>
  </si>
  <si>
    <t>TH</t>
  </si>
  <si>
    <t>TGO</t>
  </si>
  <si>
    <t>Togo</t>
  </si>
  <si>
    <t>TG</t>
  </si>
  <si>
    <t>TON</t>
  </si>
  <si>
    <t>Tonga</t>
  </si>
  <si>
    <t>TO</t>
  </si>
  <si>
    <t>UKR</t>
  </si>
  <si>
    <t>Ukraine</t>
  </si>
  <si>
    <t>UA</t>
  </si>
  <si>
    <t>ARE</t>
  </si>
  <si>
    <t>United Arab Emirates</t>
  </si>
  <si>
    <t>AE</t>
  </si>
  <si>
    <t>VIR</t>
  </si>
  <si>
    <t>US Virgin Islands</t>
  </si>
  <si>
    <t>VI</t>
  </si>
  <si>
    <t>VNM</t>
  </si>
  <si>
    <t>Vietnam</t>
  </si>
  <si>
    <t>VN</t>
  </si>
  <si>
    <t>Syria</t>
  </si>
  <si>
    <t>CUW</t>
  </si>
  <si>
    <t>CW</t>
  </si>
  <si>
    <t>FLK</t>
  </si>
  <si>
    <t>Falklands</t>
  </si>
  <si>
    <t>FK</t>
  </si>
  <si>
    <t>MNE</t>
  </si>
  <si>
    <t>Montenegro</t>
  </si>
  <si>
    <t>ME</t>
  </si>
  <si>
    <t>PSE</t>
  </si>
  <si>
    <t>Palestine</t>
  </si>
  <si>
    <t>PS</t>
  </si>
  <si>
    <t>Perú</t>
  </si>
  <si>
    <t>WSM</t>
  </si>
  <si>
    <t>Samoa</t>
  </si>
  <si>
    <t>WS</t>
  </si>
  <si>
    <t>SRB</t>
  </si>
  <si>
    <t>Serbia</t>
  </si>
  <si>
    <t>RS</t>
  </si>
  <si>
    <t>TUV</t>
  </si>
  <si>
    <t>Tuvalu</t>
  </si>
  <si>
    <t>TV</t>
  </si>
  <si>
    <t>BND</t>
  </si>
  <si>
    <t>Brunei</t>
  </si>
  <si>
    <t>BN</t>
  </si>
  <si>
    <t>Côte d'Ivoire</t>
  </si>
  <si>
    <t>AND</t>
  </si>
  <si>
    <t>Andorra</t>
  </si>
  <si>
    <t>AD</t>
  </si>
  <si>
    <t>NCL</t>
  </si>
  <si>
    <t>New Caledonia</t>
  </si>
  <si>
    <t>NC</t>
  </si>
  <si>
    <t>SAU</t>
  </si>
  <si>
    <t>Saudi Arabia</t>
  </si>
  <si>
    <t>SA</t>
  </si>
  <si>
    <t>AT</t>
  </si>
  <si>
    <t>Burkina Faso</t>
  </si>
  <si>
    <t>BFA</t>
  </si>
  <si>
    <t>BF</t>
  </si>
  <si>
    <t>Djibouti</t>
  </si>
  <si>
    <t>DJI</t>
  </si>
  <si>
    <t>DJ</t>
  </si>
  <si>
    <t>FlagCod</t>
  </si>
  <si>
    <t>CZ</t>
  </si>
  <si>
    <t>FI</t>
  </si>
  <si>
    <t>LU</t>
  </si>
  <si>
    <t>SK</t>
  </si>
  <si>
    <t>Bosnia and Herzegovina</t>
  </si>
  <si>
    <t>BIH</t>
  </si>
  <si>
    <t>BA</t>
  </si>
  <si>
    <t>Isle of Man</t>
  </si>
  <si>
    <t>IMN</t>
  </si>
  <si>
    <t>IM</t>
  </si>
  <si>
    <t>Mongolia</t>
  </si>
  <si>
    <t>MNG</t>
  </si>
  <si>
    <t>MN</t>
  </si>
  <si>
    <t>MKD</t>
  </si>
  <si>
    <t>MK</t>
  </si>
  <si>
    <t>Qatar</t>
  </si>
  <si>
    <t>QAT</t>
  </si>
  <si>
    <t>QA</t>
  </si>
  <si>
    <t>Translation for Forms</t>
  </si>
  <si>
    <t>LangFieldID</t>
  </si>
  <si>
    <t>LangNameID</t>
  </si>
  <si>
    <t>Order</t>
  </si>
  <si>
    <t>Subform</t>
  </si>
  <si>
    <t>Item</t>
  </si>
  <si>
    <t>FieldType</t>
  </si>
  <si>
    <t>FldNameEN</t>
  </si>
  <si>
    <t>FldNameFR</t>
  </si>
  <si>
    <t>FldNameES</t>
  </si>
  <si>
    <t>fldDescEN</t>
  </si>
  <si>
    <t>fldDescFR</t>
  </si>
  <si>
    <t>fldDescES</t>
  </si>
  <si>
    <t>T00</t>
  </si>
  <si>
    <t>title</t>
  </si>
  <si>
    <t>n/a</t>
  </si>
  <si>
    <t>subtitle</t>
  </si>
  <si>
    <t>Titre</t>
  </si>
  <si>
    <t>Título</t>
  </si>
  <si>
    <t>Form Title</t>
  </si>
  <si>
    <t>Titre du formulaire</t>
  </si>
  <si>
    <t>Título del formulario</t>
  </si>
  <si>
    <t>ICCAT</t>
  </si>
  <si>
    <t>CICTA</t>
  </si>
  <si>
    <t>CICAA</t>
  </si>
  <si>
    <t>INTERNATIONAL COMMISSION FOR THE CONSERVATION OF ATLANTIC TUNAS</t>
  </si>
  <si>
    <t>COMMISSION INTERNATIONALE POUR LA CONSERVATION DES THONIDÉS DE L'ATLANTIQUE</t>
  </si>
  <si>
    <t>COMISIÓN INTERNACIONAL PARA LA CONSERVACIÓN DEL ATÚN ATLÁNTICO</t>
  </si>
  <si>
    <t>T02</t>
  </si>
  <si>
    <t>tVersion</t>
  </si>
  <si>
    <t>field</t>
  </si>
  <si>
    <t>(fixed)</t>
  </si>
  <si>
    <t>Versión</t>
  </si>
  <si>
    <t>Utilisez toujours la dernière version de ce formulaire</t>
  </si>
  <si>
    <t>Utilice siempre la última versión de este formulario</t>
  </si>
  <si>
    <t>tLang</t>
  </si>
  <si>
    <t>ICCAT code</t>
  </si>
  <si>
    <t>Language</t>
  </si>
  <si>
    <t>Langue</t>
  </si>
  <si>
    <t>Idioma</t>
  </si>
  <si>
    <t>Choose the language (EN, FR, ES) for form translation</t>
  </si>
  <si>
    <t>Choisissez la langue (EN, FR, ES) pour la traduction du formulaire</t>
  </si>
  <si>
    <t>Elija el idioma (EN, FR, ES) para la traducción del formulario</t>
  </si>
  <si>
    <t>Filters</t>
  </si>
  <si>
    <t>(reserved)</t>
  </si>
  <si>
    <t>Table. Flags</t>
  </si>
  <si>
    <t>H00</t>
  </si>
  <si>
    <t>Tête</t>
  </si>
  <si>
    <t>Cabecera</t>
  </si>
  <si>
    <t>H10</t>
  </si>
  <si>
    <t>section</t>
  </si>
  <si>
    <t>Flag Correspondent</t>
  </si>
  <si>
    <t>Correspondant du Pavillon</t>
  </si>
  <si>
    <t>Corresponsal de Bandera</t>
  </si>
  <si>
    <t>H20</t>
  </si>
  <si>
    <t>Réservé au Secrétariat</t>
  </si>
  <si>
    <t>Reservado a la Secretaría</t>
  </si>
  <si>
    <t>H30</t>
  </si>
  <si>
    <t>Data set characteristics</t>
  </si>
  <si>
    <t>Caractéristiques jeu de données</t>
  </si>
  <si>
    <t>Características conjunto de datos</t>
  </si>
  <si>
    <t>subsection</t>
  </si>
  <si>
    <t>hPerson</t>
  </si>
  <si>
    <t>string</t>
  </si>
  <si>
    <t>Name</t>
  </si>
  <si>
    <t>Nom</t>
  </si>
  <si>
    <t>Nombre</t>
  </si>
  <si>
    <t>Enter the name of the person to be contacted in the event of enquiries</t>
  </si>
  <si>
    <t>Introduzca el nombre de la persona a contactar en caso de consultas</t>
  </si>
  <si>
    <t>hAgency</t>
  </si>
  <si>
    <t>Reporting Agency</t>
  </si>
  <si>
    <t>Enter the name of your ministry, institute or agency</t>
  </si>
  <si>
    <t>Saisissez le nom de votre ministère, institut ou agence</t>
  </si>
  <si>
    <t>Introduzca el nombre de su ministerio, institución o agencia</t>
  </si>
  <si>
    <t>hAddress</t>
  </si>
  <si>
    <t>Enter the street address of your ministry, institute or agency</t>
  </si>
  <si>
    <t>Saisissez l'adresse de votre ministère, institut ou agence</t>
  </si>
  <si>
    <t>Introduzca la dirección de su ministerio, institución o agencia</t>
  </si>
  <si>
    <t>hEmail</t>
  </si>
  <si>
    <t>Enter the email address of the person to be contacted</t>
  </si>
  <si>
    <t>Saisissez l'adresse e-mail de la personne à contacter</t>
  </si>
  <si>
    <t>Introduzca la dirección de correo electrónico de la persona a contactar</t>
  </si>
  <si>
    <t>hPhone</t>
  </si>
  <si>
    <t>Enter the telephone number of the person to be contacted</t>
  </si>
  <si>
    <t>Saisissez le numéro de téléphone de la personne à contacter</t>
  </si>
  <si>
    <t>Introduzca el número de teléfono de la persona a contactar</t>
  </si>
  <si>
    <t>hFlagRep</t>
  </si>
  <si>
    <t>Enter the flag of the CPC (Party, Entity or Fishing Entity) submitting the information</t>
  </si>
  <si>
    <t>Saisissez le pavillon de la CPC (Partie, Entité ou Entité de pêche) soumettant l'information</t>
  </si>
  <si>
    <t>Introduzca el pabellón de la CPC (Parte, Entidad o Entidad pesquera) que presenta la información</t>
  </si>
  <si>
    <t>hNotes</t>
  </si>
  <si>
    <t>For any relevant notes (justification on lack of IMO numbers, etc.)</t>
  </si>
  <si>
    <t>Espace reservé aux notes pertinentes (justification de l'absence de numéros OMI, etc.)</t>
  </si>
  <si>
    <t>Para cualquier nota relevante (justificación sobre omisión de números OMI, etc.)</t>
  </si>
  <si>
    <t>hDateRep</t>
  </si>
  <si>
    <t>date</t>
  </si>
  <si>
    <t>Date reported</t>
  </si>
  <si>
    <t>Date de déclaration</t>
  </si>
  <si>
    <t>Fecha de notificación</t>
  </si>
  <si>
    <t>Reservado a la Sacretaría</t>
  </si>
  <si>
    <t>hRef</t>
  </si>
  <si>
    <t>Reference Nº</t>
  </si>
  <si>
    <t>Nº Reference</t>
  </si>
  <si>
    <t>Nº Referencia</t>
  </si>
  <si>
    <t>hFName</t>
  </si>
  <si>
    <t>File name (proposed)</t>
  </si>
  <si>
    <t>Nom fichier (proposé)</t>
  </si>
  <si>
    <t>Nombre archivo (propuesto)</t>
  </si>
  <si>
    <t>Send the form to ICCAT with the proposed file name (if required, adding a suffix at the end of the filename: [suffix])</t>
  </si>
  <si>
    <t>Envoyez le formulaire à l'ICCAT avec le nom du fichier proposé (si nécessaire, ajoutez un suffixe à la fin du nom de fichier: [suffix])</t>
  </si>
  <si>
    <t>Enviar el formulario a ICCAT con el nombre del archivo propuesto (si es necesario, agregue un sufijo al final del nombre del archivo: [suffix])</t>
  </si>
  <si>
    <t>D00</t>
  </si>
  <si>
    <t>Détail</t>
  </si>
  <si>
    <t>Detalle</t>
  </si>
  <si>
    <t>id</t>
  </si>
  <si>
    <t>D10</t>
  </si>
  <si>
    <t>a)</t>
  </si>
  <si>
    <t>b)</t>
  </si>
  <si>
    <t>c)</t>
  </si>
  <si>
    <t>d)</t>
  </si>
  <si>
    <t>e)</t>
  </si>
  <si>
    <t>G00</t>
  </si>
  <si>
    <t>2-Instructions</t>
  </si>
  <si>
    <t>General</t>
  </si>
  <si>
    <t>Instructions</t>
  </si>
  <si>
    <t>Instrucciones</t>
  </si>
  <si>
    <t>Instructions to complete the form</t>
  </si>
  <si>
    <t>Instructions pour remplir le formulaire</t>
  </si>
  <si>
    <t>Instrucciones para cumplimentar el formulario</t>
  </si>
  <si>
    <t>G01</t>
  </si>
  <si>
    <t>G01a</t>
  </si>
  <si>
    <t>item</t>
  </si>
  <si>
    <t>General01</t>
  </si>
  <si>
    <t>Complete as far as possible the Header and Detail sections (don't leave fields empty when information is known).</t>
  </si>
  <si>
    <t>Veuillez compléter dans la plus grande mesure du possible les rubriques « En-tête » et « Informations détaillées ». Ne laissez pas de cellules vides si l’information est connue</t>
  </si>
  <si>
    <t>Cumplimentar con la mayor información posible las secciones "cabecera" y "detalles" (no dejar campos vacíos cuando se conoce la información)</t>
  </si>
  <si>
    <t>G01b</t>
  </si>
  <si>
    <t>General02</t>
  </si>
  <si>
    <t>In Header section, only white cells can be filled (manually or by selecting from the Combo Box the corresponding code).</t>
  </si>
  <si>
    <t>Dans la rubrique « En-tête », seules les cellules blanches sont à remplir (manuellement ou en sélectionnant le code correspondant dans le menu déroulant)</t>
  </si>
  <si>
    <t>En la sección de cabecera, sólo pueden cumplimentarse las celdas en blanco (manualmente o seleccionando en la pestaña desplegable el código correspondiente)</t>
  </si>
  <si>
    <t>G01c</t>
  </si>
  <si>
    <t>General03</t>
  </si>
  <si>
    <t>Utilisez toujours les codes standard de l’ICCAT (si l’élément « Autres » des menus déroulants de plusieurs champs est requis, une explication détaillée doit être apportée au point « Notes »)</t>
  </si>
  <si>
    <t>Utilice siempre los códigos estándar ICCAT (cuando se requiere el elemento "OTROS" de varios campos, éste debe describirse explícitamente en las "Notas")</t>
  </si>
  <si>
    <t>G01d</t>
  </si>
  <si>
    <t>General04</t>
  </si>
  <si>
    <t>Recommandation pour les utilisateurs de bases de données: pour copier un jeu de données complet dans la rubrique « Informations détaillées ». (qui doivent avoir la même structure et le même format), utilisez « Collage spécial &gt; Coller valeurs »</t>
  </si>
  <si>
    <t>Recomendación para los usuarios con bases de datos: para pegar un conjunto de datos completo en la sección de información detallada (debe tener la misma estructura y formato) se debe utilizar "Pegado especial (valores)"</t>
  </si>
  <si>
    <t>G01e</t>
  </si>
  <si>
    <t>General05</t>
  </si>
  <si>
    <t>Deje en blanco los campos para los que no se ha recopilado información</t>
  </si>
  <si>
    <t>S00</t>
  </si>
  <si>
    <t>Specific</t>
  </si>
  <si>
    <t>Specific (by field)</t>
  </si>
  <si>
    <t>Spécifique (par champ)</t>
  </si>
  <si>
    <t>Específico (por campo)</t>
  </si>
  <si>
    <t>SC01</t>
  </si>
  <si>
    <t>Form</t>
  </si>
  <si>
    <t>Formulaire</t>
  </si>
  <si>
    <t>Formulario</t>
  </si>
  <si>
    <t>SC02</t>
  </si>
  <si>
    <t>Sub-form</t>
  </si>
  <si>
    <t>Sous-formulaire</t>
  </si>
  <si>
    <t>Subformulario</t>
  </si>
  <si>
    <t>SC03</t>
  </si>
  <si>
    <t>Part</t>
  </si>
  <si>
    <t>Partie</t>
  </si>
  <si>
    <t>Parte</t>
  </si>
  <si>
    <t>SC04</t>
  </si>
  <si>
    <t xml:space="preserve">Section </t>
  </si>
  <si>
    <t>Sección</t>
  </si>
  <si>
    <t>SC05</t>
  </si>
  <si>
    <t>Sub-section</t>
  </si>
  <si>
    <t>Sous-section</t>
  </si>
  <si>
    <t>Sub-secciones</t>
  </si>
  <si>
    <t>SC06</t>
  </si>
  <si>
    <t>Field (name)</t>
  </si>
  <si>
    <t>Champ (nom)</t>
  </si>
  <si>
    <t>Campo (nombre)</t>
  </si>
  <si>
    <t>SC07</t>
  </si>
  <si>
    <t>Field (format)</t>
  </si>
  <si>
    <t>Champ (format)</t>
  </si>
  <si>
    <t>Campo (formato)</t>
  </si>
  <si>
    <t>SC08</t>
  </si>
  <si>
    <t>Descripción</t>
  </si>
  <si>
    <t>T03</t>
  </si>
  <si>
    <t>Table. Status</t>
  </si>
  <si>
    <t>1-CP51</t>
  </si>
  <si>
    <t>CP51</t>
  </si>
  <si>
    <t>ABANDONED, LOST OR OTHERWISE DISCARDED FISHING GEAR NOT RETRIEVED</t>
  </si>
  <si>
    <t>Abandoned, Lost or otherwise Discarded Fishing Gear (Details)</t>
  </si>
  <si>
    <t>ICCATSerialNo</t>
  </si>
  <si>
    <t>IRCS</t>
  </si>
  <si>
    <t>Quantity</t>
  </si>
  <si>
    <t>Date</t>
  </si>
  <si>
    <t>Additional information</t>
  </si>
  <si>
    <t>Internat. RCS</t>
  </si>
  <si>
    <t>RCS internat.</t>
  </si>
  <si>
    <t>RCS internac.</t>
  </si>
  <si>
    <t>Indicatif international d’appel radio. Cet indicatif ne comportera que des lettres et des chiffres, par ex. 7T2472 (sans espace, « - », « . », ou tout autre caractère spécial). Si le navire est trop petit pour qu’un IRCS lui soit attribué, saisissez « (n/a) »</t>
  </si>
  <si>
    <t>Select the flag (choose from available flag codes) under which the vessel is operating.</t>
  </si>
  <si>
    <t>Sélectionnez le pavillon (à choisir parmi les codes de pavillons disponibles) sous lequel le navire opère</t>
  </si>
  <si>
    <t>Seleccionar el pabellón (consultar los códigos de pabellón disponibles) bajo el que opera el buque</t>
  </si>
  <si>
    <t>Vessel (Identification)</t>
  </si>
  <si>
    <t>GearUnit</t>
  </si>
  <si>
    <t>Mesh size (cm)</t>
  </si>
  <si>
    <t>LostDate</t>
  </si>
  <si>
    <t>LostTime</t>
  </si>
  <si>
    <t>LostLat</t>
  </si>
  <si>
    <t>LostLon</t>
  </si>
  <si>
    <t>RetrvlMeasures</t>
  </si>
  <si>
    <t>RetrvlFail</t>
  </si>
  <si>
    <t>GearMark</t>
  </si>
  <si>
    <t>AddInfo</t>
  </si>
  <si>
    <t>D20</t>
  </si>
  <si>
    <t>Only applicable if Gear type = net</t>
  </si>
  <si>
    <t>D30</t>
  </si>
  <si>
    <t>VesselName</t>
  </si>
  <si>
    <t>FlagCd</t>
  </si>
  <si>
    <t>Flag of Vessel (cod)</t>
  </si>
  <si>
    <t>Nom navire (latin)</t>
  </si>
  <si>
    <t>Nom du navire en caractères latins</t>
  </si>
  <si>
    <t>El nombre del buque en caracteres latinos</t>
  </si>
  <si>
    <t>Pavillon du navire (cod)</t>
  </si>
  <si>
    <t>Pabellón del buque (cód)</t>
  </si>
  <si>
    <t>ICCAT serial number (unique) of the Vessel registered (if applicable)</t>
  </si>
  <si>
    <t>GearCd</t>
  </si>
  <si>
    <t>integer</t>
  </si>
  <si>
    <t>Gear Unit</t>
  </si>
  <si>
    <t>Gear (cod)</t>
  </si>
  <si>
    <t>Engin (cod)</t>
  </si>
  <si>
    <t>Arte (cód)</t>
  </si>
  <si>
    <t>Choisir le code d'engin (code ICCAT)</t>
  </si>
  <si>
    <t>Escoger un código de arte (códigos ICCAT)</t>
  </si>
  <si>
    <t>D21</t>
  </si>
  <si>
    <t>Choose the lost fishing Gear code (ICCAT codes)</t>
  </si>
  <si>
    <t>Units of lost fishing Gear</t>
  </si>
  <si>
    <t>Size in metres of lost fishing Gear</t>
  </si>
  <si>
    <t xml:space="preserve">Marking of the lost fishing Gear </t>
  </si>
  <si>
    <t>time</t>
  </si>
  <si>
    <t>Latitude where the fishing gear was lost</t>
  </si>
  <si>
    <t>Longitude where the fishing gear was lost</t>
  </si>
  <si>
    <t xml:space="preserve">Fecha </t>
  </si>
  <si>
    <t>Time (hh:mm)</t>
  </si>
  <si>
    <t>Hora  (hh:mm)</t>
  </si>
  <si>
    <t>Date when the fishing gear was lost</t>
  </si>
  <si>
    <t>Time when the fishing gear was lost</t>
  </si>
  <si>
    <t>The measures taken by the vessel to retrieve the lost fishing gear</t>
  </si>
  <si>
    <t>The reasons for the retrieval failure</t>
  </si>
  <si>
    <t>Additional info</t>
  </si>
  <si>
    <t>Retrieval Measures</t>
  </si>
  <si>
    <t>Additional info (optional)</t>
  </si>
  <si>
    <t>Retrieval Failure (if applicable)</t>
  </si>
  <si>
    <t>NET</t>
  </si>
  <si>
    <t>HS</t>
  </si>
  <si>
    <t>LINE</t>
  </si>
  <si>
    <t>TL</t>
  </si>
  <si>
    <t>OTH</t>
  </si>
  <si>
    <t>Table. Gears</t>
  </si>
  <si>
    <t>GearCode</t>
  </si>
  <si>
    <t>GearName</t>
  </si>
  <si>
    <t>GearGroup</t>
  </si>
  <si>
    <t>Purse seine</t>
  </si>
  <si>
    <t>Baitboat</t>
  </si>
  <si>
    <t>TRAW</t>
  </si>
  <si>
    <t>Trawl</t>
  </si>
  <si>
    <t>TROL</t>
  </si>
  <si>
    <t>Troll</t>
  </si>
  <si>
    <t>GILL</t>
  </si>
  <si>
    <t>Gillnet: Drift net</t>
  </si>
  <si>
    <t>Trammel net</t>
  </si>
  <si>
    <t>Tended line</t>
  </si>
  <si>
    <t>Haul seine</t>
  </si>
  <si>
    <t>Net (one piece)</t>
  </si>
  <si>
    <t>Panel of Net</t>
  </si>
  <si>
    <t>Line</t>
  </si>
  <si>
    <t>Table. Units</t>
  </si>
  <si>
    <t>UnitCode</t>
  </si>
  <si>
    <t>UnitDescription</t>
  </si>
  <si>
    <t>PANEL</t>
  </si>
  <si>
    <t>Other (specified in Additional information)</t>
  </si>
  <si>
    <t>StandardFormats</t>
  </si>
  <si>
    <t>Type</t>
  </si>
  <si>
    <t>Example</t>
  </si>
  <si>
    <t>fmtLatitude</t>
  </si>
  <si>
    <t>float</t>
  </si>
  <si>
    <t>fmtLongitude</t>
  </si>
  <si>
    <t>Size (m)</t>
  </si>
  <si>
    <t>Size N-direction (m)</t>
  </si>
  <si>
    <t>Size T-direction (m)</t>
  </si>
  <si>
    <t>see format</t>
  </si>
  <si>
    <t>GearType</t>
  </si>
  <si>
    <t>Creeper drag</t>
  </si>
  <si>
    <t>Drag/retrieval using vessel winches</t>
  </si>
  <si>
    <t>Trawling</t>
  </si>
  <si>
    <t>Gear location (visual/electronical) through buoy markers</t>
  </si>
  <si>
    <t>Report to fishing authorities and/or nearby fishing vessels</t>
  </si>
  <si>
    <t>Storms (bad weather)</t>
  </si>
  <si>
    <t>Caught/stuck on the bottom</t>
  </si>
  <si>
    <t>Conflicts/interaction with other fishing gears or vessels</t>
  </si>
  <si>
    <t>Loss of Buoy markers</t>
  </si>
  <si>
    <t>Drag by strong currents</t>
  </si>
  <si>
    <t>Table. Retrieval Measures Taken</t>
  </si>
  <si>
    <t>RetrievalCode</t>
  </si>
  <si>
    <t>RetrievalDescription</t>
  </si>
  <si>
    <t>CREEP</t>
  </si>
  <si>
    <t>TRAWL</t>
  </si>
  <si>
    <t>DRAG</t>
  </si>
  <si>
    <t>BUOY</t>
  </si>
  <si>
    <t>WINCH</t>
  </si>
  <si>
    <t>REPORT</t>
  </si>
  <si>
    <t>NONE</t>
  </si>
  <si>
    <t>No action taken</t>
  </si>
  <si>
    <t>Table. Retrieval Failure Reasons</t>
  </si>
  <si>
    <t>Unknown</t>
  </si>
  <si>
    <t>STUCK</t>
  </si>
  <si>
    <t>CONFL</t>
  </si>
  <si>
    <t>UNK</t>
  </si>
  <si>
    <t>WEATH</t>
  </si>
  <si>
    <t>MARK</t>
  </si>
  <si>
    <t>ICCAT Serial Number
(If applicable)</t>
  </si>
  <si>
    <t>GearQty</t>
  </si>
  <si>
    <t>GearSz</t>
  </si>
  <si>
    <t>NetSzN</t>
  </si>
  <si>
    <t>NetSzT</t>
  </si>
  <si>
    <t>NetMeshSz</t>
  </si>
  <si>
    <t>CP51-ALDFG</t>
  </si>
  <si>
    <t>Gear mark</t>
  </si>
  <si>
    <t>±dd.dddd</t>
  </si>
  <si>
    <t>±ddd.dddd</t>
  </si>
  <si>
    <t>Decimal degree coordinate system {(N,+),(S,-)}. (dd.d# = ±(dd + mm/60 + ss/3600)):: 4 decimals (max)</t>
  </si>
  <si>
    <t>Decimal degree coordinate system {(E,+),(W,-)}. (ddd.d# = ±(dd + mm/60 + ss/3600)):: 4 decimals (max)</t>
  </si>
  <si>
    <t>D211</t>
  </si>
  <si>
    <t>Attributes</t>
  </si>
  <si>
    <t>D22</t>
  </si>
  <si>
    <t>Date/Time</t>
  </si>
  <si>
    <t>D23</t>
  </si>
  <si>
    <t>Location</t>
  </si>
  <si>
    <t>SC051</t>
  </si>
  <si>
    <t>Sub-section 2</t>
  </si>
  <si>
    <t>Sous-section 2</t>
  </si>
  <si>
    <t>Sub-secciones 2</t>
  </si>
  <si>
    <t>IMO number. All vessels of 20 m or greater must have an IMO number, except wooden LSFVs that are not authorized to fish on the high seas or LSFVs unable to obtain an IMO number</t>
  </si>
  <si>
    <t>IMONo</t>
  </si>
  <si>
    <t>IMO Number</t>
  </si>
  <si>
    <t>Talla dirección-T (cm)</t>
  </si>
  <si>
    <t>Talla dirección-N (cm)</t>
  </si>
  <si>
    <t>Marcas del arte</t>
  </si>
  <si>
    <t>Medidas de recuperación</t>
  </si>
  <si>
    <t>Fallo en la recuperación (si procede)</t>
  </si>
  <si>
    <t>Información adicional (opcional)</t>
  </si>
  <si>
    <t>Buque (identificación)</t>
  </si>
  <si>
    <t>Arte perdido (detalles)</t>
  </si>
  <si>
    <t>Información adicional</t>
  </si>
  <si>
    <t>Características</t>
  </si>
  <si>
    <t>Fecha/hora</t>
  </si>
  <si>
    <t>Localización</t>
  </si>
  <si>
    <t>Número de serie ICCAT (si procede)</t>
  </si>
  <si>
    <t>Número OMI</t>
  </si>
  <si>
    <t>Nombre del buque (latin)</t>
  </si>
  <si>
    <t>Número de serie ICCAT (único) del buque registrado (si procede)</t>
  </si>
  <si>
    <t>Número OMI. Todos los buques de 20 m o más deben tener un número OMI, excepto los GPA de madera que no están autorizados a pescar en alta mar o los GPA que no pueden obtener un número OMI.</t>
  </si>
  <si>
    <t>Indicativo internacional de radio. Debe estar compuesto solo por números y letras, por ejemplo, 7T2472 (sin espacios ni , “-“, “.”, u otros caracteres especiales). Si el buque es demasiado pequeño para tener un IRCS asignado, entonces debe indicar n/a</t>
  </si>
  <si>
    <t>Unidades del arte de pesca perdido</t>
  </si>
  <si>
    <t>Cantidad del arte de pesca perdido</t>
  </si>
  <si>
    <t>Talla en metros del arte de pesca perdido</t>
  </si>
  <si>
    <t>Marcas del arte de pesca perdido</t>
  </si>
  <si>
    <t>Fecha en la que se perdió el arte de pesca</t>
  </si>
  <si>
    <t>Hora en la que se perdió el arte de pesca</t>
  </si>
  <si>
    <t>Latitud en la que se perdió el arte de pesca</t>
  </si>
  <si>
    <t>Longitud en la que se perdió el arte de pesca</t>
  </si>
  <si>
    <t>Medidas adoptadas por el buque para recuperar el arte de pesca perdido</t>
  </si>
  <si>
    <t>Razones por las que falló la recuperación</t>
  </si>
  <si>
    <t>ENGINS DE PÊCHE ABANDONNÉS, PERDUS OU REJETÉS DE QUELQUE AUTRE MANIÈRE</t>
  </si>
  <si>
    <t>Engins de pêche abandonnés, perdus ou rejetés de quelque autre manière (détails)</t>
  </si>
  <si>
    <t>Saisissez le nom de la personne à contacter en cas de questions</t>
  </si>
  <si>
    <t>Navire (identification)</t>
  </si>
  <si>
    <t>Engin perdu (détails)</t>
  </si>
  <si>
    <t>Informations supplémentaires</t>
  </si>
  <si>
    <t>Caractéristiques</t>
  </si>
  <si>
    <t>Date/heure</t>
  </si>
  <si>
    <t>Lieu</t>
  </si>
  <si>
    <t>Applicable uniquement si le type d'engin est un filet</t>
  </si>
  <si>
    <t>Numéro de série ICCAT (le cas échéant)</t>
  </si>
  <si>
    <t>Numéro OMI</t>
  </si>
  <si>
    <t>Numéro de série ICCAT (unique) du navire inscrit (le cas échéant)</t>
  </si>
  <si>
    <t>Numéro OMI. Tous les navires de 20 m ou plus doivent avoir un numéro OMI, à l'exception des LSFV en bois qui ne sont pas autorisés à pêcher en haute mer ou des LSFV qui ne peuvent pas obtenir de  numéro OMI</t>
  </si>
  <si>
    <t>Unité de l'engin</t>
  </si>
  <si>
    <t>Quantité d'engins de pêche perdus</t>
  </si>
  <si>
    <t>Quantité</t>
  </si>
  <si>
    <t>Taille en mètres de l'engin de pêche perdu</t>
  </si>
  <si>
    <t>Unités d'engins de pêche perdus</t>
  </si>
  <si>
    <t>Taille (m)</t>
  </si>
  <si>
    <t>Taille sens N (m)</t>
  </si>
  <si>
    <t>Taille sens T (m)</t>
  </si>
  <si>
    <t>Taille en mètres dans le sens N (en profondeur). Sens perpendiculaire (normal) au sens général d'avancement du fil pour filet.</t>
  </si>
  <si>
    <t>Taille en mètres dans le sens T (en longueur). Sens parallèle au sens général d'avancement du fil pour filet (sens du trajet du fil).</t>
  </si>
  <si>
    <t>Dimension de la maille (cm)</t>
  </si>
  <si>
    <t>Marques de l'engin</t>
  </si>
  <si>
    <t>Marques de l'engin de pêche perdu</t>
  </si>
  <si>
    <t>Date à laquelle l'engin de pêche a été perdu</t>
  </si>
  <si>
    <t>Heure à laquelle l'engin de pêche a été perdu</t>
  </si>
  <si>
    <t>Latitude où l'engin de pêche a été perdu</t>
  </si>
  <si>
    <t>Longitude où l'engin de pêche a été perdu</t>
  </si>
  <si>
    <t>Mesures de récupération</t>
  </si>
  <si>
    <t>Mesures prises par le navire pour récupérer l'engin de pêche perdu</t>
  </si>
  <si>
    <t>Échec de la récupération (le cas échéant)</t>
  </si>
  <si>
    <t>Raisons de l'échec de la récupération</t>
  </si>
  <si>
    <t>Informations supplémentaires (facultatif)</t>
  </si>
  <si>
    <t>Laissez en blanc les champs pour lesquels vous ne recueillez pas d'informations</t>
  </si>
  <si>
    <t>Heure (hh:mm)</t>
  </si>
  <si>
    <t>Talla en metros en la dirección-N (profundidad). Dirección perpendicular (normal) a la orientación general de los hilos de la red</t>
  </si>
  <si>
    <t>Talla en metros en la dirección-T (longitud). Dirección paralela a la orientación general de los hilos de la red (trenzado)</t>
  </si>
  <si>
    <t>Tamaño de malla (cm)</t>
  </si>
  <si>
    <t>Unidad del arte</t>
  </si>
  <si>
    <t>Cantidad</t>
  </si>
  <si>
    <t>Talla (m)</t>
  </si>
  <si>
    <t>ARTES DE PESCA ABANDONADOS, PERDIDOS O DESCARTADOS DE CUALQUIER OTRA FORMA</t>
  </si>
  <si>
    <t>Artes de pesca abandonados, perdidos o descartados de cualquier otra forma (detalles)</t>
  </si>
  <si>
    <t>Solo aplicable si el tipo de arte es una red</t>
  </si>
  <si>
    <t>Always use the latest version of this form.</t>
  </si>
  <si>
    <t>Lost Gear (Details)</t>
  </si>
  <si>
    <t>International Radio Call Sign. This must comprise only letters and numbers, e.g. 7T2472 (no spaces, "-", ".", or any other special characters are allowed. If the vessel is too small to have an IRCS assigned, then "n/a" should be entered</t>
  </si>
  <si>
    <t>Vessel name (Latin)</t>
  </si>
  <si>
    <t>Vessel name in Latin script</t>
  </si>
  <si>
    <t>Quantity of lost fishing Gear</t>
  </si>
  <si>
    <t>Size in metres along the N-direction (depthwise). The direction at right angles (Normal) to the general course of the netting yarn</t>
  </si>
  <si>
    <t>Size in metres along the T-direction (lengthwise). The direction parallel to the general course of the netting yarn (Twinewise)</t>
  </si>
  <si>
    <t>Latitude (±dd.dddd)</t>
  </si>
  <si>
    <t>Longitude (±dd.dddd)</t>
  </si>
  <si>
    <t>Latitud (±dd.dddd)</t>
  </si>
  <si>
    <t>Longitud (±dd.dddd)</t>
  </si>
  <si>
    <t>ENG</t>
  </si>
  <si>
    <t>Always use ICCAT standard codes (when element "OTHERS" of various fields is required it must be explicitly described in "Notes").</t>
  </si>
  <si>
    <t>Recommendation for users with databases: To paste an entire dataset into the Detail section (it must have the same structure and format) use "Paste special (values)"</t>
  </si>
  <si>
    <t>If no information is collected, leave the fileds "blank"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</si>
  <si>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</si>
  <si>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</si>
  <si>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</si>
  <si>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</si>
  <si>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</si>
  <si>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</si>
  <si>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</si>
  <si>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</si>
  <si>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</si>
  <si>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</si>
  <si>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</si>
  <si>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</si>
  <si>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</si>
  <si>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</si>
  <si>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</si>
  <si>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</si>
  <si>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</si>
  <si>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</si>
  <si>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</si>
  <si>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</si>
  <si>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</si>
  <si>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</si>
  <si>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</si>
  <si>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</si>
  <si>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</si>
  <si>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</si>
  <si>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</si>
  <si>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</si>
  <si>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</si>
  <si>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</si>
  <si>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</si>
  <si>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</si>
  <si>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</si>
  <si>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</si>
  <si>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</si>
  <si>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</si>
  <si>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</si>
  <si>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</si>
  <si>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</si>
  <si>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</si>
  <si>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</si>
  <si>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</si>
  <si>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</si>
  <si>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</si>
  <si>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EU-Portugal</t>
  </si>
  <si>
    <t>EU-PRT</t>
  </si>
  <si>
    <t>EU-Rumania</t>
  </si>
  <si>
    <t>EU-ROU</t>
  </si>
  <si>
    <t>EU-Slovakia</t>
  </si>
  <si>
    <t>EU-SVK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</si>
  <si>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</si>
  <si>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</si>
  <si>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</si>
  <si>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</si>
  <si>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</si>
  <si>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</si>
  <si>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</si>
  <si>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</si>
  <si>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</si>
  <si>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GBR</t>
  </si>
  <si>
    <t>Guinée Rep</t>
  </si>
  <si>
    <t>Korea Rep</t>
  </si>
  <si>
    <t>Northern Ireland</t>
  </si>
  <si>
    <t>GB-NIR</t>
  </si>
  <si>
    <t>S Tomé e Príncipe</t>
  </si>
  <si>
    <t>Scotland</t>
  </si>
  <si>
    <t>GB-SCT</t>
  </si>
  <si>
    <t>St Vincent and Grenadines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</si>
  <si>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</si>
  <si>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</si>
  <si>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</si>
  <si>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</si>
  <si>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</si>
  <si>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</si>
  <si>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</si>
  <si>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</si>
  <si>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</si>
  <si>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</si>
  <si>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</si>
  <si>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</si>
  <si>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</si>
  <si>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</si>
  <si>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</si>
  <si>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</si>
  <si>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</si>
  <si>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</si>
  <si>
    <t>Türkiye</t>
  </si>
  <si>
    <t>2025a</t>
  </si>
  <si>
    <t>European Union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</si>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</sst>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.0000"/>
  </numFmts>
  <fonts count="3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8"/>
      <color rgb="FF0000FF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3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u/>
      <sz val="8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7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7" tint="0.39997558519241921"/>
      </top>
      <bottom/>
      <diagonal/>
    </border>
    <border>
      <left style="thin">
        <color theme="6"/>
      </left>
      <right/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/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0" fontId="8" fillId="0" borderId="0"/>
    <xf numFmtId="0" fontId="6" fillId="0" borderId="0"/>
    <xf numFmtId="0" fontId="9" fillId="0" borderId="0" applyNumberFormat="0" applyFill="0" applyBorder="0" applyAlignment="0" applyProtection="0"/>
    <xf numFmtId="0" fontId="6" fillId="0" borderId="0"/>
  </cellStyleXfs>
  <cellXfs count="264">
    <xf numFmtId="0" fontId="0" fillId="0" borderId="0" xfId="0"/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12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/>
      <protection hidden="1"/>
    </xf>
    <xf numFmtId="0" fontId="20" fillId="0" borderId="0" xfId="1" applyFont="1" applyAlignment="1" applyProtection="1">
      <alignment vertical="top"/>
      <protection hidden="1"/>
    </xf>
    <xf numFmtId="0" fontId="21" fillId="0" borderId="0" xfId="1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24" fillId="5" borderId="2" xfId="0" applyFont="1" applyFill="1" applyBorder="1" applyAlignment="1" applyProtection="1">
      <alignment horizontal="center" vertical="top"/>
      <protection hidden="1"/>
    </xf>
    <xf numFmtId="0" fontId="26" fillId="5" borderId="13" xfId="0" applyFont="1" applyFill="1" applyBorder="1" applyAlignment="1" applyProtection="1">
      <alignment horizontal="center" vertical="top"/>
      <protection hidden="1"/>
    </xf>
    <xf numFmtId="0" fontId="4" fillId="5" borderId="4" xfId="0" applyFont="1" applyFill="1" applyBorder="1" applyAlignment="1" applyProtection="1">
      <alignment vertical="top"/>
      <protection hidden="1"/>
    </xf>
    <xf numFmtId="0" fontId="4" fillId="5" borderId="5" xfId="0" applyFont="1" applyFill="1" applyBorder="1" applyAlignment="1" applyProtection="1">
      <alignment vertical="top"/>
      <protection hidden="1"/>
    </xf>
    <xf numFmtId="0" fontId="4" fillId="5" borderId="5" xfId="0" applyFont="1" applyFill="1" applyBorder="1" applyAlignment="1" applyProtection="1">
      <alignment horizontal="center" vertical="top"/>
      <protection hidden="1"/>
    </xf>
    <xf numFmtId="0" fontId="4" fillId="5" borderId="0" xfId="0" applyFont="1" applyFill="1" applyAlignment="1" applyProtection="1">
      <alignment horizontal="center" vertical="top"/>
      <protection hidden="1"/>
    </xf>
    <xf numFmtId="164" fontId="22" fillId="5" borderId="0" xfId="0" applyNumberFormat="1" applyFont="1" applyFill="1" applyAlignment="1" applyProtection="1">
      <alignment vertical="center"/>
      <protection hidden="1"/>
    </xf>
    <xf numFmtId="0" fontId="4" fillId="5" borderId="11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30" fillId="5" borderId="10" xfId="3" applyFont="1" applyFill="1" applyBorder="1" applyAlignment="1" applyProtection="1">
      <alignment horizontal="right" vertical="top"/>
      <protection hidden="1"/>
    </xf>
    <xf numFmtId="0" fontId="31" fillId="5" borderId="4" xfId="0" applyFont="1" applyFill="1" applyBorder="1" applyAlignment="1" applyProtection="1">
      <alignment vertical="top"/>
      <protection hidden="1"/>
    </xf>
    <xf numFmtId="0" fontId="4" fillId="5" borderId="6" xfId="0" applyFont="1" applyFill="1" applyBorder="1" applyAlignment="1" applyProtection="1">
      <alignment vertical="top"/>
      <protection hidden="1"/>
    </xf>
    <xf numFmtId="0" fontId="32" fillId="5" borderId="5" xfId="0" applyFont="1" applyFill="1" applyBorder="1" applyAlignment="1" applyProtection="1">
      <alignment horizontal="center" vertical="top"/>
      <protection hidden="1"/>
    </xf>
    <xf numFmtId="49" fontId="4" fillId="5" borderId="0" xfId="0" applyNumberFormat="1" applyFont="1" applyFill="1" applyAlignment="1" applyProtection="1">
      <alignment vertical="top"/>
      <protection hidden="1"/>
    </xf>
    <xf numFmtId="0" fontId="28" fillId="5" borderId="0" xfId="0" applyFont="1" applyFill="1" applyAlignment="1" applyProtection="1">
      <alignment vertical="top"/>
      <protection hidden="1"/>
    </xf>
    <xf numFmtId="0" fontId="24" fillId="5" borderId="0" xfId="0" applyFont="1" applyFill="1" applyAlignment="1" applyProtection="1">
      <alignment horizontal="center" vertical="top"/>
      <protection hidden="1"/>
    </xf>
    <xf numFmtId="0" fontId="1" fillId="5" borderId="2" xfId="0" applyFont="1" applyFill="1" applyBorder="1" applyAlignment="1" applyProtection="1">
      <alignment horizontal="center" vertical="top"/>
      <protection hidden="1"/>
    </xf>
    <xf numFmtId="0" fontId="1" fillId="5" borderId="3" xfId="0" applyFont="1" applyFill="1" applyBorder="1" applyAlignment="1" applyProtection="1">
      <alignment horizontal="center" vertical="top"/>
      <protection hidden="1"/>
    </xf>
    <xf numFmtId="0" fontId="28" fillId="5" borderId="10" xfId="0" applyFont="1" applyFill="1" applyBorder="1" applyAlignment="1" applyProtection="1">
      <alignment vertical="top"/>
      <protection hidden="1"/>
    </xf>
    <xf numFmtId="0" fontId="22" fillId="5" borderId="0" xfId="0" applyFont="1" applyFill="1" applyAlignment="1" applyProtection="1">
      <alignment horizontal="right" vertical="top"/>
      <protection hidden="1"/>
    </xf>
    <xf numFmtId="0" fontId="11" fillId="11" borderId="13" xfId="0" applyFont="1" applyFill="1" applyBorder="1" applyAlignment="1" applyProtection="1">
      <alignment vertical="top" wrapText="1"/>
      <protection hidden="1"/>
    </xf>
    <xf numFmtId="0" fontId="11" fillId="11" borderId="13" xfId="0" applyFont="1" applyFill="1" applyBorder="1" applyAlignment="1" applyProtection="1">
      <alignment horizontal="left" vertical="top" wrapText="1"/>
      <protection hidden="1"/>
    </xf>
    <xf numFmtId="0" fontId="11" fillId="11" borderId="13" xfId="0" applyFont="1" applyFill="1" applyBorder="1" applyAlignment="1" applyProtection="1">
      <alignment horizontal="center" vertical="top" wrapText="1"/>
      <protection hidden="1"/>
    </xf>
    <xf numFmtId="0" fontId="23" fillId="12" borderId="0" xfId="0" applyFont="1" applyFill="1" applyAlignment="1" applyProtection="1">
      <alignment horizontal="center" vertical="top"/>
      <protection hidden="1"/>
    </xf>
    <xf numFmtId="0" fontId="22" fillId="12" borderId="0" xfId="1" applyFont="1" applyFill="1" applyAlignment="1" applyProtection="1">
      <alignment vertical="top"/>
      <protection hidden="1"/>
    </xf>
    <xf numFmtId="0" fontId="22" fillId="12" borderId="0" xfId="1" applyFont="1" applyFill="1" applyAlignment="1" applyProtection="1">
      <alignment vertical="top" wrapText="1"/>
      <protection hidden="1"/>
    </xf>
    <xf numFmtId="0" fontId="22" fillId="12" borderId="0" xfId="0" applyFont="1" applyFill="1" applyAlignment="1" applyProtection="1">
      <alignment vertical="top" wrapText="1"/>
      <protection hidden="1"/>
    </xf>
    <xf numFmtId="0" fontId="22" fillId="12" borderId="0" xfId="0" applyFont="1" applyFill="1" applyAlignment="1" applyProtection="1">
      <alignment horizontal="left" vertical="top" wrapText="1"/>
      <protection hidden="1"/>
    </xf>
    <xf numFmtId="0" fontId="22" fillId="12" borderId="0" xfId="0" applyFont="1" applyFill="1" applyAlignment="1" applyProtection="1">
      <alignment horizontal="center" vertical="top" wrapText="1"/>
      <protection hidden="1"/>
    </xf>
    <xf numFmtId="0" fontId="2" fillId="0" borderId="0" xfId="0" applyFont="1" applyAlignment="1">
      <alignment vertical="top" wrapText="1"/>
    </xf>
    <xf numFmtId="164" fontId="22" fillId="5" borderId="6" xfId="0" applyNumberFormat="1" applyFont="1" applyFill="1" applyBorder="1" applyAlignment="1" applyProtection="1">
      <alignment vertical="center"/>
      <protection hidden="1"/>
    </xf>
    <xf numFmtId="164" fontId="22" fillId="5" borderId="14" xfId="0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left" vertical="top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11" fillId="13" borderId="0" xfId="0" applyFont="1" applyFill="1" applyAlignment="1" applyProtection="1">
      <alignment horizontal="left" vertical="top"/>
      <protection hidden="1"/>
    </xf>
    <xf numFmtId="0" fontId="11" fillId="14" borderId="0" xfId="0" applyFont="1" applyFill="1" applyAlignment="1" applyProtection="1">
      <alignment horizontal="left" vertical="top"/>
      <protection hidden="1"/>
    </xf>
    <xf numFmtId="49" fontId="22" fillId="0" borderId="26" xfId="0" applyNumberFormat="1" applyFont="1" applyBorder="1" applyAlignment="1" applyProtection="1">
      <alignment vertical="top" shrinkToFit="1"/>
      <protection locked="0"/>
    </xf>
    <xf numFmtId="49" fontId="22" fillId="0" borderId="27" xfId="0" applyNumberFormat="1" applyFont="1" applyBorder="1" applyAlignment="1" applyProtection="1">
      <alignment vertical="top" shrinkToFit="1"/>
      <protection locked="0"/>
    </xf>
    <xf numFmtId="49" fontId="22" fillId="0" borderId="25" xfId="0" applyNumberFormat="1" applyFont="1" applyBorder="1" applyAlignment="1" applyProtection="1">
      <alignment vertical="top" shrinkToFit="1"/>
      <protection locked="0"/>
    </xf>
    <xf numFmtId="49" fontId="22" fillId="0" borderId="30" xfId="0" applyNumberFormat="1" applyFont="1" applyBorder="1" applyAlignment="1" applyProtection="1">
      <alignment vertical="top" shrinkToFit="1"/>
      <protection locked="0"/>
    </xf>
    <xf numFmtId="0" fontId="4" fillId="4" borderId="7" xfId="0" applyFont="1" applyFill="1" applyBorder="1" applyAlignment="1" applyProtection="1">
      <alignment horizontal="left" vertical="center" wrapText="1"/>
      <protection hidden="1"/>
    </xf>
    <xf numFmtId="0" fontId="5" fillId="5" borderId="1" xfId="0" applyFont="1" applyFill="1" applyBorder="1" applyAlignment="1" applyProtection="1">
      <alignment vertical="top"/>
      <protection hidden="1"/>
    </xf>
    <xf numFmtId="0" fontId="5" fillId="5" borderId="2" xfId="0" applyFont="1" applyFill="1" applyBorder="1" applyAlignment="1" applyProtection="1">
      <alignment vertical="top"/>
      <protection hidden="1"/>
    </xf>
    <xf numFmtId="0" fontId="5" fillId="5" borderId="3" xfId="0" applyFont="1" applyFill="1" applyBorder="1" applyAlignment="1" applyProtection="1">
      <alignment vertical="top"/>
      <protection hidden="1"/>
    </xf>
    <xf numFmtId="0" fontId="2" fillId="0" borderId="10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1" fillId="0" borderId="0" xfId="0" applyFont="1" applyProtection="1">
      <protection hidden="1"/>
    </xf>
    <xf numFmtId="0" fontId="2" fillId="0" borderId="11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4" borderId="6" xfId="0" applyFont="1" applyFill="1" applyBorder="1" applyProtection="1">
      <protection hidden="1"/>
    </xf>
    <xf numFmtId="0" fontId="1" fillId="15" borderId="2" xfId="0" applyFont="1" applyFill="1" applyBorder="1" applyProtection="1">
      <protection hidden="1"/>
    </xf>
    <xf numFmtId="0" fontId="1" fillId="15" borderId="3" xfId="0" applyFont="1" applyFill="1" applyBorder="1" applyProtection="1">
      <protection hidden="1"/>
    </xf>
    <xf numFmtId="0" fontId="36" fillId="15" borderId="1" xfId="4" applyFont="1" applyFill="1" applyBorder="1" applyAlignment="1" applyProtection="1">
      <alignment wrapText="1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7" fillId="10" borderId="1" xfId="2" applyFont="1" applyFill="1" applyBorder="1" applyProtection="1">
      <protection hidden="1"/>
    </xf>
    <xf numFmtId="0" fontId="7" fillId="10" borderId="2" xfId="2" applyFont="1" applyFill="1" applyBorder="1" applyProtection="1">
      <protection hidden="1"/>
    </xf>
    <xf numFmtId="0" fontId="7" fillId="10" borderId="3" xfId="2" applyFont="1" applyFill="1" applyBorder="1" applyProtection="1">
      <protection hidden="1"/>
    </xf>
    <xf numFmtId="0" fontId="8" fillId="0" borderId="0" xfId="1" applyProtection="1">
      <protection hidden="1"/>
    </xf>
    <xf numFmtId="0" fontId="30" fillId="4" borderId="7" xfId="3" applyFont="1" applyFill="1" applyBorder="1" applyAlignment="1" applyProtection="1">
      <alignment horizontal="left" vertical="center" wrapText="1"/>
      <protection hidden="1"/>
    </xf>
    <xf numFmtId="0" fontId="14" fillId="4" borderId="8" xfId="0" applyFont="1" applyFill="1" applyBorder="1" applyAlignment="1" applyProtection="1">
      <alignment vertical="top"/>
      <protection hidden="1"/>
    </xf>
    <xf numFmtId="0" fontId="14" fillId="4" borderId="9" xfId="0" applyFont="1" applyFill="1" applyBorder="1" applyAlignment="1" applyProtection="1">
      <alignment vertical="top"/>
      <protection hidden="1"/>
    </xf>
    <xf numFmtId="0" fontId="14" fillId="4" borderId="12" xfId="0" applyFont="1" applyFill="1" applyBorder="1" applyAlignment="1" applyProtection="1">
      <alignment vertical="top"/>
      <protection hidden="1"/>
    </xf>
    <xf numFmtId="0" fontId="14" fillId="13" borderId="2" xfId="0" applyFont="1" applyFill="1" applyBorder="1" applyAlignment="1" applyProtection="1">
      <alignment vertical="top"/>
      <protection hidden="1"/>
    </xf>
    <xf numFmtId="0" fontId="14" fillId="13" borderId="3" xfId="0" applyFont="1" applyFill="1" applyBorder="1" applyAlignment="1" applyProtection="1">
      <alignment vertical="top"/>
      <protection hidden="1"/>
    </xf>
    <xf numFmtId="0" fontId="7" fillId="0" borderId="4" xfId="4" quotePrefix="1" applyFont="1" applyBorder="1" applyAlignment="1" applyProtection="1">
      <alignment wrapText="1"/>
      <protection hidden="1"/>
    </xf>
    <xf numFmtId="0" fontId="2" fillId="0" borderId="5" xfId="0" applyFont="1" applyBorder="1" applyProtection="1">
      <protection hidden="1"/>
    </xf>
    <xf numFmtId="0" fontId="19" fillId="12" borderId="0" xfId="0" applyFont="1" applyFill="1" applyAlignment="1" applyProtection="1">
      <alignment vertical="top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22" fillId="0" borderId="7" xfId="0" applyFont="1" applyBorder="1" applyAlignment="1" applyProtection="1">
      <alignment horizontal="left" vertical="top" wrapText="1"/>
      <protection hidden="1"/>
    </xf>
    <xf numFmtId="0" fontId="22" fillId="12" borderId="7" xfId="0" applyFont="1" applyFill="1" applyBorder="1" applyAlignment="1" applyProtection="1">
      <alignment horizontal="center" vertical="top" wrapText="1"/>
      <protection hidden="1"/>
    </xf>
    <xf numFmtId="0" fontId="22" fillId="12" borderId="7" xfId="0" applyFont="1" applyFill="1" applyBorder="1" applyAlignment="1" applyProtection="1">
      <alignment vertical="top" wrapText="1"/>
      <protection hidden="1"/>
    </xf>
    <xf numFmtId="0" fontId="4" fillId="0" borderId="7" xfId="0" applyFont="1" applyBorder="1" applyAlignment="1" applyProtection="1">
      <alignment horizontal="left" vertical="top" wrapText="1"/>
      <protection hidden="1"/>
    </xf>
    <xf numFmtId="0" fontId="4" fillId="12" borderId="7" xfId="0" applyFont="1" applyFill="1" applyBorder="1" applyAlignment="1" applyProtection="1">
      <alignment horizontal="center" vertical="top" wrapText="1"/>
      <protection hidden="1"/>
    </xf>
    <xf numFmtId="0" fontId="4" fillId="12" borderId="7" xfId="0" applyFont="1" applyFill="1" applyBorder="1" applyAlignment="1" applyProtection="1">
      <alignment vertical="top" wrapText="1"/>
      <protection hidden="1"/>
    </xf>
    <xf numFmtId="0" fontId="30" fillId="0" borderId="7" xfId="3" applyFont="1" applyBorder="1" applyAlignment="1" applyProtection="1">
      <alignment horizontal="left" vertical="top" wrapText="1"/>
      <protection hidden="1"/>
    </xf>
    <xf numFmtId="0" fontId="4" fillId="5" borderId="7" xfId="0" applyFont="1" applyFill="1" applyBorder="1" applyAlignment="1" applyProtection="1">
      <alignment horizontal="left" vertical="top" wrapText="1" shrinkToFit="1"/>
      <protection hidden="1"/>
    </xf>
    <xf numFmtId="0" fontId="30" fillId="5" borderId="7" xfId="3" applyFont="1" applyFill="1" applyBorder="1" applyAlignment="1" applyProtection="1">
      <alignment horizontal="left" vertical="top" wrapText="1" shrinkToFit="1"/>
      <protection hidden="1"/>
    </xf>
    <xf numFmtId="0" fontId="4" fillId="4" borderId="7" xfId="0" applyFont="1" applyFill="1" applyBorder="1" applyAlignment="1" applyProtection="1">
      <alignment horizontal="left" vertical="top" wrapText="1" shrinkToFit="1"/>
      <protection hidden="1"/>
    </xf>
    <xf numFmtId="0" fontId="30" fillId="4" borderId="7" xfId="3" applyFont="1" applyFill="1" applyBorder="1" applyAlignment="1" applyProtection="1">
      <alignment horizontal="left" vertical="top" wrapText="1" shrinkToFit="1"/>
      <protection hidden="1"/>
    </xf>
    <xf numFmtId="0" fontId="30" fillId="13" borderId="7" xfId="3" applyFont="1" applyFill="1" applyBorder="1" applyAlignment="1" applyProtection="1">
      <alignment horizontal="left" vertical="top" wrapText="1" shrinkToFit="1"/>
      <protection hidden="1"/>
    </xf>
    <xf numFmtId="0" fontId="4" fillId="14" borderId="7" xfId="0" applyFont="1" applyFill="1" applyBorder="1" applyAlignment="1" applyProtection="1">
      <alignment horizontal="left" vertical="top" wrapText="1" shrinkToFit="1"/>
      <protection hidden="1"/>
    </xf>
    <xf numFmtId="0" fontId="14" fillId="13" borderId="1" xfId="0" applyFont="1" applyFill="1" applyBorder="1" applyAlignment="1" applyProtection="1">
      <alignment vertical="top"/>
      <protection hidden="1"/>
    </xf>
    <xf numFmtId="0" fontId="14" fillId="13" borderId="4" xfId="0" applyFont="1" applyFill="1" applyBorder="1" applyAlignment="1" applyProtection="1">
      <alignment vertical="top"/>
      <protection hidden="1"/>
    </xf>
    <xf numFmtId="0" fontId="14" fillId="13" borderId="5" xfId="0" applyFont="1" applyFill="1" applyBorder="1" applyAlignment="1" applyProtection="1">
      <alignment vertical="top"/>
      <protection hidden="1"/>
    </xf>
    <xf numFmtId="0" fontId="14" fillId="13" borderId="6" xfId="0" applyFont="1" applyFill="1" applyBorder="1" applyAlignment="1" applyProtection="1">
      <alignment vertical="top"/>
      <protection hidden="1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vertical="top"/>
      <protection hidden="1"/>
    </xf>
    <xf numFmtId="0" fontId="4" fillId="5" borderId="0" xfId="0" applyFont="1" applyFill="1" applyAlignment="1" applyProtection="1">
      <alignment vertical="top"/>
      <protection hidden="1"/>
    </xf>
    <xf numFmtId="0" fontId="4" fillId="5" borderId="10" xfId="0" applyFont="1" applyFill="1" applyBorder="1" applyAlignment="1" applyProtection="1">
      <alignment horizontal="right" vertical="top"/>
      <protection hidden="1"/>
    </xf>
    <xf numFmtId="0" fontId="4" fillId="5" borderId="0" xfId="0" applyFont="1" applyFill="1" applyAlignment="1" applyProtection="1">
      <alignment horizontal="right" vertical="top"/>
      <protection hidden="1"/>
    </xf>
    <xf numFmtId="0" fontId="4" fillId="5" borderId="0" xfId="0" applyFont="1" applyFill="1" applyAlignment="1" applyProtection="1">
      <alignment vertical="top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19" fillId="12" borderId="0" xfId="0" applyFont="1" applyFill="1" applyAlignment="1" applyProtection="1">
      <alignment vertical="top"/>
      <protection hidden="1"/>
    </xf>
    <xf numFmtId="0" fontId="23" fillId="12" borderId="0" xfId="0" applyFont="1" applyFill="1" applyAlignment="1" applyProtection="1">
      <alignment horizontal="left" vertical="top" wrapText="1"/>
      <protection hidden="1"/>
    </xf>
    <xf numFmtId="0" fontId="37" fillId="0" borderId="0" xfId="0" applyFont="1" applyProtection="1"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11" fillId="2" borderId="19" xfId="0" applyFont="1" applyFill="1" applyBorder="1" applyAlignment="1" applyProtection="1">
      <alignment horizontal="left" vertical="top"/>
      <protection hidden="1"/>
    </xf>
    <xf numFmtId="0" fontId="11" fillId="4" borderId="19" xfId="0" applyFont="1" applyFill="1" applyBorder="1" applyAlignment="1" applyProtection="1">
      <alignment horizontal="left" vertical="top"/>
      <protection hidden="1"/>
    </xf>
    <xf numFmtId="0" fontId="11" fillId="4" borderId="21" xfId="0" applyFont="1" applyFill="1" applyBorder="1" applyAlignment="1" applyProtection="1">
      <alignment horizontal="left" vertical="top"/>
      <protection hidden="1"/>
    </xf>
    <xf numFmtId="49" fontId="4" fillId="6" borderId="28" xfId="0" applyNumberFormat="1" applyFont="1" applyFill="1" applyBorder="1" applyProtection="1">
      <protection locked="0"/>
    </xf>
    <xf numFmtId="2" fontId="4" fillId="6" borderId="28" xfId="0" applyNumberFormat="1" applyFont="1" applyFill="1" applyBorder="1" applyProtection="1">
      <protection locked="0"/>
    </xf>
    <xf numFmtId="14" fontId="4" fillId="6" borderId="28" xfId="0" applyNumberFormat="1" applyFont="1" applyFill="1" applyBorder="1" applyProtection="1">
      <protection locked="0"/>
    </xf>
    <xf numFmtId="20" fontId="4" fillId="6" borderId="28" xfId="0" applyNumberFormat="1" applyFont="1" applyFill="1" applyBorder="1" applyProtection="1">
      <protection locked="0"/>
    </xf>
    <xf numFmtId="165" fontId="4" fillId="6" borderId="28" xfId="0" applyNumberFormat="1" applyFont="1" applyFill="1" applyBorder="1" applyProtection="1">
      <protection locked="0"/>
    </xf>
    <xf numFmtId="49" fontId="4" fillId="6" borderId="29" xfId="0" applyNumberFormat="1" applyFont="1" applyFill="1" applyBorder="1" applyProtection="1">
      <protection locked="0"/>
    </xf>
    <xf numFmtId="49" fontId="4" fillId="0" borderId="30" xfId="0" applyNumberFormat="1" applyFont="1" applyBorder="1" applyProtection="1">
      <protection locked="0"/>
    </xf>
    <xf numFmtId="2" fontId="4" fillId="0" borderId="30" xfId="0" applyNumberFormat="1" applyFont="1" applyBorder="1" applyProtection="1">
      <protection locked="0"/>
    </xf>
    <xf numFmtId="14" fontId="4" fillId="0" borderId="30" xfId="0" applyNumberFormat="1" applyFont="1" applyBorder="1" applyProtection="1">
      <protection locked="0"/>
    </xf>
    <xf numFmtId="20" fontId="4" fillId="0" borderId="30" xfId="0" applyNumberFormat="1" applyFont="1" applyBorder="1" applyProtection="1">
      <protection locked="0"/>
    </xf>
    <xf numFmtId="165" fontId="4" fillId="0" borderId="30" xfId="0" applyNumberFormat="1" applyFont="1" applyBorder="1" applyProtection="1">
      <protection locked="0"/>
    </xf>
    <xf numFmtId="49" fontId="4" fillId="0" borderId="24" xfId="0" applyNumberFormat="1" applyFont="1" applyBorder="1" applyProtection="1">
      <protection locked="0"/>
    </xf>
    <xf numFmtId="49" fontId="4" fillId="6" borderId="25" xfId="0" applyNumberFormat="1" applyFont="1" applyFill="1" applyBorder="1" applyProtection="1">
      <protection locked="0"/>
    </xf>
    <xf numFmtId="49" fontId="4" fillId="6" borderId="30" xfId="0" applyNumberFormat="1" applyFont="1" applyFill="1" applyBorder="1" applyProtection="1">
      <protection locked="0"/>
    </xf>
    <xf numFmtId="2" fontId="4" fillId="6" borderId="30" xfId="0" applyNumberFormat="1" applyFont="1" applyFill="1" applyBorder="1" applyProtection="1">
      <protection locked="0"/>
    </xf>
    <xf numFmtId="14" fontId="4" fillId="6" borderId="30" xfId="0" applyNumberFormat="1" applyFont="1" applyFill="1" applyBorder="1" applyProtection="1">
      <protection locked="0"/>
    </xf>
    <xf numFmtId="20" fontId="4" fillId="6" borderId="30" xfId="0" applyNumberFormat="1" applyFont="1" applyFill="1" applyBorder="1" applyProtection="1">
      <protection locked="0"/>
    </xf>
    <xf numFmtId="165" fontId="4" fillId="6" borderId="30" xfId="0" applyNumberFormat="1" applyFont="1" applyFill="1" applyBorder="1" applyProtection="1">
      <protection locked="0"/>
    </xf>
    <xf numFmtId="49" fontId="4" fillId="6" borderId="24" xfId="0" applyNumberFormat="1" applyFont="1" applyFill="1" applyBorder="1" applyProtection="1">
      <protection locked="0"/>
    </xf>
    <xf numFmtId="49" fontId="4" fillId="0" borderId="25" xfId="0" applyNumberFormat="1" applyFont="1" applyBorder="1" applyProtection="1">
      <protection locked="0"/>
    </xf>
    <xf numFmtId="49" fontId="4" fillId="6" borderId="23" xfId="0" applyNumberFormat="1" applyFont="1" applyFill="1" applyBorder="1" applyProtection="1">
      <protection locked="0"/>
    </xf>
    <xf numFmtId="49" fontId="4" fillId="6" borderId="22" xfId="0" applyNumberFormat="1" applyFont="1" applyFill="1" applyBorder="1" applyProtection="1">
      <protection locked="0"/>
    </xf>
    <xf numFmtId="2" fontId="4" fillId="6" borderId="22" xfId="0" applyNumberFormat="1" applyFont="1" applyFill="1" applyBorder="1" applyProtection="1">
      <protection locked="0"/>
    </xf>
    <xf numFmtId="14" fontId="4" fillId="6" borderId="22" xfId="0" applyNumberFormat="1" applyFont="1" applyFill="1" applyBorder="1" applyProtection="1">
      <protection locked="0"/>
    </xf>
    <xf numFmtId="20" fontId="4" fillId="6" borderId="22" xfId="0" applyNumberFormat="1" applyFont="1" applyFill="1" applyBorder="1" applyProtection="1">
      <protection locked="0"/>
    </xf>
    <xf numFmtId="165" fontId="4" fillId="6" borderId="22" xfId="0" applyNumberFormat="1" applyFont="1" applyFill="1" applyBorder="1" applyProtection="1">
      <protection locked="0"/>
    </xf>
    <xf numFmtId="49" fontId="4" fillId="6" borderId="16" xfId="0" applyNumberFormat="1" applyFont="1" applyFill="1" applyBorder="1" applyProtection="1">
      <protection locked="0"/>
    </xf>
    <xf numFmtId="0" fontId="4" fillId="12" borderId="0" xfId="0" applyFont="1" applyFill="1" applyProtection="1">
      <protection hidden="1"/>
    </xf>
    <xf numFmtId="0" fontId="4" fillId="4" borderId="7" xfId="0" applyFont="1" applyFill="1" applyBorder="1" applyAlignment="1" applyProtection="1">
      <alignment wrapText="1"/>
      <protection hidden="1"/>
    </xf>
    <xf numFmtId="0" fontId="30" fillId="4" borderId="7" xfId="3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8" xfId="0" applyFont="1" applyBorder="1" applyAlignment="1">
      <alignment vertical="top"/>
    </xf>
    <xf numFmtId="0" fontId="5" fillId="0" borderId="20" xfId="0" applyFont="1" applyBorder="1" applyAlignment="1">
      <alignment vertical="top" wrapText="1"/>
    </xf>
    <xf numFmtId="0" fontId="5" fillId="0" borderId="20" xfId="0" applyFont="1" applyBorder="1" applyAlignment="1">
      <alignment vertical="top"/>
    </xf>
    <xf numFmtId="0" fontId="15" fillId="7" borderId="0" xfId="0" applyFont="1" applyFill="1" applyAlignment="1">
      <alignment vertical="top"/>
    </xf>
    <xf numFmtId="0" fontId="15" fillId="7" borderId="0" xfId="0" applyFont="1" applyFill="1" applyAlignment="1">
      <alignment vertical="top" wrapText="1"/>
    </xf>
    <xf numFmtId="14" fontId="4" fillId="3" borderId="0" xfId="0" applyNumberFormat="1" applyFont="1" applyFill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vertical="top" wrapText="1" shrinkToFit="1"/>
    </xf>
    <xf numFmtId="0" fontId="38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3" fillId="0" borderId="0" xfId="0" applyFont="1" applyProtection="1">
      <protection hidden="1"/>
    </xf>
    <xf numFmtId="0" fontId="13" fillId="0" borderId="5" xfId="0" applyFont="1" applyBorder="1" applyProtection="1">
      <protection hidden="1"/>
    </xf>
    <xf numFmtId="0" fontId="4" fillId="14" borderId="13" xfId="0" applyFont="1" applyFill="1" applyBorder="1" applyAlignment="1" applyProtection="1">
      <alignment horizontal="left" vertical="center" wrapText="1"/>
      <protection hidden="1"/>
    </xf>
    <xf numFmtId="0" fontId="4" fillId="14" borderId="14" xfId="0" applyFont="1" applyFill="1" applyBorder="1" applyAlignment="1" applyProtection="1">
      <alignment horizontal="left" vertical="center" wrapText="1"/>
      <protection hidden="1"/>
    </xf>
    <xf numFmtId="0" fontId="4" fillId="4" borderId="13" xfId="0" applyFont="1" applyFill="1" applyBorder="1" applyAlignment="1" applyProtection="1">
      <alignment horizontal="left" vertical="center" wrapText="1"/>
      <protection hidden="1"/>
    </xf>
    <xf numFmtId="0" fontId="4" fillId="4" borderId="14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left" vertical="top"/>
      <protection hidden="1"/>
    </xf>
    <xf numFmtId="0" fontId="11" fillId="2" borderId="2" xfId="0" applyFont="1" applyFill="1" applyBorder="1" applyAlignment="1" applyProtection="1">
      <alignment horizontal="left" vertical="top"/>
      <protection hidden="1"/>
    </xf>
    <xf numFmtId="0" fontId="11" fillId="2" borderId="3" xfId="0" applyFont="1" applyFill="1" applyBorder="1" applyAlignment="1" applyProtection="1">
      <alignment horizontal="left" vertical="top"/>
      <protection hidden="1"/>
    </xf>
    <xf numFmtId="0" fontId="11" fillId="2" borderId="4" xfId="0" applyFont="1" applyFill="1" applyBorder="1" applyAlignment="1" applyProtection="1">
      <alignment horizontal="left" vertical="top"/>
      <protection hidden="1"/>
    </xf>
    <xf numFmtId="0" fontId="11" fillId="2" borderId="5" xfId="0" applyFont="1" applyFill="1" applyBorder="1" applyAlignment="1" applyProtection="1">
      <alignment horizontal="left" vertical="top"/>
      <protection hidden="1"/>
    </xf>
    <xf numFmtId="0" fontId="11" fillId="2" borderId="6" xfId="0" applyFont="1" applyFill="1" applyBorder="1" applyAlignment="1" applyProtection="1">
      <alignment horizontal="left" vertical="top"/>
      <protection hidden="1"/>
    </xf>
    <xf numFmtId="0" fontId="22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30" fillId="2" borderId="13" xfId="3" applyFont="1" applyFill="1" applyBorder="1" applyAlignment="1" applyProtection="1">
      <alignment horizontal="left" vertical="center" wrapText="1"/>
      <protection hidden="1"/>
    </xf>
    <xf numFmtId="0" fontId="30" fillId="2" borderId="14" xfId="3" applyFont="1" applyFill="1" applyBorder="1" applyAlignment="1" applyProtection="1">
      <alignment horizontal="left" vertical="center" wrapText="1"/>
      <protection hidden="1"/>
    </xf>
    <xf numFmtId="0" fontId="30" fillId="4" borderId="8" xfId="3" applyFont="1" applyFill="1" applyBorder="1" applyAlignment="1" applyProtection="1">
      <alignment horizontal="center" vertical="center" wrapText="1"/>
      <protection hidden="1"/>
    </xf>
    <xf numFmtId="0" fontId="30" fillId="4" borderId="9" xfId="3" applyFont="1" applyFill="1" applyBorder="1" applyAlignment="1" applyProtection="1">
      <alignment horizontal="center" vertical="center" wrapText="1"/>
      <protection hidden="1"/>
    </xf>
    <xf numFmtId="0" fontId="30" fillId="4" borderId="12" xfId="3" applyFont="1" applyFill="1" applyBorder="1" applyAlignment="1" applyProtection="1">
      <alignment horizontal="center" vertical="center" wrapText="1"/>
      <protection hidden="1"/>
    </xf>
    <xf numFmtId="0" fontId="30" fillId="13" borderId="13" xfId="3" applyFont="1" applyFill="1" applyBorder="1" applyAlignment="1" applyProtection="1">
      <alignment horizontal="left" vertical="center" wrapText="1"/>
      <protection hidden="1"/>
    </xf>
    <xf numFmtId="0" fontId="30" fillId="13" borderId="14" xfId="3" applyFont="1" applyFill="1" applyBorder="1" applyAlignment="1" applyProtection="1">
      <alignment horizontal="left" vertical="center" wrapText="1"/>
      <protection hidden="1"/>
    </xf>
    <xf numFmtId="0" fontId="30" fillId="4" borderId="13" xfId="3" applyFont="1" applyFill="1" applyBorder="1" applyAlignment="1" applyProtection="1">
      <alignment horizontal="left" vertical="center" wrapText="1"/>
      <protection hidden="1"/>
    </xf>
    <xf numFmtId="0" fontId="30" fillId="4" borderId="14" xfId="3" applyFont="1" applyFill="1" applyBorder="1" applyAlignment="1" applyProtection="1">
      <alignment horizontal="left" vertical="center" wrapText="1"/>
      <protection hidden="1"/>
    </xf>
    <xf numFmtId="0" fontId="16" fillId="8" borderId="1" xfId="0" applyFont="1" applyFill="1" applyBorder="1" applyAlignment="1" applyProtection="1">
      <alignment horizontal="center" vertical="center"/>
      <protection hidden="1"/>
    </xf>
    <xf numFmtId="0" fontId="16" fillId="8" borderId="4" xfId="0" applyFont="1" applyFill="1" applyBorder="1" applyAlignment="1" applyProtection="1">
      <alignment horizontal="center" vertical="center"/>
      <protection hidden="1"/>
    </xf>
    <xf numFmtId="0" fontId="17" fillId="5" borderId="2" xfId="0" applyFont="1" applyFill="1" applyBorder="1" applyAlignment="1" applyProtection="1">
      <alignment horizontal="center" vertical="top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18" fillId="5" borderId="5" xfId="0" applyFont="1" applyFill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hidden="1"/>
    </xf>
    <xf numFmtId="0" fontId="23" fillId="5" borderId="1" xfId="0" applyFont="1" applyFill="1" applyBorder="1" applyAlignment="1" applyProtection="1">
      <alignment vertical="top"/>
      <protection hidden="1"/>
    </xf>
    <xf numFmtId="0" fontId="23" fillId="5" borderId="2" xfId="0" applyFont="1" applyFill="1" applyBorder="1" applyAlignment="1" applyProtection="1">
      <alignment vertical="top"/>
      <protection hidden="1"/>
    </xf>
    <xf numFmtId="0" fontId="25" fillId="5" borderId="1" xfId="0" applyFont="1" applyFill="1" applyBorder="1" applyAlignment="1" applyProtection="1">
      <alignment vertical="top"/>
      <protection hidden="1"/>
    </xf>
    <xf numFmtId="0" fontId="25" fillId="5" borderId="2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vertical="top"/>
      <protection hidden="1"/>
    </xf>
    <xf numFmtId="0" fontId="4" fillId="5" borderId="0" xfId="0" applyFont="1" applyFill="1" applyAlignment="1" applyProtection="1">
      <alignment vertical="top"/>
      <protection hidden="1"/>
    </xf>
    <xf numFmtId="164" fontId="22" fillId="5" borderId="17" xfId="0" applyNumberFormat="1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right" vertical="top"/>
      <protection hidden="1"/>
    </xf>
    <xf numFmtId="0" fontId="4" fillId="5" borderId="0" xfId="0" applyFont="1" applyFill="1" applyAlignment="1" applyProtection="1">
      <alignment horizontal="right" vertical="top"/>
      <protection hidden="1"/>
    </xf>
    <xf numFmtId="0" fontId="29" fillId="2" borderId="4" xfId="0" applyFont="1" applyFill="1" applyBorder="1" applyAlignment="1" applyProtection="1">
      <alignment horizontal="center" vertical="top"/>
      <protection hidden="1"/>
    </xf>
    <xf numFmtId="0" fontId="29" fillId="2" borderId="5" xfId="0" applyFont="1" applyFill="1" applyBorder="1" applyAlignment="1" applyProtection="1">
      <alignment horizontal="center" vertical="top"/>
      <protection hidden="1"/>
    </xf>
    <xf numFmtId="0" fontId="4" fillId="5" borderId="0" xfId="0" applyFont="1" applyFill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2" fillId="2" borderId="13" xfId="0" applyFont="1" applyFill="1" applyBorder="1" applyAlignment="1" applyProtection="1">
      <alignment horizontal="left" vertical="center" wrapText="1"/>
      <protection hidden="1"/>
    </xf>
    <xf numFmtId="0" fontId="22" fillId="2" borderId="14" xfId="0" applyFont="1" applyFill="1" applyBorder="1" applyAlignment="1" applyProtection="1">
      <alignment horizontal="left" vertical="center" wrapText="1"/>
      <protection hidden="1"/>
    </xf>
    <xf numFmtId="0" fontId="34" fillId="8" borderId="9" xfId="0" applyFont="1" applyFill="1" applyBorder="1" applyAlignment="1" applyProtection="1">
      <alignment horizontal="left" vertical="top"/>
      <protection hidden="1"/>
    </xf>
    <xf numFmtId="49" fontId="27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hidden="1"/>
    </xf>
    <xf numFmtId="0" fontId="1" fillId="15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35" fillId="0" borderId="5" xfId="0" applyFont="1" applyBorder="1" applyAlignment="1" applyProtection="1">
      <alignment horizontal="left"/>
      <protection hidden="1"/>
    </xf>
    <xf numFmtId="0" fontId="14" fillId="0" borderId="1" xfId="0" applyFont="1" applyBorder="1" applyAlignment="1" applyProtection="1">
      <alignment horizontal="center" vertical="center" textRotation="90" wrapText="1"/>
      <protection hidden="1"/>
    </xf>
    <xf numFmtId="0" fontId="14" fillId="0" borderId="10" xfId="0" applyFont="1" applyBorder="1" applyAlignment="1" applyProtection="1">
      <alignment horizontal="center" vertical="center" textRotation="90" wrapText="1"/>
      <protection hidden="1"/>
    </xf>
    <xf numFmtId="0" fontId="14" fillId="0" borderId="4" xfId="0" applyFont="1" applyBorder="1" applyAlignment="1" applyProtection="1">
      <alignment horizontal="center" vertical="center" textRotation="90" wrapText="1"/>
      <protection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22" fillId="4" borderId="10" xfId="0" applyFont="1" applyFill="1" applyBorder="1" applyAlignment="1" applyProtection="1">
      <alignment horizontal="center" vertical="center" wrapText="1"/>
      <protection hidden="1"/>
    </xf>
    <xf numFmtId="0" fontId="22" fillId="4" borderId="4" xfId="0" applyFont="1" applyFill="1" applyBorder="1" applyAlignment="1" applyProtection="1">
      <alignment horizontal="center" vertical="center" wrapText="1"/>
      <protection hidden="1"/>
    </xf>
    <xf numFmtId="0" fontId="30" fillId="4" borderId="1" xfId="3" applyFont="1" applyFill="1" applyBorder="1" applyAlignment="1" applyProtection="1">
      <alignment horizontal="center" vertical="center" wrapText="1"/>
      <protection hidden="1"/>
    </xf>
    <xf numFmtId="0" fontId="30" fillId="4" borderId="10" xfId="3" applyFont="1" applyFill="1" applyBorder="1" applyAlignment="1" applyProtection="1">
      <alignment horizontal="center" vertical="center" wrapText="1"/>
      <protection hidden="1"/>
    </xf>
    <xf numFmtId="0" fontId="30" fillId="4" borderId="4" xfId="3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4" fillId="4" borderId="1" xfId="3" applyFont="1" applyFill="1" applyBorder="1" applyAlignment="1" applyProtection="1">
      <alignment horizontal="center" vertical="center" wrapText="1"/>
      <protection hidden="1"/>
    </xf>
    <xf numFmtId="0" fontId="4" fillId="4" borderId="10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0" fontId="22" fillId="13" borderId="1" xfId="0" applyFont="1" applyFill="1" applyBorder="1" applyAlignment="1" applyProtection="1">
      <alignment horizontal="center" vertical="center" wrapText="1"/>
      <protection hidden="1"/>
    </xf>
    <xf numFmtId="0" fontId="22" fillId="13" borderId="2" xfId="0" applyFont="1" applyFill="1" applyBorder="1" applyAlignment="1" applyProtection="1">
      <alignment horizontal="center" vertical="center" wrapText="1"/>
      <protection hidden="1"/>
    </xf>
    <xf numFmtId="0" fontId="22" fillId="13" borderId="10" xfId="0" applyFont="1" applyFill="1" applyBorder="1" applyAlignment="1" applyProtection="1">
      <alignment horizontal="center" vertical="center" wrapText="1"/>
      <protection hidden="1"/>
    </xf>
    <xf numFmtId="0" fontId="22" fillId="13" borderId="0" xfId="0" applyFont="1" applyFill="1" applyAlignment="1" applyProtection="1">
      <alignment horizontal="center" vertical="center" wrapText="1"/>
      <protection hidden="1"/>
    </xf>
    <xf numFmtId="0" fontId="22" fillId="13" borderId="4" xfId="0" applyFont="1" applyFill="1" applyBorder="1" applyAlignment="1" applyProtection="1">
      <alignment horizontal="center" vertical="center" wrapText="1"/>
      <protection hidden="1"/>
    </xf>
    <xf numFmtId="0" fontId="22" fillId="13" borderId="5" xfId="0" applyFont="1" applyFill="1" applyBorder="1" applyAlignment="1" applyProtection="1">
      <alignment horizontal="center" vertical="center" wrapText="1"/>
      <protection hidden="1"/>
    </xf>
    <xf numFmtId="0" fontId="22" fillId="12" borderId="0" xfId="0" applyFont="1" applyFill="1" applyAlignment="1" applyProtection="1">
      <alignment vertical="top"/>
      <protection hidden="1"/>
    </xf>
    <xf numFmtId="0" fontId="19" fillId="12" borderId="5" xfId="0" applyFont="1" applyFill="1" applyBorder="1" applyAlignment="1" applyProtection="1">
      <alignment vertical="top" wrapText="1"/>
      <protection hidden="1"/>
    </xf>
    <xf numFmtId="0" fontId="33" fillId="11" borderId="0" xfId="0" applyFont="1" applyFill="1" applyAlignment="1" applyProtection="1">
      <alignment vertical="top"/>
      <protection hidden="1"/>
    </xf>
    <xf numFmtId="0" fontId="19" fillId="12" borderId="0" xfId="0" applyFont="1" applyFill="1" applyAlignment="1" applyProtection="1">
      <alignment vertical="top"/>
      <protection hidden="1"/>
    </xf>
    <xf numFmtId="0" fontId="14" fillId="0" borderId="13" xfId="0" applyFont="1" applyBorder="1" applyAlignment="1" applyProtection="1">
      <alignment horizontal="center" vertical="center" textRotation="90" wrapText="1"/>
      <protection hidden="1"/>
    </xf>
    <xf numFmtId="0" fontId="14" fillId="0" borderId="17" xfId="0" applyFont="1" applyBorder="1" applyAlignment="1" applyProtection="1">
      <alignment horizontal="center" vertical="center" textRotation="90" wrapText="1"/>
      <protection hidden="1"/>
    </xf>
    <xf numFmtId="0" fontId="14" fillId="0" borderId="14" xfId="0" applyFont="1" applyBorder="1" applyAlignment="1" applyProtection="1">
      <alignment horizontal="center" vertical="center" textRotation="90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22" fillId="5" borderId="1" xfId="0" applyFont="1" applyFill="1" applyBorder="1" applyAlignment="1" applyProtection="1">
      <alignment horizontal="center" vertical="center" wrapText="1"/>
      <protection hidden="1"/>
    </xf>
    <xf numFmtId="0" fontId="22" fillId="5" borderId="2" xfId="0" applyFont="1" applyFill="1" applyBorder="1" applyAlignment="1" applyProtection="1">
      <alignment horizontal="center" vertical="center" wrapText="1"/>
      <protection hidden="1"/>
    </xf>
    <xf numFmtId="0" fontId="22" fillId="5" borderId="10" xfId="0" applyFont="1" applyFill="1" applyBorder="1" applyAlignment="1" applyProtection="1">
      <alignment horizontal="center" vertical="center" wrapText="1"/>
      <protection hidden="1"/>
    </xf>
    <xf numFmtId="0" fontId="22" fillId="5" borderId="0" xfId="0" applyFont="1" applyFill="1" applyAlignment="1" applyProtection="1">
      <alignment horizontal="center" vertical="center" wrapText="1"/>
      <protection hidden="1"/>
    </xf>
    <xf numFmtId="0" fontId="22" fillId="5" borderId="4" xfId="0" applyFont="1" applyFill="1" applyBorder="1" applyAlignment="1" applyProtection="1">
      <alignment horizontal="center" vertical="center" wrapText="1"/>
      <protection hidden="1"/>
    </xf>
    <xf numFmtId="0" fontId="19" fillId="9" borderId="0" xfId="0" applyFont="1" applyFill="1" applyAlignment="1" applyProtection="1">
      <alignment horizontal="left" vertical="top"/>
      <protection hidden="1"/>
    </xf>
    <xf numFmtId="0" fontId="0" fillId="0" borderId="0" xfId="0" applyAlignment="1">
      <alignment horizontal="left" vertical="top"/>
    </xf>
  </cellXfs>
  <cellStyles count="5">
    <cellStyle name="Hyperlink" xfId="3" builtinId="8"/>
    <cellStyle name="Normal" xfId="0" builtinId="0"/>
    <cellStyle name="Normal 2" xfId="1" xr:uid="{00000000-0005-0000-0000-000002000000}"/>
    <cellStyle name="Normal_codes" xfId="2" xr:uid="{00000000-0005-0000-0000-000003000000}"/>
    <cellStyle name="Normal_codes_1" xfId="4" xr:uid="{3F038119-F08D-4A58-AD30-CF012BD6BE81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7" tint="0.39997558519241921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theme="7"/>
          <bgColor theme="7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5" formatCode="0.00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5" formatCode="0.00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5" formatCode="h:mm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6" formatCode="yyyy/mm/dd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 style="thin">
          <color theme="6"/>
        </right>
        <top style="thin">
          <color theme="6"/>
        </top>
        <bottom style="thin">
          <color theme="6"/>
        </bottom>
      </border>
      <protection locked="0" hidden="0"/>
    </dxf>
    <dxf>
      <border outline="0">
        <left style="thin">
          <color theme="6"/>
        </left>
        <top style="thin">
          <color theme="6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0" indent="0" justifyLastLine="0" shrinkToFit="0" readingOrder="0"/>
      <protection locked="1" hidden="1"/>
    </dxf>
  </dxfs>
  <tableStyles count="0" defaultTableStyle="TableStyleMedium9" defaultPivotStyle="PivotStyleLight16"/>
  <colors>
    <mruColors>
      <color rgb="FFBEE39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F1785A-D363-46B8-9A94-56651F7CA439}" name="tblLstGear" displayName="tblLstGear" ref="A25:T48" totalsRowShown="0" headerRowDxfId="37" dataDxfId="36" tableBorderDxfId="35">
  <autoFilter ref="A25:T48" xr:uid="{3A2D3568-3B02-415F-9239-4EB8E6E4AE6F}"/>
  <tableColumns count="20">
    <tableColumn id="1" xr3:uid="{EB6A68FE-2EAE-4A2C-9C9A-27159672A149}" name="ICCATSerialNo" dataDxfId="34"/>
    <tableColumn id="2" xr3:uid="{13D5A14F-B438-4825-B354-8DD37DB6EE69}" name="IMONo" dataDxfId="33"/>
    <tableColumn id="3" xr3:uid="{57924074-7DC5-4EB0-8BAE-3839120379FE}" name="IRCS" dataDxfId="32"/>
    <tableColumn id="4" xr3:uid="{52E8D4F6-EC8A-44FE-A030-FFAB0BD675CA}" name="VesselName" dataDxfId="31"/>
    <tableColumn id="5" xr3:uid="{681B8DE4-76E5-4A4E-A70E-6A052B9ED34B}" name="FlagCd" dataDxfId="30"/>
    <tableColumn id="6" xr3:uid="{E8527C8F-E622-4566-AEA9-0D5BE69A19C3}" name="GearMark" dataDxfId="29"/>
    <tableColumn id="7" xr3:uid="{34886439-2DE8-404A-B95C-21C73BFC6F50}" name="GearCd" dataDxfId="28"/>
    <tableColumn id="8" xr3:uid="{2CD4D85B-087C-40FE-85D1-A3A344BAC1BF}" name="GearUnit" dataDxfId="27"/>
    <tableColumn id="9" xr3:uid="{339C2DAA-1255-4CD7-BE8C-51819A7BDA7C}" name="GearQty" dataDxfId="26"/>
    <tableColumn id="10" xr3:uid="{5CDFCC4E-01FF-4D5B-8806-B2D8B0C032B9}" name="GearSz" dataDxfId="25"/>
    <tableColumn id="11" xr3:uid="{41F1ECFF-D6D7-4EEC-B73A-F812144010DB}" name="NetSzN" dataDxfId="24"/>
    <tableColumn id="12" xr3:uid="{A7831B1A-BA53-4FE6-B1D6-18FB33BA3015}" name="NetSzT" dataDxfId="23"/>
    <tableColumn id="13" xr3:uid="{4E2EEABA-DE08-46E5-9C9A-35BCC3F0F3F2}" name="NetMeshSz" dataDxfId="22"/>
    <tableColumn id="14" xr3:uid="{CFFF9670-9E50-4DE5-99C9-0C8DE1054164}" name="LostDate" dataDxfId="21"/>
    <tableColumn id="15" xr3:uid="{DA03501B-312D-4A38-A51F-0C25A1212B05}" name="LostTime" dataDxfId="20"/>
    <tableColumn id="16" xr3:uid="{90780532-058F-4803-9B68-1F49188C11FB}" name="LostLat" dataDxfId="19"/>
    <tableColumn id="17" xr3:uid="{15F65F9D-CC9B-45FB-AED6-ABFAFC3E382F}" name="LostLon" dataDxfId="18"/>
    <tableColumn id="18" xr3:uid="{DEF77272-63F4-4EA0-97E7-FD6E93E1053A}" name="RetrvlMeasures" dataDxfId="17"/>
    <tableColumn id="19" xr3:uid="{3ADA9D59-FF75-4353-A99E-C2C89DD14AE8}" name="RetrvlFail" dataDxfId="16"/>
    <tableColumn id="22" xr3:uid="{1BD98A83-02B1-4139-B8A2-0FFECBA30827}" name="AddInfo" data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FDE83D-3BB4-49E2-8F9E-51E1FA2C8DB6}" name="tblTranslation" displayName="tblTranslation" ref="A4:L69" totalsRowShown="0" headerRowDxfId="14" dataDxfId="13" tableBorderDxfId="12">
  <autoFilter ref="A4:L69" xr:uid="{59462A6F-4ADB-4AE3-93EF-84ACF8E75A8B}"/>
  <tableColumns count="12">
    <tableColumn id="1" xr3:uid="{C323F491-F7E1-4D3F-8AC3-7DAB1CC51D53}" name="FieldID" dataDxfId="11"/>
    <tableColumn id="2" xr3:uid="{A50A06DC-DDDC-4389-A7BA-1DCC01CC4245}" name="Order" dataDxfId="10"/>
    <tableColumn id="3" xr3:uid="{8BBE0079-A770-40A6-8CDC-9DE327E8A2CD}" name="Subform" dataDxfId="9"/>
    <tableColumn id="4" xr3:uid="{A8AF0792-7CBD-44C9-B90F-FE2E48116337}" name="Section" dataDxfId="8"/>
    <tableColumn id="5" xr3:uid="{30C99DE8-D9B7-401A-934E-1B1AAC8974B8}" name="Item" dataDxfId="7"/>
    <tableColumn id="6" xr3:uid="{676AB294-98CB-4FA0-80E4-B7736010FBD4}" name="FieldType" dataDxfId="6"/>
    <tableColumn id="7" xr3:uid="{8600B6D8-4AB6-4186-9F53-7E58BA17C2CE}" name="FldNameEN" dataDxfId="5"/>
    <tableColumn id="8" xr3:uid="{7568BB6B-B7E2-47E7-B096-D992C1266AE2}" name="FldNameFR" dataDxfId="4"/>
    <tableColumn id="9" xr3:uid="{04D847EF-BF27-419B-BA93-3617DE4481E6}" name="FldNameES" dataDxfId="3"/>
    <tableColumn id="10" xr3:uid="{C2CB9498-96B2-49A3-A65B-A905CCD9E1CE}" name="fldDescEN" dataDxfId="2"/>
    <tableColumn id="11" xr3:uid="{DDCCD889-ED96-4927-9C63-4E7442B55EA5}" name="fldDescFR" dataDxfId="1"/>
    <tableColumn id="12" xr3:uid="{2F3A39EE-65B4-4601-99E8-2AE472472CEB}" name="fldDescE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8"/>
  <sheetViews>
    <sheetView tabSelected="1" zoomScale="90" zoomScaleNormal="90" workbookViewId="0">
      <selection activeCell="G15" sqref="G15"/>
    </sheetView>
  </sheetViews>
  <sheetFormatPr defaultColWidth="23" defaultRowHeight="13.8" x14ac:dyDescent="0.3"/>
  <cols>
    <col min="1" max="1" width="16.5546875" style="6" customWidth="1"/>
    <col min="2" max="2" width="9.109375" style="6" customWidth="1"/>
    <col min="3" max="3" width="7.6640625" style="6" customWidth="1"/>
    <col min="4" max="4" width="17.6640625" style="6" customWidth="1"/>
    <col min="5" max="5" width="11.5546875" style="6" customWidth="1"/>
    <col min="6" max="6" width="11.44140625" style="6" customWidth="1"/>
    <col min="7" max="7" width="9.88671875" style="6" customWidth="1"/>
    <col min="8" max="8" width="11.44140625" style="6" customWidth="1"/>
    <col min="9" max="9" width="11" style="6" customWidth="1"/>
    <col min="10" max="10" width="9.88671875" style="6" customWidth="1"/>
    <col min="11" max="13" width="13.88671875" style="6" customWidth="1"/>
    <col min="14" max="15" width="11.6640625" style="6" customWidth="1"/>
    <col min="16" max="17" width="10.109375" style="6" customWidth="1"/>
    <col min="18" max="19" width="19.33203125" style="6" customWidth="1"/>
    <col min="20" max="20" width="22.33203125" style="6" customWidth="1"/>
    <col min="21" max="16384" width="23" style="6"/>
  </cols>
  <sheetData>
    <row r="1" spans="1:15" s="2" customFormat="1" ht="21" x14ac:dyDescent="0.3">
      <c r="A1" s="187" t="str">
        <f>VLOOKUP("T00",tblTranslation[],LangFieldID,FALSE)</f>
        <v>CP51-ALDFG</v>
      </c>
      <c r="B1" s="189" t="str">
        <f>VLOOKUP("T00",tblTranslation[],LangNameID,FALSE)</f>
        <v>ABANDONED, LOST OR OTHERWISE DISCARDED FISHING GEAR NOT RETRIEVED</v>
      </c>
      <c r="C1" s="189"/>
      <c r="D1" s="189"/>
      <c r="E1" s="189"/>
      <c r="F1" s="189"/>
      <c r="G1" s="189"/>
      <c r="H1" s="189"/>
      <c r="I1" s="189"/>
      <c r="J1" s="190"/>
      <c r="K1" s="190"/>
      <c r="L1" s="190"/>
      <c r="M1" s="190"/>
      <c r="N1" s="29" t="str">
        <f>VLOOKUP("tVersion",tblTranslation[],LangFieldID,FALSE)</f>
        <v>Version</v>
      </c>
      <c r="O1" s="30" t="str">
        <f>VLOOKUP("tLang",tblTranslation[],LangFieldID,FALSE)</f>
        <v>Language</v>
      </c>
    </row>
    <row r="2" spans="1:15" s="2" customFormat="1" ht="11.25" customHeight="1" x14ac:dyDescent="0.3">
      <c r="A2" s="188"/>
      <c r="B2" s="191" t="str">
        <f>VLOOKUP("T02",tblTranslation[],LangFieldID,FALSE)&amp;": "&amp; VLOOKUP("T02",tblTranslation[],LangNameID,FALSE)</f>
        <v>ICCAT: INTERNATIONAL COMMISSION FOR THE CONSERVATION OF ATLANTIC TUNAS</v>
      </c>
      <c r="C2" s="191"/>
      <c r="D2" s="191"/>
      <c r="E2" s="191"/>
      <c r="F2" s="191"/>
      <c r="G2" s="191"/>
      <c r="H2" s="191"/>
      <c r="I2" s="191"/>
      <c r="J2" s="192"/>
      <c r="K2" s="192"/>
      <c r="L2" s="192"/>
      <c r="M2" s="192"/>
      <c r="N2" s="25" t="s">
        <v>985</v>
      </c>
      <c r="O2" s="1" t="s">
        <v>894</v>
      </c>
    </row>
    <row r="3" spans="1:15" s="2" customFormat="1" ht="11.25" customHeight="1" x14ac:dyDescent="0.3">
      <c r="A3" s="4"/>
      <c r="B3" s="4"/>
      <c r="C3" s="4"/>
      <c r="D3" s="4"/>
      <c r="E3" s="5"/>
      <c r="F3" s="5"/>
      <c r="G3" s="5"/>
      <c r="H3" s="5"/>
      <c r="I3" s="5"/>
      <c r="J3" s="5"/>
      <c r="K3" s="3"/>
      <c r="L3" s="4"/>
    </row>
    <row r="4" spans="1:15" s="2" customFormat="1" ht="11.25" customHeight="1" x14ac:dyDescent="0.3">
      <c r="A4" s="193" t="str">
        <f>VLOOKUP("H10",tblTranslation[],LangFieldID,FALSE)</f>
        <v>Flag Correspondent</v>
      </c>
      <c r="B4" s="194"/>
      <c r="C4" s="194"/>
      <c r="D4" s="194"/>
      <c r="E4" s="194"/>
      <c r="F4" s="194"/>
      <c r="G4" s="194"/>
      <c r="H4" s="194"/>
      <c r="I4" s="13" t="str">
        <f>IF(AND(B5&gt;0,B6&gt;0,B7&gt;0,G5&gt;0,G6&gt;0), "ok", "inc")</f>
        <v>inc</v>
      </c>
      <c r="J4" s="195" t="str">
        <f>VLOOKUP("H20",tblTranslation[],LangFieldID,FALSE)</f>
        <v>Secretariat use only</v>
      </c>
      <c r="K4" s="196"/>
      <c r="L4" s="196"/>
      <c r="M4" s="196"/>
      <c r="N4" s="196"/>
      <c r="O4" s="14" t="s">
        <v>504</v>
      </c>
    </row>
    <row r="5" spans="1:15" s="2" customFormat="1" ht="11.25" customHeight="1" x14ac:dyDescent="0.3">
      <c r="A5" s="105" t="str">
        <f>VLOOKUP("hPerson",tblTranslation[],LangFieldID,FALSE)</f>
        <v>Name</v>
      </c>
      <c r="B5" s="199"/>
      <c r="C5" s="199"/>
      <c r="D5" s="199"/>
      <c r="E5" s="26"/>
      <c r="F5" s="106" t="str">
        <f>VLOOKUP("hEmail",tblTranslation[],LangFieldID,FALSE)</f>
        <v>Email</v>
      </c>
      <c r="G5" s="212"/>
      <c r="H5" s="212"/>
      <c r="I5" s="18"/>
      <c r="J5" s="203" t="str">
        <f>VLOOKUP("hDateRep",tblTranslation[],LangFieldID,FALSE)</f>
        <v>Date reported</v>
      </c>
      <c r="K5" s="204"/>
      <c r="L5" s="155"/>
      <c r="M5" s="27"/>
      <c r="N5" s="104"/>
      <c r="O5" s="202" t="s">
        <v>505</v>
      </c>
    </row>
    <row r="6" spans="1:15" s="2" customFormat="1" ht="11.25" customHeight="1" x14ac:dyDescent="0.3">
      <c r="A6" s="105" t="str">
        <f>VLOOKUP("hAgency",tblTranslation[],LangFieldID,FALSE)</f>
        <v>Reporting Agency</v>
      </c>
      <c r="B6" s="199"/>
      <c r="C6" s="199"/>
      <c r="D6" s="199"/>
      <c r="E6" s="199"/>
      <c r="F6" s="106" t="str">
        <f>VLOOKUP("hPhone",tblTranslation[],LangFieldID,FALSE)</f>
        <v>Phone</v>
      </c>
      <c r="G6" s="102"/>
      <c r="H6" s="26"/>
      <c r="I6" s="18"/>
      <c r="J6" s="203" t="str">
        <f>VLOOKUP("hRef",tblTranslation[],LangFieldID,FALSE)</f>
        <v>Reference Nº</v>
      </c>
      <c r="K6" s="204"/>
      <c r="L6" s="156"/>
      <c r="M6" s="27"/>
      <c r="N6" s="19"/>
      <c r="O6" s="202"/>
    </row>
    <row r="7" spans="1:15" s="2" customFormat="1" ht="11.25" customHeight="1" x14ac:dyDescent="0.3">
      <c r="A7" s="105" t="str">
        <f>VLOOKUP("hAddress",tblTranslation[],LangFieldID,FALSE)</f>
        <v>Address</v>
      </c>
      <c r="B7" s="199"/>
      <c r="C7" s="199"/>
      <c r="D7" s="199"/>
      <c r="E7" s="199"/>
      <c r="F7" s="104"/>
      <c r="G7" s="104"/>
      <c r="H7" s="104"/>
      <c r="I7" s="18"/>
      <c r="J7" s="31"/>
      <c r="K7" s="32" t="s">
        <v>575</v>
      </c>
      <c r="L7" s="156"/>
      <c r="M7" s="27"/>
      <c r="N7" s="19"/>
      <c r="O7" s="202"/>
    </row>
    <row r="8" spans="1:15" s="2" customFormat="1" ht="11.25" customHeight="1" x14ac:dyDescent="0.3">
      <c r="A8" s="105"/>
      <c r="B8" s="104"/>
      <c r="C8" s="104"/>
      <c r="D8" s="104"/>
      <c r="E8" s="104"/>
      <c r="F8" s="104"/>
      <c r="G8" s="104"/>
      <c r="H8" s="104"/>
      <c r="I8" s="18"/>
      <c r="J8" s="200" t="str">
        <f>VLOOKUP("hFname",tblTranslation[],LangFieldID,FALSE)&amp;":"</f>
        <v>File name (proposed):</v>
      </c>
      <c r="K8" s="201"/>
      <c r="L8" s="201"/>
      <c r="M8" s="27"/>
      <c r="N8" s="19"/>
      <c r="O8" s="44"/>
    </row>
    <row r="9" spans="1:15" s="2" customFormat="1" ht="11.25" customHeight="1" x14ac:dyDescent="0.3">
      <c r="A9" s="15"/>
      <c r="B9" s="16"/>
      <c r="C9" s="16"/>
      <c r="D9" s="16"/>
      <c r="E9" s="16"/>
      <c r="F9" s="16"/>
      <c r="G9" s="16"/>
      <c r="H9" s="16"/>
      <c r="I9" s="17"/>
      <c r="J9" s="205" t="str">
        <f>IF(AND(I4="ok",I10="ok"),"CP51_"&amp;D11&amp;IF(AND(L5&gt;0,L6&gt;0),"#"&amp;L6&amp;".xlsx","#[suffix].xlsx"),"")</f>
        <v/>
      </c>
      <c r="K9" s="206"/>
      <c r="L9" s="206"/>
      <c r="M9" s="206"/>
      <c r="N9" s="206"/>
      <c r="O9" s="43"/>
    </row>
    <row r="10" spans="1:15" s="21" customFormat="1" ht="11.25" customHeight="1" x14ac:dyDescent="0.3">
      <c r="A10" s="195" t="str">
        <f>VLOOKUP("H30",tblTranslation[],LangFieldID,FALSE)</f>
        <v>Data set characteristics</v>
      </c>
      <c r="B10" s="196"/>
      <c r="C10" s="196"/>
      <c r="D10" s="196"/>
      <c r="E10" s="196"/>
      <c r="F10" s="104"/>
      <c r="G10" s="104"/>
      <c r="H10" s="104"/>
      <c r="I10" s="28" t="str">
        <f>IF(AND(B11&gt;0), "ok", "inc")</f>
        <v>inc</v>
      </c>
      <c r="J10" s="207" t="str">
        <f>VLOOKUP("hNotes",tblTranslation[],LangFieldID,FALSE)</f>
        <v>Notes</v>
      </c>
      <c r="K10" s="208"/>
      <c r="L10" s="107"/>
      <c r="M10" s="104"/>
      <c r="N10" s="104"/>
      <c r="O10" s="20"/>
    </row>
    <row r="11" spans="1:15" s="21" customFormat="1" ht="10.199999999999999" x14ac:dyDescent="0.3">
      <c r="A11" s="22" t="str">
        <f>VLOOKUP("hFlagRep",tblTranslation[],LangFieldID,FALSE)</f>
        <v>Reporting Flag</v>
      </c>
      <c r="B11" s="199"/>
      <c r="C11" s="199"/>
      <c r="D11" s="104" t="str">
        <f>IF(B11&gt;0,VLOOKUP(B11,Codes!$A$3:$B$170,2,FALSE),"")</f>
        <v/>
      </c>
      <c r="E11" s="104"/>
      <c r="F11" s="104"/>
      <c r="G11" s="104"/>
      <c r="H11" s="104"/>
      <c r="I11" s="107"/>
      <c r="J11" s="197"/>
      <c r="K11" s="197"/>
      <c r="L11" s="197"/>
      <c r="M11" s="197"/>
      <c r="N11" s="197"/>
      <c r="O11" s="198"/>
    </row>
    <row r="12" spans="1:15" s="21" customFormat="1" ht="10.199999999999999" x14ac:dyDescent="0.3">
      <c r="A12" s="103"/>
      <c r="B12" s="104"/>
      <c r="C12" s="104"/>
      <c r="D12" s="104"/>
      <c r="E12" s="104"/>
      <c r="F12" s="104"/>
      <c r="G12" s="104"/>
      <c r="H12" s="104"/>
      <c r="I12" s="104"/>
      <c r="J12" s="197"/>
      <c r="K12" s="197"/>
      <c r="L12" s="197"/>
      <c r="M12" s="197"/>
      <c r="N12" s="197"/>
      <c r="O12" s="198"/>
    </row>
    <row r="13" spans="1:15" s="21" customFormat="1" ht="10.199999999999999" x14ac:dyDescent="0.3">
      <c r="A13" s="22"/>
      <c r="B13" s="104"/>
      <c r="C13" s="104"/>
      <c r="D13" s="104"/>
      <c r="E13" s="104"/>
      <c r="F13" s="104"/>
      <c r="G13" s="104"/>
      <c r="H13" s="104"/>
      <c r="I13" s="107"/>
      <c r="J13" s="197"/>
      <c r="K13" s="197"/>
      <c r="L13" s="197"/>
      <c r="M13" s="197"/>
      <c r="N13" s="197"/>
      <c r="O13" s="198"/>
    </row>
    <row r="14" spans="1:15" s="21" customFormat="1" ht="10.199999999999999" x14ac:dyDescent="0.3">
      <c r="A14" s="103"/>
      <c r="B14" s="104"/>
      <c r="C14" s="104"/>
      <c r="D14" s="104"/>
      <c r="E14" s="104"/>
      <c r="F14" s="104"/>
      <c r="G14" s="104"/>
      <c r="H14" s="104"/>
      <c r="I14" s="107"/>
      <c r="J14" s="197"/>
      <c r="K14" s="197"/>
      <c r="L14" s="197"/>
      <c r="M14" s="197"/>
      <c r="N14" s="197"/>
      <c r="O14" s="198"/>
    </row>
    <row r="15" spans="1:15" s="21" customFormat="1" ht="10.199999999999999" x14ac:dyDescent="0.3">
      <c r="A15" s="103"/>
      <c r="B15" s="104"/>
      <c r="C15" s="104"/>
      <c r="D15" s="104"/>
      <c r="E15" s="104"/>
      <c r="F15" s="104"/>
      <c r="G15" s="104"/>
      <c r="H15" s="104"/>
      <c r="I15" s="107"/>
      <c r="J15" s="197"/>
      <c r="K15" s="197"/>
      <c r="L15" s="197"/>
      <c r="M15" s="197"/>
      <c r="N15" s="197"/>
      <c r="O15" s="198"/>
    </row>
    <row r="16" spans="1:15" s="21" customFormat="1" ht="10.199999999999999" x14ac:dyDescent="0.3">
      <c r="A16" s="103"/>
      <c r="B16" s="104"/>
      <c r="C16" s="104"/>
      <c r="D16" s="104"/>
      <c r="E16" s="104"/>
      <c r="F16" s="104"/>
      <c r="G16" s="104"/>
      <c r="H16" s="104"/>
      <c r="I16" s="107"/>
      <c r="J16" s="197"/>
      <c r="K16" s="197"/>
      <c r="L16" s="197"/>
      <c r="M16" s="197"/>
      <c r="N16" s="197"/>
      <c r="O16" s="198"/>
    </row>
    <row r="17" spans="1:20" s="21" customFormat="1" ht="10.199999999999999" x14ac:dyDescent="0.3">
      <c r="A17" s="103"/>
      <c r="B17" s="104"/>
      <c r="C17" s="104"/>
      <c r="D17" s="104"/>
      <c r="E17" s="104"/>
      <c r="F17" s="104"/>
      <c r="G17" s="104"/>
      <c r="H17" s="104"/>
      <c r="I17" s="107"/>
      <c r="J17" s="197"/>
      <c r="K17" s="197"/>
      <c r="L17" s="197"/>
      <c r="M17" s="197"/>
      <c r="N17" s="197"/>
      <c r="O17" s="198"/>
    </row>
    <row r="18" spans="1:20" s="21" customFormat="1" ht="10.199999999999999" x14ac:dyDescent="0.3">
      <c r="A18" s="2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4"/>
    </row>
    <row r="19" spans="1:20" s="21" customFormat="1" x14ac:dyDescent="0.3">
      <c r="A19" s="211" t="str">
        <f>VLOOKUP("T03",tblTranslation[],LangFieldID,FALSE) &amp;": "&amp; VLOOKUP("T03",tblTranslation[],LangNameID,FALSE)</f>
        <v>CP51: Abandoned, Lost or otherwise Discarded Fishing Gear (Details)</v>
      </c>
      <c r="B19" s="211"/>
      <c r="C19" s="211"/>
      <c r="D19" s="211"/>
      <c r="E19" s="211"/>
      <c r="F19" s="211"/>
      <c r="G19" s="211"/>
    </row>
    <row r="20" spans="1:20" s="48" customFormat="1" ht="11.25" customHeight="1" x14ac:dyDescent="0.2">
      <c r="A20" s="170" t="str">
        <f>VLOOKUP("D10",tblTranslation[],LangFieldID,FALSE)</f>
        <v>Vessel (Identification)</v>
      </c>
      <c r="B20" s="171"/>
      <c r="C20" s="171"/>
      <c r="D20" s="171"/>
      <c r="E20" s="172"/>
      <c r="F20" s="75" t="str">
        <f>VLOOKUP("D20",tblTranslation[],LangFieldID,FALSE)</f>
        <v>Lost Gear (Details)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97" t="str">
        <f>VLOOKUP("D30",tblTranslation[],LangFieldID,FALSE)</f>
        <v>Additional information</v>
      </c>
      <c r="S20" s="78"/>
      <c r="T20" s="79"/>
    </row>
    <row r="21" spans="1:20" s="48" customFormat="1" ht="11.25" customHeight="1" x14ac:dyDescent="0.2">
      <c r="A21" s="173"/>
      <c r="B21" s="174"/>
      <c r="C21" s="174"/>
      <c r="D21" s="174"/>
      <c r="E21" s="175"/>
      <c r="F21" s="75" t="str">
        <f>VLOOKUP("D21",tblTranslation[],LangFieldID,FALSE)</f>
        <v>Attributes</v>
      </c>
      <c r="G21" s="76"/>
      <c r="H21" s="76"/>
      <c r="I21" s="76"/>
      <c r="J21" s="76"/>
      <c r="K21" s="76"/>
      <c r="L21" s="76"/>
      <c r="M21" s="77"/>
      <c r="N21" s="75" t="str">
        <f>VLOOKUP("D22",tblTranslation[],LangFieldID,FALSE)</f>
        <v>Date/Time</v>
      </c>
      <c r="O21" s="77"/>
      <c r="P21" s="75" t="str">
        <f>VLOOKUP("D23",tblTranslation[],LangFieldID,FALSE)</f>
        <v>Location</v>
      </c>
      <c r="Q21" s="77"/>
      <c r="R21" s="98"/>
      <c r="S21" s="99"/>
      <c r="T21" s="100"/>
    </row>
    <row r="22" spans="1:20" s="47" customFormat="1" ht="16.5" customHeight="1" x14ac:dyDescent="0.3">
      <c r="A22" s="176" t="str">
        <f>VLOOKUP(A25,tblTranslation[],LangFieldID,FALSE)</f>
        <v>ICCAT Serial Number
(If applicable)</v>
      </c>
      <c r="B22" s="176" t="str">
        <f>VLOOKUP(B25,tblTranslation[],LangFieldID,FALSE)</f>
        <v>IMO Number</v>
      </c>
      <c r="C22" s="176" t="str">
        <f>VLOOKUP(C25,tblTranslation[],LangFieldID,FALSE)</f>
        <v>Internat. RCS</v>
      </c>
      <c r="D22" s="209" t="str">
        <f>VLOOKUP(D25,tblTranslation[],LangFieldID,FALSE)</f>
        <v>Vessel name (Latin)</v>
      </c>
      <c r="E22" s="178" t="str">
        <f>VLOOKUP(E25,tblTranslation[],LangFieldID,FALSE)</f>
        <v>Flag of Vessel (cod)</v>
      </c>
      <c r="F22" s="168" t="str">
        <f>VLOOKUP(F25,tblTranslation[],LangFieldID,FALSE)</f>
        <v>Gear mark</v>
      </c>
      <c r="G22" s="185" t="str">
        <f>VLOOKUP(G25,tblTranslation[],LangFieldID,FALSE)</f>
        <v>Gear (cod)</v>
      </c>
      <c r="H22" s="185" t="str">
        <f>VLOOKUP(H25,tblTranslation[],LangFieldID,FALSE)</f>
        <v>Gear Unit</v>
      </c>
      <c r="I22" s="168" t="str">
        <f>VLOOKUP(I25,tblTranslation[],LangFieldID,FALSE)</f>
        <v>Quantity</v>
      </c>
      <c r="J22" s="168" t="str">
        <f>VLOOKUP(J25,tblTranslation[],LangFieldID,FALSE)</f>
        <v>Size (m)</v>
      </c>
      <c r="K22" s="180" t="str">
        <f>VLOOKUP("D211",tblTranslation[],LangFieldID,FALSE)</f>
        <v>Only applicable if Gear type = net</v>
      </c>
      <c r="L22" s="181"/>
      <c r="M22" s="182"/>
      <c r="N22" s="168" t="str">
        <f>VLOOKUP(N25,tblTranslation[],LangFieldID,FALSE)</f>
        <v>Date</v>
      </c>
      <c r="O22" s="168" t="str">
        <f>VLOOKUP(O25,tblTranslation[],LangFieldID,FALSE)</f>
        <v>Time (hh:mm)</v>
      </c>
      <c r="P22" s="185" t="str">
        <f>VLOOKUP(P25,tblTranslation[],LangFieldID,FALSE)</f>
        <v>Latitude (±dd.dddd)</v>
      </c>
      <c r="Q22" s="185" t="str">
        <f>VLOOKUP(Q25,tblTranslation[],LangFieldID,FALSE)</f>
        <v>Longitude (±dd.dddd)</v>
      </c>
      <c r="R22" s="183" t="str">
        <f>VLOOKUP(R25,tblTranslation[],LangFieldID,FALSE)</f>
        <v>Retrieval Measures</v>
      </c>
      <c r="S22" s="183" t="str">
        <f>VLOOKUP(S25,tblTranslation[],LangFieldID,FALSE)</f>
        <v>Retrieval Failure (if applicable)</v>
      </c>
      <c r="T22" s="166" t="str">
        <f>VLOOKUP(T25,tblTranslation[],LangFieldID,FALSE)</f>
        <v>Additional info (optional)</v>
      </c>
    </row>
    <row r="23" spans="1:20" s="47" customFormat="1" ht="22.5" customHeight="1" x14ac:dyDescent="0.3">
      <c r="A23" s="177"/>
      <c r="B23" s="177"/>
      <c r="C23" s="177"/>
      <c r="D23" s="210"/>
      <c r="E23" s="179"/>
      <c r="F23" s="169"/>
      <c r="G23" s="186"/>
      <c r="H23" s="186"/>
      <c r="I23" s="169"/>
      <c r="J23" s="169"/>
      <c r="K23" s="74" t="str">
        <f>VLOOKUP(K25,tblTranslation[],LangFieldID,FALSE)</f>
        <v>Size N-direction (m)</v>
      </c>
      <c r="L23" s="74" t="str">
        <f>VLOOKUP(L25,tblTranslation[],LangFieldID,FALSE)</f>
        <v>Size T-direction (m)</v>
      </c>
      <c r="M23" s="55" t="str">
        <f>VLOOKUP(M25,tblTranslation[],LangFieldID,FALSE)</f>
        <v>Mesh size (cm)</v>
      </c>
      <c r="N23" s="169"/>
      <c r="O23" s="169"/>
      <c r="P23" s="186"/>
      <c r="Q23" s="186"/>
      <c r="R23" s="184"/>
      <c r="S23" s="184"/>
      <c r="T23" s="167"/>
    </row>
    <row r="24" spans="1:20" s="111" customFormat="1" ht="11.25" customHeight="1" x14ac:dyDescent="0.2">
      <c r="A24" s="111" t="str">
        <f>REPT("+",20)</f>
        <v>++++++++++++++++++++</v>
      </c>
      <c r="B24" s="111" t="str">
        <f>REPT("+",11)</f>
        <v>+++++++++++</v>
      </c>
      <c r="C24" s="111" t="str">
        <f>REPT("+",10)</f>
        <v>++++++++++</v>
      </c>
      <c r="D24" s="111" t="str">
        <f>REPT("+",25)</f>
        <v>+++++++++++++++++++++++++</v>
      </c>
      <c r="E24" s="111" t="str">
        <f>REPT("+",12)</f>
        <v>++++++++++++</v>
      </c>
      <c r="F24" s="111" t="str">
        <f>REPT("+",17)</f>
        <v>+++++++++++++++++</v>
      </c>
      <c r="G24" s="111" t="str">
        <f>REPT("+",10)</f>
        <v>++++++++++</v>
      </c>
      <c r="H24" s="111" t="str">
        <f>REPT("+",11)</f>
        <v>+++++++++++</v>
      </c>
      <c r="I24" s="111" t="str">
        <f>REPT("+",11)</f>
        <v>+++++++++++</v>
      </c>
      <c r="J24" s="111" t="str">
        <f>REPT("+",9)</f>
        <v>+++++++++</v>
      </c>
      <c r="K24" s="111" t="str">
        <f>REPT("+",12)</f>
        <v>++++++++++++</v>
      </c>
      <c r="L24" s="111" t="str">
        <f>REPT("+",12)</f>
        <v>++++++++++++</v>
      </c>
      <c r="M24" s="111" t="str">
        <f>REPT("+",18)</f>
        <v>++++++++++++++++++</v>
      </c>
      <c r="N24" s="111" t="str">
        <f>REPT("+",11)</f>
        <v>+++++++++++</v>
      </c>
      <c r="O24" s="111" t="str">
        <f>REPT("+",11)</f>
        <v>+++++++++++</v>
      </c>
      <c r="P24" s="111" t="str">
        <f>REPT("+",9)</f>
        <v>+++++++++</v>
      </c>
      <c r="Q24" s="111" t="str">
        <f>REPT("+",9)</f>
        <v>+++++++++</v>
      </c>
      <c r="R24" s="111" t="str">
        <f>REPT("+",17)</f>
        <v>+++++++++++++++++</v>
      </c>
      <c r="S24" s="111" t="str">
        <f>REPT("+",20)</f>
        <v>++++++++++++++++++++</v>
      </c>
      <c r="T24" s="111" t="str">
        <f>REPT("+",30)</f>
        <v>++++++++++++++++++++++++++++++</v>
      </c>
    </row>
    <row r="25" spans="1:20" s="46" customFormat="1" ht="11.25" customHeight="1" thickBot="1" x14ac:dyDescent="0.25">
      <c r="A25" s="112" t="s">
        <v>653</v>
      </c>
      <c r="B25" s="112" t="s">
        <v>805</v>
      </c>
      <c r="C25" s="112" t="s">
        <v>654</v>
      </c>
      <c r="D25" s="113" t="s">
        <v>679</v>
      </c>
      <c r="E25" s="113" t="s">
        <v>680</v>
      </c>
      <c r="F25" s="45" t="s">
        <v>674</v>
      </c>
      <c r="G25" s="114" t="s">
        <v>688</v>
      </c>
      <c r="H25" s="114" t="s">
        <v>666</v>
      </c>
      <c r="I25" s="115" t="s">
        <v>783</v>
      </c>
      <c r="J25" s="45" t="s">
        <v>784</v>
      </c>
      <c r="K25" s="45" t="s">
        <v>785</v>
      </c>
      <c r="L25" s="45" t="s">
        <v>786</v>
      </c>
      <c r="M25" s="45" t="s">
        <v>787</v>
      </c>
      <c r="N25" s="45" t="s">
        <v>668</v>
      </c>
      <c r="O25" s="45" t="s">
        <v>669</v>
      </c>
      <c r="P25" s="45" t="s">
        <v>670</v>
      </c>
      <c r="Q25" s="45" t="s">
        <v>671</v>
      </c>
      <c r="R25" s="49" t="s">
        <v>672</v>
      </c>
      <c r="S25" s="49" t="s">
        <v>673</v>
      </c>
      <c r="T25" s="50" t="s">
        <v>675</v>
      </c>
    </row>
    <row r="26" spans="1:20" ht="11.25" customHeight="1" x14ac:dyDescent="0.3">
      <c r="A26" s="51"/>
      <c r="B26" s="101"/>
      <c r="C26" s="52"/>
      <c r="D26" s="116"/>
      <c r="E26" s="116"/>
      <c r="F26" s="116"/>
      <c r="G26" s="116"/>
      <c r="H26" s="116"/>
      <c r="I26" s="117"/>
      <c r="J26" s="117"/>
      <c r="K26" s="117"/>
      <c r="L26" s="117"/>
      <c r="M26" s="117"/>
      <c r="N26" s="118"/>
      <c r="O26" s="119"/>
      <c r="P26" s="120"/>
      <c r="Q26" s="120"/>
      <c r="R26" s="116"/>
      <c r="S26" s="116"/>
      <c r="T26" s="121"/>
    </row>
    <row r="27" spans="1:20" ht="11.25" customHeight="1" x14ac:dyDescent="0.3">
      <c r="A27" s="53"/>
      <c r="B27" s="101"/>
      <c r="C27" s="54"/>
      <c r="D27" s="122"/>
      <c r="E27" s="122"/>
      <c r="F27" s="122"/>
      <c r="G27" s="122"/>
      <c r="H27" s="122"/>
      <c r="I27" s="123"/>
      <c r="J27" s="123"/>
      <c r="K27" s="123"/>
      <c r="L27" s="123"/>
      <c r="M27" s="123"/>
      <c r="N27" s="124"/>
      <c r="O27" s="125"/>
      <c r="P27" s="126"/>
      <c r="Q27" s="126"/>
      <c r="R27" s="122"/>
      <c r="S27" s="122"/>
      <c r="T27" s="127"/>
    </row>
    <row r="28" spans="1:20" ht="11.25" customHeight="1" x14ac:dyDescent="0.3">
      <c r="A28" s="128"/>
      <c r="B28" s="101"/>
      <c r="C28" s="129"/>
      <c r="D28" s="129"/>
      <c r="E28" s="129"/>
      <c r="F28" s="129"/>
      <c r="G28" s="129"/>
      <c r="H28" s="129"/>
      <c r="I28" s="130"/>
      <c r="J28" s="130"/>
      <c r="K28" s="130"/>
      <c r="L28" s="130"/>
      <c r="M28" s="130"/>
      <c r="N28" s="131"/>
      <c r="O28" s="132"/>
      <c r="P28" s="133"/>
      <c r="Q28" s="133"/>
      <c r="R28" s="129"/>
      <c r="S28" s="129"/>
      <c r="T28" s="134"/>
    </row>
    <row r="29" spans="1:20" ht="11.25" customHeight="1" x14ac:dyDescent="0.3">
      <c r="A29" s="135"/>
      <c r="B29" s="101"/>
      <c r="C29" s="122"/>
      <c r="D29" s="122"/>
      <c r="E29" s="122"/>
      <c r="F29" s="122"/>
      <c r="G29" s="122"/>
      <c r="H29" s="122"/>
      <c r="I29" s="123"/>
      <c r="J29" s="123"/>
      <c r="K29" s="123"/>
      <c r="L29" s="123"/>
      <c r="M29" s="123"/>
      <c r="N29" s="124"/>
      <c r="O29" s="125"/>
      <c r="P29" s="126"/>
      <c r="Q29" s="126"/>
      <c r="R29" s="122"/>
      <c r="S29" s="122"/>
      <c r="T29" s="127"/>
    </row>
    <row r="30" spans="1:20" ht="11.25" customHeight="1" x14ac:dyDescent="0.3">
      <c r="A30" s="128"/>
      <c r="B30" s="101"/>
      <c r="C30" s="129"/>
      <c r="D30" s="129"/>
      <c r="E30" s="129"/>
      <c r="F30" s="129"/>
      <c r="G30" s="129"/>
      <c r="H30" s="129"/>
      <c r="I30" s="130"/>
      <c r="J30" s="130"/>
      <c r="K30" s="130"/>
      <c r="L30" s="130"/>
      <c r="M30" s="130"/>
      <c r="N30" s="131"/>
      <c r="O30" s="132"/>
      <c r="P30" s="133"/>
      <c r="Q30" s="133"/>
      <c r="R30" s="129"/>
      <c r="S30" s="129"/>
      <c r="T30" s="134"/>
    </row>
    <row r="31" spans="1:20" ht="11.25" customHeight="1" x14ac:dyDescent="0.3">
      <c r="A31" s="135"/>
      <c r="B31" s="101"/>
      <c r="C31" s="122"/>
      <c r="D31" s="122"/>
      <c r="E31" s="122"/>
      <c r="F31" s="122"/>
      <c r="G31" s="122"/>
      <c r="H31" s="122"/>
      <c r="I31" s="123"/>
      <c r="J31" s="123"/>
      <c r="K31" s="123"/>
      <c r="L31" s="123"/>
      <c r="M31" s="123"/>
      <c r="N31" s="124"/>
      <c r="O31" s="125"/>
      <c r="P31" s="126"/>
      <c r="Q31" s="126"/>
      <c r="R31" s="122"/>
      <c r="S31" s="122"/>
      <c r="T31" s="127"/>
    </row>
    <row r="32" spans="1:20" ht="11.25" customHeight="1" x14ac:dyDescent="0.3">
      <c r="A32" s="128"/>
      <c r="B32" s="101"/>
      <c r="C32" s="129"/>
      <c r="D32" s="129"/>
      <c r="E32" s="129"/>
      <c r="F32" s="129"/>
      <c r="G32" s="129"/>
      <c r="H32" s="129"/>
      <c r="I32" s="130"/>
      <c r="J32" s="130"/>
      <c r="K32" s="130"/>
      <c r="L32" s="130"/>
      <c r="M32" s="130"/>
      <c r="N32" s="131"/>
      <c r="O32" s="132"/>
      <c r="P32" s="133"/>
      <c r="Q32" s="133"/>
      <c r="R32" s="129"/>
      <c r="S32" s="129"/>
      <c r="T32" s="134"/>
    </row>
    <row r="33" spans="1:20" ht="11.25" customHeight="1" x14ac:dyDescent="0.3">
      <c r="A33" s="135"/>
      <c r="B33" s="101"/>
      <c r="C33" s="122"/>
      <c r="D33" s="122"/>
      <c r="E33" s="122"/>
      <c r="F33" s="122"/>
      <c r="G33" s="122"/>
      <c r="H33" s="122"/>
      <c r="I33" s="123"/>
      <c r="J33" s="123"/>
      <c r="K33" s="123"/>
      <c r="L33" s="123"/>
      <c r="M33" s="123"/>
      <c r="N33" s="124"/>
      <c r="O33" s="125"/>
      <c r="P33" s="126"/>
      <c r="Q33" s="126"/>
      <c r="R33" s="122"/>
      <c r="S33" s="122"/>
      <c r="T33" s="127"/>
    </row>
    <row r="34" spans="1:20" ht="11.25" customHeight="1" x14ac:dyDescent="0.3">
      <c r="A34" s="128"/>
      <c r="B34" s="101"/>
      <c r="C34" s="129"/>
      <c r="D34" s="129"/>
      <c r="E34" s="129"/>
      <c r="F34" s="129"/>
      <c r="G34" s="129"/>
      <c r="H34" s="129"/>
      <c r="I34" s="130"/>
      <c r="J34" s="130"/>
      <c r="K34" s="130"/>
      <c r="L34" s="130"/>
      <c r="M34" s="130"/>
      <c r="N34" s="131"/>
      <c r="O34" s="132"/>
      <c r="P34" s="133"/>
      <c r="Q34" s="133"/>
      <c r="R34" s="129"/>
      <c r="S34" s="129"/>
      <c r="T34" s="134"/>
    </row>
    <row r="35" spans="1:20" ht="11.25" customHeight="1" x14ac:dyDescent="0.3">
      <c r="A35" s="135"/>
      <c r="B35" s="101"/>
      <c r="C35" s="122"/>
      <c r="D35" s="122"/>
      <c r="E35" s="122"/>
      <c r="F35" s="122"/>
      <c r="G35" s="122"/>
      <c r="H35" s="122"/>
      <c r="I35" s="123"/>
      <c r="J35" s="123"/>
      <c r="K35" s="123"/>
      <c r="L35" s="123"/>
      <c r="M35" s="123"/>
      <c r="N35" s="124"/>
      <c r="O35" s="125"/>
      <c r="P35" s="126"/>
      <c r="Q35" s="126"/>
      <c r="R35" s="122"/>
      <c r="S35" s="122"/>
      <c r="T35" s="127"/>
    </row>
    <row r="36" spans="1:20" ht="11.25" customHeight="1" x14ac:dyDescent="0.3">
      <c r="A36" s="128"/>
      <c r="B36" s="101"/>
      <c r="C36" s="129"/>
      <c r="D36" s="129"/>
      <c r="E36" s="129"/>
      <c r="F36" s="129"/>
      <c r="G36" s="129"/>
      <c r="H36" s="129"/>
      <c r="I36" s="130"/>
      <c r="J36" s="130"/>
      <c r="K36" s="130"/>
      <c r="L36" s="130"/>
      <c r="M36" s="130"/>
      <c r="N36" s="131"/>
      <c r="O36" s="132"/>
      <c r="P36" s="133"/>
      <c r="Q36" s="133"/>
      <c r="R36" s="129"/>
      <c r="S36" s="129"/>
      <c r="T36" s="134"/>
    </row>
    <row r="37" spans="1:20" ht="11.25" customHeight="1" x14ac:dyDescent="0.3">
      <c r="A37" s="135"/>
      <c r="B37" s="101"/>
      <c r="C37" s="122"/>
      <c r="D37" s="122"/>
      <c r="E37" s="122"/>
      <c r="F37" s="122"/>
      <c r="G37" s="122"/>
      <c r="H37" s="122"/>
      <c r="I37" s="123"/>
      <c r="J37" s="123"/>
      <c r="K37" s="123"/>
      <c r="L37" s="123"/>
      <c r="M37" s="123"/>
      <c r="N37" s="124"/>
      <c r="O37" s="125"/>
      <c r="P37" s="126"/>
      <c r="Q37" s="126"/>
      <c r="R37" s="122"/>
      <c r="S37" s="122"/>
      <c r="T37" s="127"/>
    </row>
    <row r="38" spans="1:20" ht="11.25" customHeight="1" x14ac:dyDescent="0.3">
      <c r="A38" s="128"/>
      <c r="B38" s="101"/>
      <c r="C38" s="129"/>
      <c r="D38" s="129"/>
      <c r="E38" s="129"/>
      <c r="F38" s="129"/>
      <c r="G38" s="129"/>
      <c r="H38" s="129"/>
      <c r="I38" s="130"/>
      <c r="J38" s="130"/>
      <c r="K38" s="130"/>
      <c r="L38" s="130"/>
      <c r="M38" s="130"/>
      <c r="N38" s="131"/>
      <c r="O38" s="132"/>
      <c r="P38" s="133"/>
      <c r="Q38" s="133"/>
      <c r="R38" s="129"/>
      <c r="S38" s="129"/>
      <c r="T38" s="134"/>
    </row>
    <row r="39" spans="1:20" ht="11.25" customHeight="1" x14ac:dyDescent="0.3">
      <c r="A39" s="135"/>
      <c r="B39" s="101"/>
      <c r="C39" s="122"/>
      <c r="D39" s="122"/>
      <c r="E39" s="122"/>
      <c r="F39" s="122"/>
      <c r="G39" s="122"/>
      <c r="H39" s="122"/>
      <c r="I39" s="123"/>
      <c r="J39" s="123"/>
      <c r="K39" s="123"/>
      <c r="L39" s="123"/>
      <c r="M39" s="123"/>
      <c r="N39" s="124"/>
      <c r="O39" s="125"/>
      <c r="P39" s="126"/>
      <c r="Q39" s="126"/>
      <c r="R39" s="122"/>
      <c r="S39" s="122"/>
      <c r="T39" s="127"/>
    </row>
    <row r="40" spans="1:20" ht="11.25" customHeight="1" x14ac:dyDescent="0.3">
      <c r="A40" s="128"/>
      <c r="B40" s="101"/>
      <c r="C40" s="129"/>
      <c r="D40" s="129"/>
      <c r="E40" s="129"/>
      <c r="F40" s="129"/>
      <c r="G40" s="129"/>
      <c r="H40" s="129"/>
      <c r="I40" s="130"/>
      <c r="J40" s="130"/>
      <c r="K40" s="130"/>
      <c r="L40" s="130"/>
      <c r="M40" s="130"/>
      <c r="N40" s="131"/>
      <c r="O40" s="132"/>
      <c r="P40" s="133"/>
      <c r="Q40" s="133"/>
      <c r="R40" s="129"/>
      <c r="S40" s="129"/>
      <c r="T40" s="134"/>
    </row>
    <row r="41" spans="1:20" ht="11.25" customHeight="1" x14ac:dyDescent="0.3">
      <c r="A41" s="135"/>
      <c r="B41" s="101"/>
      <c r="C41" s="122"/>
      <c r="D41" s="122"/>
      <c r="E41" s="122"/>
      <c r="F41" s="122"/>
      <c r="G41" s="122"/>
      <c r="H41" s="122"/>
      <c r="I41" s="123"/>
      <c r="J41" s="123"/>
      <c r="K41" s="123"/>
      <c r="L41" s="123"/>
      <c r="M41" s="123"/>
      <c r="N41" s="124"/>
      <c r="O41" s="125"/>
      <c r="P41" s="126"/>
      <c r="Q41" s="126"/>
      <c r="R41" s="122"/>
      <c r="S41" s="122"/>
      <c r="T41" s="127"/>
    </row>
    <row r="42" spans="1:20" ht="11.25" customHeight="1" x14ac:dyDescent="0.3">
      <c r="A42" s="128"/>
      <c r="B42" s="101"/>
      <c r="C42" s="129"/>
      <c r="D42" s="129"/>
      <c r="E42" s="129"/>
      <c r="F42" s="129"/>
      <c r="G42" s="129"/>
      <c r="H42" s="129"/>
      <c r="I42" s="130"/>
      <c r="J42" s="130"/>
      <c r="K42" s="130"/>
      <c r="L42" s="130"/>
      <c r="M42" s="130"/>
      <c r="N42" s="131"/>
      <c r="O42" s="132"/>
      <c r="P42" s="133"/>
      <c r="Q42" s="133"/>
      <c r="R42" s="129"/>
      <c r="S42" s="129"/>
      <c r="T42" s="134"/>
    </row>
    <row r="43" spans="1:20" ht="11.25" customHeight="1" x14ac:dyDescent="0.3">
      <c r="A43" s="135"/>
      <c r="B43" s="101"/>
      <c r="C43" s="122"/>
      <c r="D43" s="122"/>
      <c r="E43" s="122"/>
      <c r="F43" s="122"/>
      <c r="G43" s="122"/>
      <c r="H43" s="122"/>
      <c r="I43" s="123"/>
      <c r="J43" s="123"/>
      <c r="K43" s="123"/>
      <c r="L43" s="123"/>
      <c r="M43" s="123"/>
      <c r="N43" s="124"/>
      <c r="O43" s="125"/>
      <c r="P43" s="126"/>
      <c r="Q43" s="126"/>
      <c r="R43" s="122"/>
      <c r="S43" s="122"/>
      <c r="T43" s="127"/>
    </row>
    <row r="44" spans="1:20" ht="11.25" customHeight="1" x14ac:dyDescent="0.3">
      <c r="A44" s="128"/>
      <c r="B44" s="101"/>
      <c r="C44" s="129"/>
      <c r="D44" s="129"/>
      <c r="E44" s="129"/>
      <c r="F44" s="129"/>
      <c r="G44" s="129"/>
      <c r="H44" s="129"/>
      <c r="I44" s="130"/>
      <c r="J44" s="130"/>
      <c r="K44" s="130"/>
      <c r="L44" s="130"/>
      <c r="M44" s="130"/>
      <c r="N44" s="131"/>
      <c r="O44" s="132"/>
      <c r="P44" s="133"/>
      <c r="Q44" s="133"/>
      <c r="R44" s="129"/>
      <c r="S44" s="129"/>
      <c r="T44" s="134"/>
    </row>
    <row r="45" spans="1:20" ht="11.25" customHeight="1" x14ac:dyDescent="0.3">
      <c r="A45" s="135"/>
      <c r="B45" s="101"/>
      <c r="C45" s="122"/>
      <c r="D45" s="122"/>
      <c r="E45" s="122"/>
      <c r="F45" s="122"/>
      <c r="G45" s="122"/>
      <c r="H45" s="122"/>
      <c r="I45" s="123"/>
      <c r="J45" s="123"/>
      <c r="K45" s="123"/>
      <c r="L45" s="123"/>
      <c r="M45" s="123"/>
      <c r="N45" s="124"/>
      <c r="O45" s="125"/>
      <c r="P45" s="126"/>
      <c r="Q45" s="126"/>
      <c r="R45" s="122"/>
      <c r="S45" s="122"/>
      <c r="T45" s="127"/>
    </row>
    <row r="46" spans="1:20" ht="11.25" customHeight="1" x14ac:dyDescent="0.3">
      <c r="A46" s="128"/>
      <c r="B46" s="101"/>
      <c r="C46" s="129"/>
      <c r="D46" s="129"/>
      <c r="E46" s="129"/>
      <c r="F46" s="129"/>
      <c r="G46" s="129"/>
      <c r="H46" s="129"/>
      <c r="I46" s="130"/>
      <c r="J46" s="130"/>
      <c r="K46" s="130"/>
      <c r="L46" s="130"/>
      <c r="M46" s="130"/>
      <c r="N46" s="131"/>
      <c r="O46" s="132"/>
      <c r="P46" s="133"/>
      <c r="Q46" s="133"/>
      <c r="R46" s="129"/>
      <c r="S46" s="129"/>
      <c r="T46" s="134"/>
    </row>
    <row r="47" spans="1:20" ht="11.25" customHeight="1" x14ac:dyDescent="0.3">
      <c r="A47" s="135"/>
      <c r="B47" s="101"/>
      <c r="C47" s="122"/>
      <c r="D47" s="122"/>
      <c r="E47" s="122"/>
      <c r="F47" s="122"/>
      <c r="G47" s="122"/>
      <c r="H47" s="122"/>
      <c r="I47" s="123"/>
      <c r="J47" s="123"/>
      <c r="K47" s="123"/>
      <c r="L47" s="123"/>
      <c r="M47" s="123"/>
      <c r="N47" s="124"/>
      <c r="O47" s="125"/>
      <c r="P47" s="126"/>
      <c r="Q47" s="126"/>
      <c r="R47" s="122"/>
      <c r="S47" s="122"/>
      <c r="T47" s="127"/>
    </row>
    <row r="48" spans="1:20" ht="11.25" customHeight="1" x14ac:dyDescent="0.3">
      <c r="A48" s="136"/>
      <c r="B48" s="101"/>
      <c r="C48" s="137"/>
      <c r="D48" s="137"/>
      <c r="E48" s="137"/>
      <c r="F48" s="137"/>
      <c r="G48" s="137"/>
      <c r="H48" s="137"/>
      <c r="I48" s="138"/>
      <c r="J48" s="138"/>
      <c r="K48" s="138"/>
      <c r="L48" s="138"/>
      <c r="M48" s="138"/>
      <c r="N48" s="139"/>
      <c r="O48" s="140"/>
      <c r="P48" s="141"/>
      <c r="Q48" s="141"/>
      <c r="R48" s="137"/>
      <c r="S48" s="137"/>
      <c r="T48" s="142"/>
    </row>
  </sheetData>
  <sheetProtection algorithmName="SHA-512" hashValue="EA6CcbRNul2CWM1p0eLgn9RPfWVSPQUNMOCrhS5AzUhyxpHr0wLuV+1klzWHjMZvQEoAEfXR3q8yyAGNqXEUuw==" saltValue="qSXXR9j2UUOMaRCdxb4C5g==" spinCount="100000" sheet="1" scenarios="1" formatCells="0" formatRows="0" insertRows="0" deleteRows="0" autoFilter="0"/>
  <mergeCells count="38">
    <mergeCell ref="A22:A23"/>
    <mergeCell ref="C22:C23"/>
    <mergeCell ref="D22:D23"/>
    <mergeCell ref="A19:G19"/>
    <mergeCell ref="B5:D5"/>
    <mergeCell ref="G5:H5"/>
    <mergeCell ref="B11:C11"/>
    <mergeCell ref="J11:O17"/>
    <mergeCell ref="B6:E6"/>
    <mergeCell ref="B7:E7"/>
    <mergeCell ref="J8:L8"/>
    <mergeCell ref="O5:O7"/>
    <mergeCell ref="J5:K5"/>
    <mergeCell ref="J9:N9"/>
    <mergeCell ref="J10:K10"/>
    <mergeCell ref="J6:K6"/>
    <mergeCell ref="A10:E10"/>
    <mergeCell ref="A1:A2"/>
    <mergeCell ref="B1:M1"/>
    <mergeCell ref="B2:M2"/>
    <mergeCell ref="A4:H4"/>
    <mergeCell ref="J4:N4"/>
    <mergeCell ref="T22:T23"/>
    <mergeCell ref="J22:J23"/>
    <mergeCell ref="I22:I23"/>
    <mergeCell ref="A20:E21"/>
    <mergeCell ref="B22:B23"/>
    <mergeCell ref="E22:E23"/>
    <mergeCell ref="K22:M22"/>
    <mergeCell ref="S22:S23"/>
    <mergeCell ref="R22:R23"/>
    <mergeCell ref="Q22:Q23"/>
    <mergeCell ref="P22:P23"/>
    <mergeCell ref="O22:O23"/>
    <mergeCell ref="F22:F23"/>
    <mergeCell ref="G22:G23"/>
    <mergeCell ref="H22:H23"/>
    <mergeCell ref="N22:N23"/>
  </mergeCells>
  <dataValidations count="14">
    <dataValidation type="list" allowBlank="1" showInputMessage="1" showErrorMessage="1" sqref="O2" xr:uid="{00000000-0002-0000-0000-000000000000}">
      <formula1>"ENG,FRA,ESP"</formula1>
    </dataValidation>
    <dataValidation type="list" allowBlank="1" showInputMessage="1" showErrorMessage="1" sqref="B11:C11" xr:uid="{00000000-0002-0000-0000-000002000000}">
      <formula1>FlagName</formula1>
    </dataValidation>
    <dataValidation type="list" allowBlank="1" showInputMessage="1" showErrorMessage="1" sqref="E26:E48" xr:uid="{141E180F-4AA9-4774-A343-81771E89D188}">
      <formula1>FlagCode</formula1>
    </dataValidation>
    <dataValidation type="whole" operator="greaterThan" allowBlank="1" showInputMessage="1" showErrorMessage="1" sqref="I26:I48" xr:uid="{98FC23D7-81A8-4FBC-B945-B65A2BCE4319}">
      <formula1>0</formula1>
    </dataValidation>
    <dataValidation type="decimal" operator="greaterThan" allowBlank="1" showInputMessage="1" showErrorMessage="1" sqref="J26:L48 M26:M48" xr:uid="{E048E0BD-AAB8-4D0B-AC3C-939DC8CB4D08}">
      <formula1>0</formula1>
    </dataValidation>
    <dataValidation type="list" allowBlank="1" showInputMessage="1" showErrorMessage="1" sqref="G26:G48" xr:uid="{D7E3E476-E955-4686-B066-2D3704583588}">
      <formula1>GearCode</formula1>
    </dataValidation>
    <dataValidation type="time" operator="lessThanOrEqual" allowBlank="1" showInputMessage="1" showErrorMessage="1" sqref="O26:O48" xr:uid="{BE60758E-7C46-48F5-963C-AF2F4F71B2AE}">
      <formula1>0.999305555555556</formula1>
    </dataValidation>
    <dataValidation type="date" operator="lessThan" allowBlank="1" showInputMessage="1" showErrorMessage="1" sqref="N26:N48" xr:uid="{BAF9DF5D-8505-4838-9BBF-CC5A8C34C87F}">
      <formula1>NOW()</formula1>
    </dataValidation>
    <dataValidation type="decimal" allowBlank="1" showInputMessage="1" showErrorMessage="1" sqref="P26:P48" xr:uid="{BD4AF4C7-50DC-4EF6-B791-E598748BDA24}">
      <formula1>-90</formula1>
      <formula2>90</formula2>
    </dataValidation>
    <dataValidation type="decimal" allowBlank="1" showInputMessage="1" showErrorMessage="1" sqref="Q26:Q48" xr:uid="{EE3E70EA-CA39-4157-A036-58C3F04378A3}">
      <formula1>-180</formula1>
      <formula2>180</formula2>
    </dataValidation>
    <dataValidation type="list" allowBlank="1" showInputMessage="1" showErrorMessage="1" sqref="R26:R48" xr:uid="{D556200B-280C-469B-8891-FF946BF58B57}">
      <formula1>MeasuresCode</formula1>
    </dataValidation>
    <dataValidation type="list" allowBlank="1" showInputMessage="1" showErrorMessage="1" sqref="S26:S48" xr:uid="{FD782D88-D2C8-437D-95A0-99072449ECD8}">
      <formula1>FailureCode</formula1>
    </dataValidation>
    <dataValidation type="list" operator="greaterThan" allowBlank="1" showInputMessage="1" showErrorMessage="1" sqref="H26:H48" xr:uid="{5BE76572-B78E-4436-BB23-441C2586A3FD}">
      <formula1>UnitCode</formula1>
    </dataValidation>
    <dataValidation type="textLength" operator="equal" allowBlank="1" showInputMessage="1" showErrorMessage="1" sqref="A26:A48" xr:uid="{BA66633A-DE73-4655-846C-15AFB8FEF231}">
      <formula1>13</formula1>
    </dataValidation>
  </dataValidations>
  <hyperlinks>
    <hyperlink ref="A11" location="FlagName" display="FlagName" xr:uid="{FC0BBBCE-2B94-42DB-90A3-CB7C68F21213}"/>
    <hyperlink ref="K23" location="NDirectionDef" display="NDirectionDef" xr:uid="{09F3D38B-6222-49AE-A077-FFA57252AD1F}"/>
    <hyperlink ref="L23" location="TDirectionDef" display="TDirectionDef" xr:uid="{8A3EA8D3-3E63-4EAE-92E9-9111E5479DA5}"/>
    <hyperlink ref="E22:E23" location="FlagCode" display="FlagCode" xr:uid="{3AFAAC5C-F2C6-48B3-B71C-D3A2A5157518}"/>
    <hyperlink ref="G22:G23" location="GearCode" display="GearCode" xr:uid="{3481641C-873D-400C-80CA-DD95F2CA99C1}"/>
    <hyperlink ref="H22:H23" location="UnitCode" display="UnitCode" xr:uid="{924A8F14-32DE-43CA-96F4-DA3125EE3BEC}"/>
    <hyperlink ref="K22:M22" location="GearType" display="GearType" xr:uid="{ACC5500C-BFB2-461E-9C17-2A1BA64C1B8D}"/>
    <hyperlink ref="P22:P23" location="fmtLatitude" display="fmtLatitude" xr:uid="{BDFA4B34-CAF1-4E0C-BC36-E2D4359293E0}"/>
    <hyperlink ref="Q22:Q23" location="fmtLongitude" display="fmtLongitude" xr:uid="{9D5FEAD2-8C30-402E-BDE7-E96F7130E488}"/>
    <hyperlink ref="R22:R23" location="MeasuresCode" display="MeasuresCode" xr:uid="{0E6B8BFB-EE24-4F22-8431-4F704B804706}"/>
    <hyperlink ref="S22:S23" location="FailureCode" display="FailureCode" xr:uid="{D3F7C3B8-3CFD-4DA0-BDCD-D80A5557ACD1}"/>
  </hyperlinks>
  <pageMargins left="0.7" right="0.7" top="0.75" bottom="0.75" header="0.3" footer="0.3"/>
  <pageSetup paperSize="9" scale="7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31"/>
  <sheetViews>
    <sheetView zoomScale="90" zoomScaleNormal="90" workbookViewId="0">
      <selection activeCell="A3" sqref="A3:A176"/>
    </sheetView>
  </sheetViews>
  <sheetFormatPr defaultColWidth="8.88671875" defaultRowHeight="12" x14ac:dyDescent="0.25"/>
  <cols>
    <col min="1" max="1" width="19.33203125" style="7" customWidth="1"/>
    <col min="2" max="2" width="7" style="7" bestFit="1" customWidth="1"/>
    <col min="3" max="3" width="5.33203125" style="7" bestFit="1" customWidth="1"/>
    <col min="4" max="4" width="10.109375" style="7" bestFit="1" customWidth="1"/>
    <col min="5" max="5" width="3.33203125" style="7" customWidth="1"/>
    <col min="6" max="6" width="12.88671875" style="7" bestFit="1" customWidth="1"/>
    <col min="7" max="7" width="48.6640625" style="7" bestFit="1" customWidth="1"/>
    <col min="8" max="9" width="8.88671875" style="7"/>
    <col min="10" max="10" width="3.6640625" style="7" customWidth="1"/>
    <col min="11" max="11" width="10.6640625" style="7" customWidth="1"/>
    <col min="12" max="12" width="7" style="7" bestFit="1" customWidth="1"/>
    <col min="13" max="13" width="8.6640625" style="7" customWidth="1"/>
    <col min="14" max="14" width="87" style="7" bestFit="1" customWidth="1"/>
    <col min="15" max="16384" width="8.88671875" style="7"/>
  </cols>
  <sheetData>
    <row r="1" spans="1:14" x14ac:dyDescent="0.25">
      <c r="A1" s="215" t="s">
        <v>506</v>
      </c>
      <c r="B1" s="215"/>
      <c r="C1" s="215"/>
      <c r="D1" s="215"/>
      <c r="F1" s="213" t="s">
        <v>648</v>
      </c>
      <c r="G1" s="213"/>
      <c r="H1" s="61"/>
      <c r="I1" s="61"/>
      <c r="K1" s="214" t="s">
        <v>743</v>
      </c>
      <c r="L1" s="214"/>
      <c r="M1" s="214"/>
    </row>
    <row r="2" spans="1:14" ht="12.6" customHeight="1" x14ac:dyDescent="0.25">
      <c r="A2" s="70" t="s">
        <v>30</v>
      </c>
      <c r="B2" s="71" t="s">
        <v>442</v>
      </c>
      <c r="C2" s="71" t="s">
        <v>32</v>
      </c>
      <c r="D2" s="72" t="s">
        <v>31</v>
      </c>
      <c r="F2" s="70" t="s">
        <v>32</v>
      </c>
      <c r="G2" s="72" t="s">
        <v>33</v>
      </c>
    </row>
    <row r="3" spans="1:14" ht="12.6" customHeight="1" x14ac:dyDescent="0.25">
      <c r="A3" s="59" t="s">
        <v>35</v>
      </c>
      <c r="B3" s="7" t="s">
        <v>34</v>
      </c>
      <c r="C3" s="159" t="s">
        <v>37</v>
      </c>
      <c r="D3" s="62" t="s">
        <v>36</v>
      </c>
      <c r="F3" s="59" t="s">
        <v>37</v>
      </c>
      <c r="G3" s="62" t="s">
        <v>38</v>
      </c>
      <c r="K3" s="68" t="s">
        <v>746</v>
      </c>
      <c r="L3" s="66" t="s">
        <v>744</v>
      </c>
      <c r="M3" s="66" t="s">
        <v>745</v>
      </c>
      <c r="N3" s="67" t="s">
        <v>33</v>
      </c>
    </row>
    <row r="4" spans="1:14" ht="12.6" customHeight="1" x14ac:dyDescent="0.25">
      <c r="A4" s="59" t="s">
        <v>40</v>
      </c>
      <c r="B4" s="7" t="s">
        <v>39</v>
      </c>
      <c r="C4" s="159" t="s">
        <v>37</v>
      </c>
      <c r="D4" s="62" t="s">
        <v>41</v>
      </c>
      <c r="F4" s="59" t="s">
        <v>42</v>
      </c>
      <c r="G4" s="62" t="s">
        <v>43</v>
      </c>
      <c r="K4" s="80" t="s">
        <v>790</v>
      </c>
      <c r="L4" s="81" t="s">
        <v>747</v>
      </c>
      <c r="M4" s="69">
        <v>15.342779999999999</v>
      </c>
      <c r="N4" s="63" t="s">
        <v>792</v>
      </c>
    </row>
    <row r="5" spans="1:14" ht="12.6" customHeight="1" x14ac:dyDescent="0.25">
      <c r="A5" s="59" t="s">
        <v>45</v>
      </c>
      <c r="B5" s="7" t="s">
        <v>44</v>
      </c>
      <c r="C5" s="159" t="s">
        <v>37</v>
      </c>
      <c r="D5" s="62" t="s">
        <v>46</v>
      </c>
      <c r="F5" s="64" t="s">
        <v>47</v>
      </c>
      <c r="G5" s="63" t="s">
        <v>48</v>
      </c>
    </row>
    <row r="6" spans="1:14" ht="12.6" customHeight="1" x14ac:dyDescent="0.25">
      <c r="A6" s="59" t="s">
        <v>50</v>
      </c>
      <c r="B6" s="7" t="s">
        <v>49</v>
      </c>
      <c r="C6" s="159" t="s">
        <v>37</v>
      </c>
      <c r="D6" s="62" t="s">
        <v>51</v>
      </c>
      <c r="K6" s="68" t="s">
        <v>748</v>
      </c>
      <c r="L6" s="66" t="s">
        <v>744</v>
      </c>
      <c r="M6" s="66" t="s">
        <v>745</v>
      </c>
      <c r="N6" s="67" t="s">
        <v>33</v>
      </c>
    </row>
    <row r="7" spans="1:14" ht="12.6" customHeight="1" x14ac:dyDescent="0.25">
      <c r="A7" s="59" t="s">
        <v>3</v>
      </c>
      <c r="B7" s="7" t="s">
        <v>52</v>
      </c>
      <c r="C7" s="159" t="s">
        <v>37</v>
      </c>
      <c r="D7" s="62" t="s">
        <v>53</v>
      </c>
      <c r="K7" s="80" t="s">
        <v>791</v>
      </c>
      <c r="L7" s="81" t="s">
        <v>747</v>
      </c>
      <c r="M7" s="69">
        <v>-65.504170000000002</v>
      </c>
      <c r="N7" s="63" t="s">
        <v>793</v>
      </c>
    </row>
    <row r="8" spans="1:14" ht="12.6" customHeight="1" x14ac:dyDescent="0.25">
      <c r="A8" s="59" t="s">
        <v>55</v>
      </c>
      <c r="B8" s="7" t="s">
        <v>54</v>
      </c>
      <c r="C8" s="159" t="s">
        <v>37</v>
      </c>
      <c r="D8" s="62" t="s">
        <v>56</v>
      </c>
      <c r="F8" s="217" t="s">
        <v>720</v>
      </c>
      <c r="G8" s="217"/>
      <c r="H8" s="217"/>
      <c r="I8" s="217"/>
    </row>
    <row r="9" spans="1:14" ht="12.6" customHeight="1" x14ac:dyDescent="0.25">
      <c r="A9" s="59" t="s">
        <v>58</v>
      </c>
      <c r="B9" s="7" t="s">
        <v>57</v>
      </c>
      <c r="C9" s="159" t="s">
        <v>37</v>
      </c>
      <c r="D9" s="62" t="s">
        <v>59</v>
      </c>
      <c r="F9" s="56" t="s">
        <v>721</v>
      </c>
      <c r="G9" s="57" t="s">
        <v>722</v>
      </c>
      <c r="H9" s="57" t="s">
        <v>723</v>
      </c>
      <c r="I9" s="58" t="s">
        <v>753</v>
      </c>
    </row>
    <row r="10" spans="1:14" ht="12.6" customHeight="1" x14ac:dyDescent="0.25">
      <c r="A10" s="59" t="s">
        <v>61</v>
      </c>
      <c r="B10" s="7" t="s">
        <v>60</v>
      </c>
      <c r="C10" s="159" t="s">
        <v>37</v>
      </c>
      <c r="D10" s="62" t="s">
        <v>62</v>
      </c>
      <c r="F10" s="59" t="s">
        <v>730</v>
      </c>
      <c r="G10" s="7" t="s">
        <v>731</v>
      </c>
      <c r="H10" s="7" t="s">
        <v>107</v>
      </c>
      <c r="I10" s="62" t="s">
        <v>715</v>
      </c>
    </row>
    <row r="11" spans="1:14" ht="12.6" customHeight="1" x14ac:dyDescent="0.25">
      <c r="A11" s="59" t="s">
        <v>64</v>
      </c>
      <c r="B11" s="7" t="s">
        <v>63</v>
      </c>
      <c r="C11" s="159" t="s">
        <v>37</v>
      </c>
      <c r="D11" s="62" t="s">
        <v>65</v>
      </c>
      <c r="F11" s="59" t="s">
        <v>716</v>
      </c>
      <c r="G11" s="7" t="s">
        <v>734</v>
      </c>
      <c r="H11" s="7" t="s">
        <v>716</v>
      </c>
      <c r="I11" s="62" t="s">
        <v>715</v>
      </c>
    </row>
    <row r="12" spans="1:14" x14ac:dyDescent="0.25">
      <c r="A12" s="59" t="s">
        <v>242</v>
      </c>
      <c r="B12" s="7" t="s">
        <v>241</v>
      </c>
      <c r="C12" s="159" t="s">
        <v>37</v>
      </c>
      <c r="D12" s="62" t="s">
        <v>243</v>
      </c>
      <c r="F12" s="59" t="s">
        <v>411</v>
      </c>
      <c r="G12" s="7" t="s">
        <v>724</v>
      </c>
      <c r="H12" s="7" t="s">
        <v>411</v>
      </c>
      <c r="I12" s="62" t="s">
        <v>715</v>
      </c>
    </row>
    <row r="13" spans="1:14" x14ac:dyDescent="0.25">
      <c r="A13" s="59" t="s">
        <v>4</v>
      </c>
      <c r="B13" s="7" t="s">
        <v>401</v>
      </c>
      <c r="C13" s="159" t="s">
        <v>37</v>
      </c>
      <c r="D13" s="62" t="s">
        <v>402</v>
      </c>
      <c r="F13" s="59" t="s">
        <v>164</v>
      </c>
      <c r="G13" s="7" t="s">
        <v>732</v>
      </c>
      <c r="H13" s="7" t="s">
        <v>164</v>
      </c>
      <c r="I13" s="62" t="s">
        <v>715</v>
      </c>
    </row>
    <row r="14" spans="1:14" x14ac:dyDescent="0.25">
      <c r="A14" s="59" t="s">
        <v>239</v>
      </c>
      <c r="B14" s="7" t="s">
        <v>238</v>
      </c>
      <c r="C14" s="159" t="s">
        <v>37</v>
      </c>
      <c r="D14" s="62" t="s">
        <v>240</v>
      </c>
      <c r="F14" s="59" t="s">
        <v>726</v>
      </c>
      <c r="G14" s="7" t="s">
        <v>727</v>
      </c>
      <c r="H14" s="7" t="s">
        <v>183</v>
      </c>
      <c r="I14" s="62" t="s">
        <v>715</v>
      </c>
    </row>
    <row r="15" spans="1:14" x14ac:dyDescent="0.25">
      <c r="A15" s="59" t="s">
        <v>425</v>
      </c>
      <c r="B15" s="7" t="s">
        <v>66</v>
      </c>
      <c r="C15" s="159" t="s">
        <v>37</v>
      </c>
      <c r="D15" s="62" t="s">
        <v>67</v>
      </c>
      <c r="F15" s="59" t="s">
        <v>718</v>
      </c>
      <c r="G15" s="7" t="s">
        <v>733</v>
      </c>
      <c r="H15" s="7" t="s">
        <v>718</v>
      </c>
      <c r="I15" s="62" t="s">
        <v>717</v>
      </c>
    </row>
    <row r="16" spans="1:14" x14ac:dyDescent="0.25">
      <c r="A16" s="59" t="s">
        <v>986</v>
      </c>
      <c r="B16" s="7" t="s">
        <v>987</v>
      </c>
      <c r="C16" s="159" t="s">
        <v>37</v>
      </c>
      <c r="D16" s="62" t="s">
        <v>987</v>
      </c>
      <c r="F16" s="59" t="s">
        <v>728</v>
      </c>
      <c r="G16" s="7" t="s">
        <v>729</v>
      </c>
      <c r="H16" s="7" t="s">
        <v>166</v>
      </c>
      <c r="I16" s="62" t="s">
        <v>717</v>
      </c>
    </row>
    <row r="17" spans="1:9" x14ac:dyDescent="0.25">
      <c r="A17" s="59" t="s">
        <v>898</v>
      </c>
      <c r="B17" s="7" t="s">
        <v>899</v>
      </c>
      <c r="C17" s="159" t="s">
        <v>37</v>
      </c>
      <c r="D17" s="62" t="s">
        <v>435</v>
      </c>
      <c r="F17" s="59" t="s">
        <v>51</v>
      </c>
      <c r="G17" s="7" t="s">
        <v>725</v>
      </c>
      <c r="H17" s="7" t="s">
        <v>51</v>
      </c>
      <c r="I17" s="62" t="s">
        <v>717</v>
      </c>
    </row>
    <row r="18" spans="1:9" x14ac:dyDescent="0.25">
      <c r="A18" s="59" t="s">
        <v>900</v>
      </c>
      <c r="B18" s="7" t="s">
        <v>901</v>
      </c>
      <c r="C18" s="159" t="s">
        <v>37</v>
      </c>
      <c r="D18" s="62" t="s">
        <v>72</v>
      </c>
      <c r="F18" s="60" t="s">
        <v>719</v>
      </c>
      <c r="G18" s="216" t="s">
        <v>742</v>
      </c>
      <c r="H18" s="216"/>
      <c r="I18" s="63" t="s">
        <v>719</v>
      </c>
    </row>
    <row r="19" spans="1:9" x14ac:dyDescent="0.25">
      <c r="A19" s="59" t="s">
        <v>902</v>
      </c>
      <c r="B19" s="7" t="s">
        <v>903</v>
      </c>
      <c r="C19" s="159" t="s">
        <v>37</v>
      </c>
      <c r="D19" s="62" t="s">
        <v>73</v>
      </c>
    </row>
    <row r="20" spans="1:9" x14ac:dyDescent="0.25">
      <c r="A20" s="59" t="s">
        <v>904</v>
      </c>
      <c r="B20" s="7" t="s">
        <v>905</v>
      </c>
      <c r="C20" s="159" t="s">
        <v>37</v>
      </c>
      <c r="D20" s="62" t="s">
        <v>68</v>
      </c>
    </row>
    <row r="21" spans="1:9" x14ac:dyDescent="0.25">
      <c r="A21" s="59" t="s">
        <v>906</v>
      </c>
      <c r="B21" s="7" t="s">
        <v>907</v>
      </c>
      <c r="C21" s="159" t="s">
        <v>37</v>
      </c>
      <c r="D21" s="62" t="s">
        <v>74</v>
      </c>
      <c r="F21" s="213" t="s">
        <v>738</v>
      </c>
      <c r="G21" s="213"/>
    </row>
    <row r="22" spans="1:9" x14ac:dyDescent="0.25">
      <c r="A22" s="59" t="s">
        <v>908</v>
      </c>
      <c r="B22" s="7" t="s">
        <v>909</v>
      </c>
      <c r="C22" s="159" t="s">
        <v>37</v>
      </c>
      <c r="D22" s="62" t="s">
        <v>443</v>
      </c>
      <c r="F22" s="56" t="s">
        <v>739</v>
      </c>
      <c r="G22" s="58" t="s">
        <v>740</v>
      </c>
    </row>
    <row r="23" spans="1:9" x14ac:dyDescent="0.25">
      <c r="A23" s="59" t="s">
        <v>910</v>
      </c>
      <c r="B23" s="7" t="s">
        <v>911</v>
      </c>
      <c r="C23" s="159" t="s">
        <v>37</v>
      </c>
      <c r="D23" s="62" t="s">
        <v>75</v>
      </c>
      <c r="F23" s="59" t="s">
        <v>715</v>
      </c>
      <c r="G23" s="62" t="s">
        <v>735</v>
      </c>
    </row>
    <row r="24" spans="1:9" x14ac:dyDescent="0.25">
      <c r="A24" s="59" t="s">
        <v>912</v>
      </c>
      <c r="B24" s="7" t="s">
        <v>913</v>
      </c>
      <c r="C24" s="159" t="s">
        <v>37</v>
      </c>
      <c r="D24" s="62" t="s">
        <v>76</v>
      </c>
      <c r="F24" s="59" t="s">
        <v>741</v>
      </c>
      <c r="G24" s="62" t="s">
        <v>736</v>
      </c>
    </row>
    <row r="25" spans="1:9" x14ac:dyDescent="0.25">
      <c r="A25" s="59" t="s">
        <v>914</v>
      </c>
      <c r="B25" s="7" t="s">
        <v>915</v>
      </c>
      <c r="C25" s="159" t="s">
        <v>37</v>
      </c>
      <c r="D25" s="62" t="s">
        <v>77</v>
      </c>
      <c r="F25" s="59" t="s">
        <v>717</v>
      </c>
      <c r="G25" s="62" t="s">
        <v>737</v>
      </c>
    </row>
    <row r="26" spans="1:9" x14ac:dyDescent="0.25">
      <c r="A26" s="59" t="s">
        <v>916</v>
      </c>
      <c r="B26" s="7" t="s">
        <v>917</v>
      </c>
      <c r="C26" s="159" t="s">
        <v>37</v>
      </c>
      <c r="D26" s="62" t="s">
        <v>444</v>
      </c>
      <c r="F26" s="64" t="s">
        <v>719</v>
      </c>
      <c r="G26" s="65" t="s">
        <v>742</v>
      </c>
    </row>
    <row r="27" spans="1:9" x14ac:dyDescent="0.25">
      <c r="A27" s="59" t="s">
        <v>918</v>
      </c>
      <c r="B27" s="7" t="s">
        <v>919</v>
      </c>
      <c r="C27" s="159" t="s">
        <v>37</v>
      </c>
      <c r="D27" s="62" t="s">
        <v>78</v>
      </c>
    </row>
    <row r="28" spans="1:9" x14ac:dyDescent="0.25">
      <c r="A28" s="59" t="s">
        <v>920</v>
      </c>
      <c r="B28" s="7" t="s">
        <v>921</v>
      </c>
      <c r="C28" s="159" t="s">
        <v>37</v>
      </c>
      <c r="D28" s="62" t="s">
        <v>79</v>
      </c>
    </row>
    <row r="29" spans="1:9" x14ac:dyDescent="0.25">
      <c r="A29" s="59" t="s">
        <v>922</v>
      </c>
      <c r="B29" s="7" t="s">
        <v>923</v>
      </c>
      <c r="C29" s="159" t="s">
        <v>37</v>
      </c>
      <c r="D29" s="62" t="s">
        <v>80</v>
      </c>
      <c r="F29" s="213" t="s">
        <v>764</v>
      </c>
      <c r="G29" s="213"/>
    </row>
    <row r="30" spans="1:9" x14ac:dyDescent="0.25">
      <c r="A30" s="59" t="s">
        <v>924</v>
      </c>
      <c r="B30" s="7" t="s">
        <v>925</v>
      </c>
      <c r="C30" s="159" t="s">
        <v>37</v>
      </c>
      <c r="D30" s="62" t="s">
        <v>81</v>
      </c>
      <c r="F30" s="56" t="s">
        <v>765</v>
      </c>
      <c r="G30" s="58" t="s">
        <v>766</v>
      </c>
    </row>
    <row r="31" spans="1:9" x14ac:dyDescent="0.25">
      <c r="A31" s="59" t="s">
        <v>926</v>
      </c>
      <c r="B31" s="7" t="s">
        <v>927</v>
      </c>
      <c r="C31" s="159" t="s">
        <v>37</v>
      </c>
      <c r="D31" s="62" t="s">
        <v>82</v>
      </c>
      <c r="F31" s="59" t="s">
        <v>767</v>
      </c>
      <c r="G31" s="62" t="s">
        <v>754</v>
      </c>
    </row>
    <row r="32" spans="1:9" x14ac:dyDescent="0.25">
      <c r="A32" s="59" t="s">
        <v>928</v>
      </c>
      <c r="B32" s="7" t="s">
        <v>929</v>
      </c>
      <c r="C32" s="159" t="s">
        <v>37</v>
      </c>
      <c r="D32" s="62" t="s">
        <v>83</v>
      </c>
      <c r="F32" s="59" t="s">
        <v>771</v>
      </c>
      <c r="G32" s="62" t="s">
        <v>755</v>
      </c>
    </row>
    <row r="33" spans="1:7" x14ac:dyDescent="0.25">
      <c r="A33" s="59" t="s">
        <v>930</v>
      </c>
      <c r="B33" s="7" t="s">
        <v>931</v>
      </c>
      <c r="C33" s="159" t="s">
        <v>37</v>
      </c>
      <c r="D33" s="62" t="s">
        <v>84</v>
      </c>
      <c r="F33" s="59" t="s">
        <v>768</v>
      </c>
      <c r="G33" s="62" t="s">
        <v>756</v>
      </c>
    </row>
    <row r="34" spans="1:7" x14ac:dyDescent="0.25">
      <c r="A34" s="59" t="s">
        <v>932</v>
      </c>
      <c r="B34" s="7" t="s">
        <v>933</v>
      </c>
      <c r="C34" s="159" t="s">
        <v>37</v>
      </c>
      <c r="D34" s="62" t="s">
        <v>85</v>
      </c>
      <c r="F34" s="59" t="s">
        <v>770</v>
      </c>
      <c r="G34" s="62" t="s">
        <v>757</v>
      </c>
    </row>
    <row r="35" spans="1:7" x14ac:dyDescent="0.25">
      <c r="A35" s="59" t="s">
        <v>934</v>
      </c>
      <c r="B35" s="7" t="s">
        <v>935</v>
      </c>
      <c r="C35" s="159" t="s">
        <v>37</v>
      </c>
      <c r="D35" s="62" t="s">
        <v>445</v>
      </c>
      <c r="F35" s="59" t="s">
        <v>772</v>
      </c>
      <c r="G35" s="62" t="s">
        <v>758</v>
      </c>
    </row>
    <row r="36" spans="1:7" x14ac:dyDescent="0.25">
      <c r="A36" s="59" t="s">
        <v>936</v>
      </c>
      <c r="B36" s="7" t="s">
        <v>937</v>
      </c>
      <c r="C36" s="159" t="s">
        <v>37</v>
      </c>
      <c r="D36" s="62" t="s">
        <v>86</v>
      </c>
      <c r="F36" s="59" t="s">
        <v>773</v>
      </c>
      <c r="G36" s="62" t="s">
        <v>774</v>
      </c>
    </row>
    <row r="37" spans="1:7" x14ac:dyDescent="0.25">
      <c r="A37" s="59" t="s">
        <v>938</v>
      </c>
      <c r="B37" s="7" t="s">
        <v>939</v>
      </c>
      <c r="C37" s="159" t="s">
        <v>37</v>
      </c>
      <c r="D37" s="62" t="s">
        <v>87</v>
      </c>
      <c r="F37" s="64" t="s">
        <v>719</v>
      </c>
      <c r="G37" s="65" t="s">
        <v>742</v>
      </c>
    </row>
    <row r="38" spans="1:7" x14ac:dyDescent="0.25">
      <c r="A38" s="59" t="s">
        <v>940</v>
      </c>
      <c r="B38" s="7" t="s">
        <v>941</v>
      </c>
      <c r="C38" s="159" t="s">
        <v>37</v>
      </c>
      <c r="D38" s="62" t="s">
        <v>88</v>
      </c>
    </row>
    <row r="39" spans="1:7" x14ac:dyDescent="0.25">
      <c r="A39" s="59" t="s">
        <v>942</v>
      </c>
      <c r="B39" s="7" t="s">
        <v>943</v>
      </c>
      <c r="C39" s="159" t="s">
        <v>37</v>
      </c>
      <c r="D39" s="62" t="s">
        <v>89</v>
      </c>
    </row>
    <row r="40" spans="1:7" x14ac:dyDescent="0.25">
      <c r="A40" s="59" t="s">
        <v>944</v>
      </c>
      <c r="B40" s="7" t="s">
        <v>945</v>
      </c>
      <c r="C40" s="159" t="s">
        <v>37</v>
      </c>
      <c r="D40" s="62" t="s">
        <v>356</v>
      </c>
      <c r="F40" s="213" t="s">
        <v>775</v>
      </c>
      <c r="G40" s="213"/>
    </row>
    <row r="41" spans="1:7" x14ac:dyDescent="0.25">
      <c r="A41" s="59" t="s">
        <v>946</v>
      </c>
      <c r="B41" s="7" t="s">
        <v>947</v>
      </c>
      <c r="C41" s="159" t="s">
        <v>37</v>
      </c>
      <c r="D41" s="62" t="s">
        <v>446</v>
      </c>
      <c r="F41" s="56" t="s">
        <v>765</v>
      </c>
      <c r="G41" s="58" t="s">
        <v>766</v>
      </c>
    </row>
    <row r="42" spans="1:7" x14ac:dyDescent="0.25">
      <c r="A42" s="59" t="s">
        <v>948</v>
      </c>
      <c r="B42" s="7" t="s">
        <v>949</v>
      </c>
      <c r="C42" s="159" t="s">
        <v>37</v>
      </c>
      <c r="D42" s="62" t="s">
        <v>90</v>
      </c>
      <c r="F42" s="59" t="s">
        <v>780</v>
      </c>
      <c r="G42" s="62" t="s">
        <v>759</v>
      </c>
    </row>
    <row r="43" spans="1:7" x14ac:dyDescent="0.25">
      <c r="A43" s="59" t="s">
        <v>950</v>
      </c>
      <c r="B43" s="7" t="s">
        <v>951</v>
      </c>
      <c r="C43" s="159" t="s">
        <v>37</v>
      </c>
      <c r="D43" s="62" t="s">
        <v>91</v>
      </c>
      <c r="F43" s="59" t="s">
        <v>777</v>
      </c>
      <c r="G43" s="62" t="s">
        <v>760</v>
      </c>
    </row>
    <row r="44" spans="1:7" x14ac:dyDescent="0.25">
      <c r="A44" s="59" t="s">
        <v>70</v>
      </c>
      <c r="B44" s="7" t="s">
        <v>69</v>
      </c>
      <c r="C44" s="159" t="s">
        <v>37</v>
      </c>
      <c r="D44" s="62" t="s">
        <v>71</v>
      </c>
      <c r="F44" s="59" t="s">
        <v>778</v>
      </c>
      <c r="G44" s="62" t="s">
        <v>761</v>
      </c>
    </row>
    <row r="45" spans="1:7" x14ac:dyDescent="0.25">
      <c r="A45" s="59" t="s">
        <v>254</v>
      </c>
      <c r="B45" s="7" t="s">
        <v>253</v>
      </c>
      <c r="C45" s="159" t="s">
        <v>37</v>
      </c>
      <c r="D45" s="62" t="s">
        <v>255</v>
      </c>
      <c r="F45" s="59" t="s">
        <v>781</v>
      </c>
      <c r="G45" s="62" t="s">
        <v>762</v>
      </c>
    </row>
    <row r="46" spans="1:7" x14ac:dyDescent="0.25">
      <c r="A46" s="59" t="s">
        <v>952</v>
      </c>
      <c r="B46" s="7" t="s">
        <v>953</v>
      </c>
      <c r="C46" s="159" t="s">
        <v>37</v>
      </c>
      <c r="D46" s="62" t="s">
        <v>92</v>
      </c>
      <c r="F46" s="59" t="s">
        <v>769</v>
      </c>
      <c r="G46" s="62" t="s">
        <v>763</v>
      </c>
    </row>
    <row r="47" spans="1:7" x14ac:dyDescent="0.25">
      <c r="A47" s="59" t="s">
        <v>954</v>
      </c>
      <c r="B47" s="7" t="s">
        <v>955</v>
      </c>
      <c r="C47" s="159" t="s">
        <v>37</v>
      </c>
      <c r="D47" s="62" t="s">
        <v>93</v>
      </c>
      <c r="F47" s="59" t="s">
        <v>779</v>
      </c>
      <c r="G47" s="62" t="s">
        <v>776</v>
      </c>
    </row>
    <row r="48" spans="1:7" x14ac:dyDescent="0.25">
      <c r="A48" s="59" t="s">
        <v>95</v>
      </c>
      <c r="B48" s="7" t="s">
        <v>94</v>
      </c>
      <c r="C48" s="159" t="s">
        <v>37</v>
      </c>
      <c r="D48" s="62" t="s">
        <v>96</v>
      </c>
      <c r="F48" s="64" t="s">
        <v>719</v>
      </c>
      <c r="G48" s="65" t="s">
        <v>742</v>
      </c>
    </row>
    <row r="49" spans="1:4" x14ac:dyDescent="0.25">
      <c r="A49" s="59" t="s">
        <v>263</v>
      </c>
      <c r="B49" s="7" t="s">
        <v>262</v>
      </c>
      <c r="C49" s="159" t="s">
        <v>37</v>
      </c>
      <c r="D49" s="62" t="s">
        <v>264</v>
      </c>
    </row>
    <row r="50" spans="1:4" x14ac:dyDescent="0.25">
      <c r="A50" s="59" t="s">
        <v>98</v>
      </c>
      <c r="B50" s="7" t="s">
        <v>97</v>
      </c>
      <c r="C50" s="159" t="s">
        <v>37</v>
      </c>
      <c r="D50" s="62" t="s">
        <v>99</v>
      </c>
    </row>
    <row r="51" spans="1:4" x14ac:dyDescent="0.25">
      <c r="A51" s="59" t="s">
        <v>956</v>
      </c>
      <c r="B51" s="7" t="s">
        <v>957</v>
      </c>
      <c r="C51" s="159" t="s">
        <v>37</v>
      </c>
      <c r="D51" s="62" t="s">
        <v>92</v>
      </c>
    </row>
    <row r="52" spans="1:4" x14ac:dyDescent="0.25">
      <c r="A52" s="59" t="s">
        <v>101</v>
      </c>
      <c r="B52" s="7" t="s">
        <v>100</v>
      </c>
      <c r="C52" s="159" t="s">
        <v>37</v>
      </c>
      <c r="D52" s="62" t="s">
        <v>102</v>
      </c>
    </row>
    <row r="53" spans="1:4" x14ac:dyDescent="0.25">
      <c r="A53" s="59" t="s">
        <v>104</v>
      </c>
      <c r="B53" s="7" t="s">
        <v>103</v>
      </c>
      <c r="C53" s="159" t="s">
        <v>37</v>
      </c>
      <c r="D53" s="62" t="s">
        <v>105</v>
      </c>
    </row>
    <row r="54" spans="1:4" x14ac:dyDescent="0.25">
      <c r="A54" s="59" t="s">
        <v>958</v>
      </c>
      <c r="B54" s="7" t="s">
        <v>106</v>
      </c>
      <c r="C54" s="159" t="s">
        <v>37</v>
      </c>
      <c r="D54" s="62" t="s">
        <v>107</v>
      </c>
    </row>
    <row r="55" spans="1:4" x14ac:dyDescent="0.25">
      <c r="A55" s="59" t="s">
        <v>109</v>
      </c>
      <c r="B55" s="7" t="s">
        <v>108</v>
      </c>
      <c r="C55" s="159" t="s">
        <v>37</v>
      </c>
      <c r="D55" s="62" t="s">
        <v>110</v>
      </c>
    </row>
    <row r="56" spans="1:4" x14ac:dyDescent="0.25">
      <c r="A56" s="59" t="s">
        <v>112</v>
      </c>
      <c r="B56" s="7" t="s">
        <v>111</v>
      </c>
      <c r="C56" s="159" t="s">
        <v>37</v>
      </c>
      <c r="D56" s="62" t="s">
        <v>113</v>
      </c>
    </row>
    <row r="57" spans="1:4" x14ac:dyDescent="0.25">
      <c r="A57" s="59" t="s">
        <v>5</v>
      </c>
      <c r="B57" s="7" t="s">
        <v>114</v>
      </c>
      <c r="C57" s="159" t="s">
        <v>37</v>
      </c>
      <c r="D57" s="62" t="s">
        <v>115</v>
      </c>
    </row>
    <row r="58" spans="1:4" x14ac:dyDescent="0.25">
      <c r="A58" s="59" t="s">
        <v>959</v>
      </c>
      <c r="B58" s="7" t="s">
        <v>116</v>
      </c>
      <c r="C58" s="159" t="s">
        <v>37</v>
      </c>
      <c r="D58" s="62" t="s">
        <v>117</v>
      </c>
    </row>
    <row r="59" spans="1:4" x14ac:dyDescent="0.25">
      <c r="A59" s="59" t="s">
        <v>308</v>
      </c>
      <c r="B59" s="7" t="s">
        <v>307</v>
      </c>
      <c r="C59" s="159" t="s">
        <v>37</v>
      </c>
      <c r="D59" s="62" t="s">
        <v>309</v>
      </c>
    </row>
    <row r="60" spans="1:4" x14ac:dyDescent="0.25">
      <c r="A60" s="59" t="s">
        <v>119</v>
      </c>
      <c r="B60" s="7" t="s">
        <v>118</v>
      </c>
      <c r="C60" s="159" t="s">
        <v>37</v>
      </c>
      <c r="D60" s="62" t="s">
        <v>120</v>
      </c>
    </row>
    <row r="61" spans="1:4" x14ac:dyDescent="0.25">
      <c r="A61" s="59" t="s">
        <v>122</v>
      </c>
      <c r="B61" s="7" t="s">
        <v>121</v>
      </c>
      <c r="C61" s="159" t="s">
        <v>37</v>
      </c>
      <c r="D61" s="62" t="s">
        <v>123</v>
      </c>
    </row>
    <row r="62" spans="1:4" x14ac:dyDescent="0.25">
      <c r="A62" s="59" t="s">
        <v>322</v>
      </c>
      <c r="B62" s="7" t="s">
        <v>321</v>
      </c>
      <c r="C62" s="159" t="s">
        <v>37</v>
      </c>
      <c r="D62" s="62" t="s">
        <v>323</v>
      </c>
    </row>
    <row r="63" spans="1:4" x14ac:dyDescent="0.25">
      <c r="A63" s="59" t="s">
        <v>125</v>
      </c>
      <c r="B63" s="7" t="s">
        <v>124</v>
      </c>
      <c r="C63" s="159" t="s">
        <v>37</v>
      </c>
      <c r="D63" s="62" t="s">
        <v>126</v>
      </c>
    </row>
    <row r="64" spans="1:4" x14ac:dyDescent="0.25">
      <c r="A64" s="59" t="s">
        <v>128</v>
      </c>
      <c r="B64" s="7" t="s">
        <v>127</v>
      </c>
      <c r="C64" s="159" t="s">
        <v>37</v>
      </c>
      <c r="D64" s="62" t="s">
        <v>129</v>
      </c>
    </row>
    <row r="65" spans="1:4" x14ac:dyDescent="0.25">
      <c r="A65" s="59" t="s">
        <v>131</v>
      </c>
      <c r="B65" s="7" t="s">
        <v>130</v>
      </c>
      <c r="C65" s="159" t="s">
        <v>37</v>
      </c>
      <c r="D65" s="62" t="s">
        <v>132</v>
      </c>
    </row>
    <row r="66" spans="1:4" x14ac:dyDescent="0.25">
      <c r="A66" s="59" t="s">
        <v>337</v>
      </c>
      <c r="B66" s="7" t="s">
        <v>336</v>
      </c>
      <c r="C66" s="159" t="s">
        <v>37</v>
      </c>
      <c r="D66" s="62" t="s">
        <v>338</v>
      </c>
    </row>
    <row r="67" spans="1:4" x14ac:dyDescent="0.25">
      <c r="A67" s="59" t="s">
        <v>960</v>
      </c>
      <c r="B67" s="7" t="s">
        <v>961</v>
      </c>
      <c r="C67" s="159" t="s">
        <v>37</v>
      </c>
      <c r="D67" s="62" t="s">
        <v>92</v>
      </c>
    </row>
    <row r="68" spans="1:4" x14ac:dyDescent="0.25">
      <c r="A68" s="59" t="s">
        <v>134</v>
      </c>
      <c r="B68" s="7" t="s">
        <v>133</v>
      </c>
      <c r="C68" s="159" t="s">
        <v>37</v>
      </c>
      <c r="D68" s="62" t="s">
        <v>135</v>
      </c>
    </row>
    <row r="69" spans="1:4" x14ac:dyDescent="0.25">
      <c r="A69" s="59" t="s">
        <v>9</v>
      </c>
      <c r="B69" s="7" t="s">
        <v>136</v>
      </c>
      <c r="C69" s="159" t="s">
        <v>37</v>
      </c>
      <c r="D69" s="62" t="s">
        <v>137</v>
      </c>
    </row>
    <row r="70" spans="1:4" x14ac:dyDescent="0.25">
      <c r="A70" s="59" t="s">
        <v>139</v>
      </c>
      <c r="B70" s="7" t="s">
        <v>138</v>
      </c>
      <c r="C70" s="159" t="s">
        <v>37</v>
      </c>
      <c r="D70" s="62" t="s">
        <v>140</v>
      </c>
    </row>
    <row r="71" spans="1:4" x14ac:dyDescent="0.25">
      <c r="A71" s="59" t="s">
        <v>142</v>
      </c>
      <c r="B71" s="7" t="s">
        <v>141</v>
      </c>
      <c r="C71" s="159" t="s">
        <v>37</v>
      </c>
      <c r="D71" s="62" t="s">
        <v>143</v>
      </c>
    </row>
    <row r="72" spans="1:4" x14ac:dyDescent="0.25">
      <c r="A72" s="59" t="s">
        <v>962</v>
      </c>
      <c r="B72" s="7" t="s">
        <v>144</v>
      </c>
      <c r="C72" s="159" t="s">
        <v>37</v>
      </c>
      <c r="D72" s="62" t="s">
        <v>145</v>
      </c>
    </row>
    <row r="73" spans="1:4" x14ac:dyDescent="0.25">
      <c r="A73" s="59" t="s">
        <v>963</v>
      </c>
      <c r="B73" s="7" t="s">
        <v>964</v>
      </c>
      <c r="C73" s="159" t="s">
        <v>37</v>
      </c>
      <c r="D73" s="62" t="s">
        <v>92</v>
      </c>
    </row>
    <row r="74" spans="1:4" x14ac:dyDescent="0.25">
      <c r="A74" s="59" t="s">
        <v>147</v>
      </c>
      <c r="B74" s="7" t="s">
        <v>146</v>
      </c>
      <c r="C74" s="159" t="s">
        <v>37</v>
      </c>
      <c r="D74" s="62" t="s">
        <v>148</v>
      </c>
    </row>
    <row r="75" spans="1:4" x14ac:dyDescent="0.25">
      <c r="A75" s="59" t="s">
        <v>150</v>
      </c>
      <c r="B75" s="7" t="s">
        <v>149</v>
      </c>
      <c r="C75" s="159" t="s">
        <v>37</v>
      </c>
      <c r="D75" s="62" t="s">
        <v>151</v>
      </c>
    </row>
    <row r="76" spans="1:4" x14ac:dyDescent="0.25">
      <c r="A76" s="59" t="s">
        <v>153</v>
      </c>
      <c r="B76" s="7" t="s">
        <v>152</v>
      </c>
      <c r="C76" s="159" t="s">
        <v>37</v>
      </c>
      <c r="D76" s="62" t="s">
        <v>154</v>
      </c>
    </row>
    <row r="77" spans="1:4" x14ac:dyDescent="0.25">
      <c r="A77" s="59" t="s">
        <v>965</v>
      </c>
      <c r="B77" s="7" t="s">
        <v>155</v>
      </c>
      <c r="C77" s="159" t="s">
        <v>37</v>
      </c>
      <c r="D77" s="62" t="s">
        <v>156</v>
      </c>
    </row>
    <row r="78" spans="1:4" x14ac:dyDescent="0.25">
      <c r="A78" s="59" t="s">
        <v>400</v>
      </c>
      <c r="B78" s="7" t="s">
        <v>157</v>
      </c>
      <c r="C78" s="159" t="s">
        <v>37</v>
      </c>
      <c r="D78" s="62" t="s">
        <v>158</v>
      </c>
    </row>
    <row r="79" spans="1:4" x14ac:dyDescent="0.25">
      <c r="A79" s="59" t="s">
        <v>160</v>
      </c>
      <c r="B79" s="7" t="s">
        <v>159</v>
      </c>
      <c r="C79" s="159" t="s">
        <v>37</v>
      </c>
      <c r="D79" s="62" t="s">
        <v>161</v>
      </c>
    </row>
    <row r="80" spans="1:4" x14ac:dyDescent="0.25">
      <c r="A80" s="59" t="s">
        <v>163</v>
      </c>
      <c r="B80" s="7" t="s">
        <v>162</v>
      </c>
      <c r="C80" s="159" t="s">
        <v>37</v>
      </c>
      <c r="D80" s="62" t="s">
        <v>164</v>
      </c>
    </row>
    <row r="81" spans="1:4" x14ac:dyDescent="0.25">
      <c r="A81" s="59" t="s">
        <v>984</v>
      </c>
      <c r="B81" s="7" t="s">
        <v>165</v>
      </c>
      <c r="C81" s="159" t="s">
        <v>37</v>
      </c>
      <c r="D81" s="62" t="s">
        <v>166</v>
      </c>
    </row>
    <row r="82" spans="1:4" x14ac:dyDescent="0.25">
      <c r="A82" s="59" t="s">
        <v>966</v>
      </c>
      <c r="B82" s="7" t="s">
        <v>967</v>
      </c>
      <c r="C82" s="159" t="s">
        <v>37</v>
      </c>
      <c r="D82" s="62" t="s">
        <v>169</v>
      </c>
    </row>
    <row r="83" spans="1:4" x14ac:dyDescent="0.25">
      <c r="A83" s="59" t="s">
        <v>968</v>
      </c>
      <c r="B83" s="7" t="s">
        <v>969</v>
      </c>
      <c r="C83" s="159" t="s">
        <v>37</v>
      </c>
      <c r="D83" s="62" t="s">
        <v>170</v>
      </c>
    </row>
    <row r="84" spans="1:4" x14ac:dyDescent="0.25">
      <c r="A84" s="59" t="s">
        <v>970</v>
      </c>
      <c r="B84" s="7" t="s">
        <v>971</v>
      </c>
      <c r="C84" s="159" t="s">
        <v>37</v>
      </c>
      <c r="D84" s="62" t="s">
        <v>171</v>
      </c>
    </row>
    <row r="85" spans="1:4" x14ac:dyDescent="0.25">
      <c r="A85" s="59" t="s">
        <v>972</v>
      </c>
      <c r="B85" s="7" t="s">
        <v>973</v>
      </c>
      <c r="C85" s="159" t="s">
        <v>37</v>
      </c>
      <c r="D85" s="62" t="s">
        <v>172</v>
      </c>
    </row>
    <row r="86" spans="1:4" x14ac:dyDescent="0.25">
      <c r="A86" s="59" t="s">
        <v>167</v>
      </c>
      <c r="B86" s="7" t="s">
        <v>167</v>
      </c>
      <c r="C86" s="159" t="s">
        <v>37</v>
      </c>
      <c r="D86" s="62" t="s">
        <v>168</v>
      </c>
    </row>
    <row r="87" spans="1:4" x14ac:dyDescent="0.25">
      <c r="A87" s="59" t="s">
        <v>174</v>
      </c>
      <c r="B87" s="7" t="s">
        <v>173</v>
      </c>
      <c r="C87" s="159" t="s">
        <v>37</v>
      </c>
      <c r="D87" s="62" t="s">
        <v>175</v>
      </c>
    </row>
    <row r="88" spans="1:4" x14ac:dyDescent="0.25">
      <c r="A88" s="59" t="s">
        <v>179</v>
      </c>
      <c r="B88" s="7" t="s">
        <v>178</v>
      </c>
      <c r="C88" s="159" t="s">
        <v>37</v>
      </c>
      <c r="D88" s="62" t="s">
        <v>180</v>
      </c>
    </row>
    <row r="89" spans="1:4" x14ac:dyDescent="0.25">
      <c r="A89" s="59" t="s">
        <v>974</v>
      </c>
      <c r="B89" s="7" t="s">
        <v>975</v>
      </c>
      <c r="C89" s="159" t="s">
        <v>37</v>
      </c>
      <c r="D89" s="62" t="s">
        <v>92</v>
      </c>
    </row>
    <row r="90" spans="1:4" x14ac:dyDescent="0.25">
      <c r="A90" s="160" t="s">
        <v>218</v>
      </c>
      <c r="B90" s="161" t="s">
        <v>217</v>
      </c>
      <c r="C90" s="162" t="s">
        <v>42</v>
      </c>
      <c r="D90" s="163" t="s">
        <v>219</v>
      </c>
    </row>
    <row r="91" spans="1:4" x14ac:dyDescent="0.25">
      <c r="A91" s="59" t="s">
        <v>182</v>
      </c>
      <c r="B91" s="7" t="s">
        <v>181</v>
      </c>
      <c r="C91" s="164" t="s">
        <v>42</v>
      </c>
      <c r="D91" s="62" t="s">
        <v>183</v>
      </c>
    </row>
    <row r="92" spans="1:4" x14ac:dyDescent="0.25">
      <c r="A92" s="59" t="s">
        <v>185</v>
      </c>
      <c r="B92" s="7" t="s">
        <v>184</v>
      </c>
      <c r="C92" s="164" t="s">
        <v>42</v>
      </c>
      <c r="D92" s="62" t="s">
        <v>186</v>
      </c>
    </row>
    <row r="93" spans="1:4" x14ac:dyDescent="0.25">
      <c r="A93" s="59" t="s">
        <v>188</v>
      </c>
      <c r="B93" s="7" t="s">
        <v>187</v>
      </c>
      <c r="C93" s="164" t="s">
        <v>42</v>
      </c>
      <c r="D93" s="62" t="s">
        <v>189</v>
      </c>
    </row>
    <row r="94" spans="1:4" x14ac:dyDescent="0.25">
      <c r="A94" s="64" t="s">
        <v>191</v>
      </c>
      <c r="B94" s="81" t="s">
        <v>190</v>
      </c>
      <c r="C94" s="165" t="s">
        <v>42</v>
      </c>
      <c r="D94" s="63" t="s">
        <v>192</v>
      </c>
    </row>
    <row r="95" spans="1:4" x14ac:dyDescent="0.25">
      <c r="A95" s="59" t="s">
        <v>427</v>
      </c>
      <c r="B95" s="7" t="s">
        <v>426</v>
      </c>
      <c r="C95" s="7" t="s">
        <v>47</v>
      </c>
      <c r="D95" s="62" t="s">
        <v>428</v>
      </c>
    </row>
    <row r="96" spans="1:4" x14ac:dyDescent="0.25">
      <c r="A96" s="59" t="s">
        <v>194</v>
      </c>
      <c r="B96" s="7" t="s">
        <v>193</v>
      </c>
      <c r="C96" s="7" t="s">
        <v>47</v>
      </c>
      <c r="D96" s="62" t="s">
        <v>195</v>
      </c>
    </row>
    <row r="97" spans="1:4" x14ac:dyDescent="0.25">
      <c r="A97" s="59" t="s">
        <v>197</v>
      </c>
      <c r="B97" s="7" t="s">
        <v>196</v>
      </c>
      <c r="C97" s="7" t="s">
        <v>47</v>
      </c>
      <c r="D97" s="62" t="s">
        <v>198</v>
      </c>
    </row>
    <row r="98" spans="1:4" x14ac:dyDescent="0.25">
      <c r="A98" s="59" t="s">
        <v>200</v>
      </c>
      <c r="B98" s="7" t="s">
        <v>199</v>
      </c>
      <c r="C98" s="7" t="s">
        <v>47</v>
      </c>
      <c r="D98" s="62" t="s">
        <v>201</v>
      </c>
    </row>
    <row r="99" spans="1:4" x14ac:dyDescent="0.25">
      <c r="A99" s="59" t="s">
        <v>203</v>
      </c>
      <c r="B99" s="7" t="s">
        <v>202</v>
      </c>
      <c r="C99" s="7" t="s">
        <v>47</v>
      </c>
      <c r="D99" s="62" t="s">
        <v>204</v>
      </c>
    </row>
    <row r="100" spans="1:4" x14ac:dyDescent="0.25">
      <c r="A100" s="59" t="s">
        <v>206</v>
      </c>
      <c r="B100" s="7" t="s">
        <v>205</v>
      </c>
      <c r="C100" s="7" t="s">
        <v>47</v>
      </c>
      <c r="D100" s="62" t="s">
        <v>207</v>
      </c>
    </row>
    <row r="101" spans="1:4" x14ac:dyDescent="0.25">
      <c r="A101" s="59" t="s">
        <v>209</v>
      </c>
      <c r="B101" s="7" t="s">
        <v>208</v>
      </c>
      <c r="C101" s="7" t="s">
        <v>47</v>
      </c>
      <c r="D101" s="62" t="s">
        <v>210</v>
      </c>
    </row>
    <row r="102" spans="1:4" x14ac:dyDescent="0.25">
      <c r="A102" s="59" t="s">
        <v>212</v>
      </c>
      <c r="B102" s="7" t="s">
        <v>211</v>
      </c>
      <c r="C102" s="7" t="s">
        <v>47</v>
      </c>
      <c r="D102" s="62" t="s">
        <v>213</v>
      </c>
    </row>
    <row r="103" spans="1:4" x14ac:dyDescent="0.25">
      <c r="A103" s="59" t="s">
        <v>215</v>
      </c>
      <c r="B103" s="7" t="s">
        <v>214</v>
      </c>
      <c r="C103" s="7" t="s">
        <v>47</v>
      </c>
      <c r="D103" s="62" t="s">
        <v>216</v>
      </c>
    </row>
    <row r="104" spans="1:4" x14ac:dyDescent="0.25">
      <c r="A104" s="59" t="s">
        <v>447</v>
      </c>
      <c r="B104" s="7" t="s">
        <v>448</v>
      </c>
      <c r="C104" s="7" t="s">
        <v>47</v>
      </c>
      <c r="D104" s="62" t="s">
        <v>449</v>
      </c>
    </row>
    <row r="105" spans="1:4" x14ac:dyDescent="0.25">
      <c r="A105" s="59" t="s">
        <v>423</v>
      </c>
      <c r="B105" s="7" t="s">
        <v>422</v>
      </c>
      <c r="C105" s="7" t="s">
        <v>47</v>
      </c>
      <c r="D105" s="62" t="s">
        <v>424</v>
      </c>
    </row>
    <row r="106" spans="1:4" x14ac:dyDescent="0.25">
      <c r="A106" s="59" t="s">
        <v>436</v>
      </c>
      <c r="B106" s="7" t="s">
        <v>437</v>
      </c>
      <c r="C106" s="7" t="s">
        <v>47</v>
      </c>
      <c r="D106" s="62" t="s">
        <v>438</v>
      </c>
    </row>
    <row r="107" spans="1:4" x14ac:dyDescent="0.25">
      <c r="A107" s="59" t="s">
        <v>221</v>
      </c>
      <c r="B107" s="7" t="s">
        <v>220</v>
      </c>
      <c r="C107" s="7" t="s">
        <v>47</v>
      </c>
      <c r="D107" s="62" t="s">
        <v>222</v>
      </c>
    </row>
    <row r="108" spans="1:4" x14ac:dyDescent="0.25">
      <c r="A108" s="59" t="s">
        <v>224</v>
      </c>
      <c r="B108" s="7" t="s">
        <v>223</v>
      </c>
      <c r="C108" s="7" t="s">
        <v>47</v>
      </c>
      <c r="D108" s="62" t="s">
        <v>225</v>
      </c>
    </row>
    <row r="109" spans="1:4" x14ac:dyDescent="0.25">
      <c r="A109" s="59" t="s">
        <v>227</v>
      </c>
      <c r="B109" s="7" t="s">
        <v>226</v>
      </c>
      <c r="C109" s="7" t="s">
        <v>47</v>
      </c>
      <c r="D109" s="62" t="s">
        <v>228</v>
      </c>
    </row>
    <row r="110" spans="1:4" x14ac:dyDescent="0.25">
      <c r="A110" s="59" t="s">
        <v>230</v>
      </c>
      <c r="B110" s="7" t="s">
        <v>229</v>
      </c>
      <c r="C110" s="7" t="s">
        <v>47</v>
      </c>
      <c r="D110" s="62" t="s">
        <v>231</v>
      </c>
    </row>
    <row r="111" spans="1:4" x14ac:dyDescent="0.25">
      <c r="A111" s="59" t="s">
        <v>233</v>
      </c>
      <c r="B111" s="7" t="s">
        <v>232</v>
      </c>
      <c r="C111" s="7" t="s">
        <v>47</v>
      </c>
      <c r="D111" s="62" t="s">
        <v>234</v>
      </c>
    </row>
    <row r="112" spans="1:4" x14ac:dyDescent="0.25">
      <c r="A112" s="59" t="s">
        <v>236</v>
      </c>
      <c r="B112" s="7" t="s">
        <v>235</v>
      </c>
      <c r="C112" s="7" t="s">
        <v>47</v>
      </c>
      <c r="D112" s="62" t="s">
        <v>237</v>
      </c>
    </row>
    <row r="113" spans="1:4" x14ac:dyDescent="0.25">
      <c r="A113" s="59" t="s">
        <v>439</v>
      </c>
      <c r="B113" s="7" t="s">
        <v>440</v>
      </c>
      <c r="C113" s="7" t="s">
        <v>47</v>
      </c>
      <c r="D113" s="62" t="s">
        <v>441</v>
      </c>
    </row>
    <row r="114" spans="1:4" x14ac:dyDescent="0.25">
      <c r="A114" s="59" t="s">
        <v>245</v>
      </c>
      <c r="B114" s="7" t="s">
        <v>244</v>
      </c>
      <c r="C114" s="7" t="s">
        <v>47</v>
      </c>
      <c r="D114" s="62" t="s">
        <v>246</v>
      </c>
    </row>
    <row r="115" spans="1:4" x14ac:dyDescent="0.25">
      <c r="A115" s="59" t="s">
        <v>248</v>
      </c>
      <c r="B115" s="7" t="s">
        <v>247</v>
      </c>
      <c r="C115" s="7" t="s">
        <v>47</v>
      </c>
      <c r="D115" s="62" t="s">
        <v>249</v>
      </c>
    </row>
    <row r="116" spans="1:4" x14ac:dyDescent="0.25">
      <c r="A116" s="59" t="s">
        <v>251</v>
      </c>
      <c r="B116" s="7" t="s">
        <v>250</v>
      </c>
      <c r="C116" s="7" t="s">
        <v>47</v>
      </c>
      <c r="D116" s="62" t="s">
        <v>252</v>
      </c>
    </row>
    <row r="117" spans="1:4" x14ac:dyDescent="0.25">
      <c r="A117" s="59" t="s">
        <v>404</v>
      </c>
      <c r="B117" s="7" t="s">
        <v>403</v>
      </c>
      <c r="C117" s="7" t="s">
        <v>47</v>
      </c>
      <c r="D117" s="62" t="s">
        <v>405</v>
      </c>
    </row>
    <row r="118" spans="1:4" x14ac:dyDescent="0.25">
      <c r="A118" s="59" t="s">
        <v>257</v>
      </c>
      <c r="B118" s="7" t="s">
        <v>256</v>
      </c>
      <c r="C118" s="7" t="s">
        <v>47</v>
      </c>
      <c r="D118" s="62" t="s">
        <v>258</v>
      </c>
    </row>
    <row r="119" spans="1:4" x14ac:dyDescent="0.25">
      <c r="A119" s="59" t="s">
        <v>260</v>
      </c>
      <c r="B119" s="7" t="s">
        <v>259</v>
      </c>
      <c r="C119" s="7" t="s">
        <v>47</v>
      </c>
      <c r="D119" s="62" t="s">
        <v>261</v>
      </c>
    </row>
    <row r="120" spans="1:4" x14ac:dyDescent="0.25">
      <c r="A120" s="59" t="s">
        <v>266</v>
      </c>
      <c r="B120" s="7" t="s">
        <v>265</v>
      </c>
      <c r="C120" s="7" t="s">
        <v>47</v>
      </c>
      <c r="D120" s="62" t="s">
        <v>267</v>
      </c>
    </row>
    <row r="121" spans="1:4" x14ac:dyDescent="0.25">
      <c r="A121" s="59" t="s">
        <v>976</v>
      </c>
      <c r="B121" s="7" t="s">
        <v>977</v>
      </c>
      <c r="C121" s="7" t="s">
        <v>47</v>
      </c>
      <c r="D121" s="62" t="s">
        <v>978</v>
      </c>
    </row>
    <row r="122" spans="1:4" x14ac:dyDescent="0.25">
      <c r="A122" s="59" t="s">
        <v>269</v>
      </c>
      <c r="B122" s="7" t="s">
        <v>268</v>
      </c>
      <c r="C122" s="7" t="s">
        <v>47</v>
      </c>
      <c r="D122" s="62" t="s">
        <v>270</v>
      </c>
    </row>
    <row r="123" spans="1:4" x14ac:dyDescent="0.25">
      <c r="A123" s="59" t="s">
        <v>272</v>
      </c>
      <c r="B123" s="7" t="s">
        <v>271</v>
      </c>
      <c r="C123" s="7" t="s">
        <v>47</v>
      </c>
      <c r="D123" s="62" t="s">
        <v>273</v>
      </c>
    </row>
    <row r="124" spans="1:4" x14ac:dyDescent="0.25">
      <c r="A124" s="59" t="s">
        <v>275</v>
      </c>
      <c r="B124" s="7" t="s">
        <v>274</v>
      </c>
      <c r="C124" s="7" t="s">
        <v>47</v>
      </c>
      <c r="D124" s="62" t="s">
        <v>276</v>
      </c>
    </row>
    <row r="125" spans="1:4" x14ac:dyDescent="0.25">
      <c r="A125" s="59" t="s">
        <v>278</v>
      </c>
      <c r="B125" s="7" t="s">
        <v>277</v>
      </c>
      <c r="C125" s="7" t="s">
        <v>47</v>
      </c>
      <c r="D125" s="62" t="s">
        <v>279</v>
      </c>
    </row>
    <row r="126" spans="1:4" x14ac:dyDescent="0.25">
      <c r="A126" s="59" t="s">
        <v>281</v>
      </c>
      <c r="B126" s="7" t="s">
        <v>280</v>
      </c>
      <c r="C126" s="7" t="s">
        <v>47</v>
      </c>
      <c r="D126" s="62" t="s">
        <v>282</v>
      </c>
    </row>
    <row r="127" spans="1:4" x14ac:dyDescent="0.25">
      <c r="A127" s="59" t="s">
        <v>284</v>
      </c>
      <c r="B127" s="7" t="s">
        <v>283</v>
      </c>
      <c r="C127" s="7" t="s">
        <v>47</v>
      </c>
      <c r="D127" s="62" t="s">
        <v>285</v>
      </c>
    </row>
    <row r="128" spans="1:4" x14ac:dyDescent="0.25">
      <c r="A128" s="59" t="s">
        <v>287</v>
      </c>
      <c r="B128" s="7" t="s">
        <v>286</v>
      </c>
      <c r="C128" s="7" t="s">
        <v>47</v>
      </c>
      <c r="D128" s="62" t="s">
        <v>288</v>
      </c>
    </row>
    <row r="129" spans="1:4" x14ac:dyDescent="0.25">
      <c r="A129" s="59" t="s">
        <v>450</v>
      </c>
      <c r="B129" s="7" t="s">
        <v>451</v>
      </c>
      <c r="C129" s="7" t="s">
        <v>47</v>
      </c>
      <c r="D129" s="62" t="s">
        <v>452</v>
      </c>
    </row>
    <row r="130" spans="1:4" x14ac:dyDescent="0.25">
      <c r="A130" s="59" t="s">
        <v>290</v>
      </c>
      <c r="B130" s="7" t="s">
        <v>289</v>
      </c>
      <c r="C130" s="7" t="s">
        <v>47</v>
      </c>
      <c r="D130" s="62" t="s">
        <v>291</v>
      </c>
    </row>
    <row r="131" spans="1:4" x14ac:dyDescent="0.25">
      <c r="A131" s="59" t="s">
        <v>293</v>
      </c>
      <c r="B131" s="7" t="s">
        <v>292</v>
      </c>
      <c r="C131" s="7" t="s">
        <v>47</v>
      </c>
      <c r="D131" s="62" t="s">
        <v>294</v>
      </c>
    </row>
    <row r="132" spans="1:4" x14ac:dyDescent="0.25">
      <c r="A132" s="59" t="s">
        <v>296</v>
      </c>
      <c r="B132" s="7" t="s">
        <v>295</v>
      </c>
      <c r="C132" s="7" t="s">
        <v>47</v>
      </c>
      <c r="D132" s="62" t="s">
        <v>297</v>
      </c>
    </row>
    <row r="133" spans="1:4" x14ac:dyDescent="0.25">
      <c r="A133" s="59" t="s">
        <v>299</v>
      </c>
      <c r="B133" s="7" t="s">
        <v>298</v>
      </c>
      <c r="C133" s="7" t="s">
        <v>47</v>
      </c>
      <c r="D133" s="62" t="s">
        <v>300</v>
      </c>
    </row>
    <row r="134" spans="1:4" x14ac:dyDescent="0.25">
      <c r="A134" s="59" t="s">
        <v>302</v>
      </c>
      <c r="B134" s="7" t="s">
        <v>301</v>
      </c>
      <c r="C134" s="7" t="s">
        <v>47</v>
      </c>
      <c r="D134" s="62" t="s">
        <v>303</v>
      </c>
    </row>
    <row r="135" spans="1:4" x14ac:dyDescent="0.25">
      <c r="A135" s="59" t="s">
        <v>305</v>
      </c>
      <c r="B135" s="7" t="s">
        <v>304</v>
      </c>
      <c r="C135" s="7" t="s">
        <v>47</v>
      </c>
      <c r="D135" s="62" t="s">
        <v>306</v>
      </c>
    </row>
    <row r="136" spans="1:4" x14ac:dyDescent="0.25">
      <c r="A136" s="59" t="s">
        <v>311</v>
      </c>
      <c r="B136" s="7" t="s">
        <v>310</v>
      </c>
      <c r="C136" s="7" t="s">
        <v>47</v>
      </c>
      <c r="D136" s="62" t="s">
        <v>312</v>
      </c>
    </row>
    <row r="137" spans="1:4" x14ac:dyDescent="0.25">
      <c r="A137" s="59" t="s">
        <v>314</v>
      </c>
      <c r="B137" s="7" t="s">
        <v>313</v>
      </c>
      <c r="C137" s="7" t="s">
        <v>47</v>
      </c>
      <c r="D137" s="62" t="s">
        <v>315</v>
      </c>
    </row>
    <row r="138" spans="1:4" x14ac:dyDescent="0.25">
      <c r="A138" s="59" t="s">
        <v>317</v>
      </c>
      <c r="B138" s="7" t="s">
        <v>316</v>
      </c>
      <c r="C138" s="7" t="s">
        <v>47</v>
      </c>
      <c r="D138" s="62" t="s">
        <v>318</v>
      </c>
    </row>
    <row r="139" spans="1:4" x14ac:dyDescent="0.25">
      <c r="A139" s="59" t="s">
        <v>6</v>
      </c>
      <c r="B139" s="7" t="s">
        <v>319</v>
      </c>
      <c r="C139" s="7" t="s">
        <v>47</v>
      </c>
      <c r="D139" s="62" t="s">
        <v>320</v>
      </c>
    </row>
    <row r="140" spans="1:4" x14ac:dyDescent="0.25">
      <c r="A140" s="59" t="s">
        <v>325</v>
      </c>
      <c r="B140" s="7" t="s">
        <v>324</v>
      </c>
      <c r="C140" s="7" t="s">
        <v>47</v>
      </c>
      <c r="D140" s="62" t="s">
        <v>326</v>
      </c>
    </row>
    <row r="141" spans="1:4" x14ac:dyDescent="0.25">
      <c r="A141" s="59" t="s">
        <v>328</v>
      </c>
      <c r="B141" s="7" t="s">
        <v>327</v>
      </c>
      <c r="C141" s="7" t="s">
        <v>47</v>
      </c>
      <c r="D141" s="62" t="s">
        <v>329</v>
      </c>
    </row>
    <row r="142" spans="1:4" x14ac:dyDescent="0.25">
      <c r="A142" s="59" t="s">
        <v>453</v>
      </c>
      <c r="B142" s="7" t="s">
        <v>454</v>
      </c>
      <c r="C142" s="7" t="s">
        <v>47</v>
      </c>
      <c r="D142" s="62" t="s">
        <v>455</v>
      </c>
    </row>
    <row r="143" spans="1:4" x14ac:dyDescent="0.25">
      <c r="A143" s="59" t="s">
        <v>407</v>
      </c>
      <c r="B143" s="7" t="s">
        <v>406</v>
      </c>
      <c r="C143" s="7" t="s">
        <v>47</v>
      </c>
      <c r="D143" s="62" t="s">
        <v>408</v>
      </c>
    </row>
    <row r="144" spans="1:4" x14ac:dyDescent="0.25">
      <c r="A144" s="59" t="s">
        <v>331</v>
      </c>
      <c r="B144" s="7" t="s">
        <v>330</v>
      </c>
      <c r="C144" s="7" t="s">
        <v>47</v>
      </c>
      <c r="D144" s="62" t="s">
        <v>332</v>
      </c>
    </row>
    <row r="145" spans="1:4" x14ac:dyDescent="0.25">
      <c r="A145" s="59" t="s">
        <v>430</v>
      </c>
      <c r="B145" s="7" t="s">
        <v>429</v>
      </c>
      <c r="C145" s="7" t="s">
        <v>47</v>
      </c>
      <c r="D145" s="62" t="s">
        <v>431</v>
      </c>
    </row>
    <row r="146" spans="1:4" x14ac:dyDescent="0.25">
      <c r="A146" s="59" t="s">
        <v>334</v>
      </c>
      <c r="B146" s="7" t="s">
        <v>333</v>
      </c>
      <c r="C146" s="7" t="s">
        <v>47</v>
      </c>
      <c r="D146" s="62" t="s">
        <v>335</v>
      </c>
    </row>
    <row r="147" spans="1:4" x14ac:dyDescent="0.25">
      <c r="A147" s="59" t="s">
        <v>979</v>
      </c>
      <c r="B147" s="7" t="s">
        <v>456</v>
      </c>
      <c r="C147" s="7" t="s">
        <v>47</v>
      </c>
      <c r="D147" s="62" t="s">
        <v>457</v>
      </c>
    </row>
    <row r="148" spans="1:4" x14ac:dyDescent="0.25">
      <c r="A148" s="59" t="s">
        <v>340</v>
      </c>
      <c r="B148" s="7" t="s">
        <v>339</v>
      </c>
      <c r="C148" s="7" t="s">
        <v>47</v>
      </c>
      <c r="D148" s="62" t="s">
        <v>341</v>
      </c>
    </row>
    <row r="149" spans="1:4" x14ac:dyDescent="0.25">
      <c r="A149" s="59" t="s">
        <v>343</v>
      </c>
      <c r="B149" s="7" t="s">
        <v>342</v>
      </c>
      <c r="C149" s="7" t="s">
        <v>47</v>
      </c>
      <c r="D149" s="62" t="s">
        <v>344</v>
      </c>
    </row>
    <row r="150" spans="1:4" x14ac:dyDescent="0.25">
      <c r="A150" s="59" t="s">
        <v>410</v>
      </c>
      <c r="B150" s="7" t="s">
        <v>409</v>
      </c>
      <c r="C150" s="7" t="s">
        <v>47</v>
      </c>
      <c r="D150" s="62" t="s">
        <v>411</v>
      </c>
    </row>
    <row r="151" spans="1:4" x14ac:dyDescent="0.25">
      <c r="A151" s="59" t="s">
        <v>346</v>
      </c>
      <c r="B151" s="7" t="s">
        <v>345</v>
      </c>
      <c r="C151" s="7" t="s">
        <v>47</v>
      </c>
      <c r="D151" s="62" t="s">
        <v>347</v>
      </c>
    </row>
    <row r="152" spans="1:4" x14ac:dyDescent="0.25">
      <c r="A152" s="59" t="s">
        <v>412</v>
      </c>
      <c r="B152" s="7" t="s">
        <v>348</v>
      </c>
      <c r="C152" s="7" t="s">
        <v>47</v>
      </c>
      <c r="D152" s="62" t="s">
        <v>349</v>
      </c>
    </row>
    <row r="153" spans="1:4" x14ac:dyDescent="0.25">
      <c r="A153" s="59" t="s">
        <v>351</v>
      </c>
      <c r="B153" s="7" t="s">
        <v>350</v>
      </c>
      <c r="C153" s="7" t="s">
        <v>47</v>
      </c>
      <c r="D153" s="62" t="s">
        <v>352</v>
      </c>
    </row>
    <row r="154" spans="1:4" x14ac:dyDescent="0.25">
      <c r="A154" s="59" t="s">
        <v>354</v>
      </c>
      <c r="B154" s="7" t="s">
        <v>353</v>
      </c>
      <c r="C154" s="7" t="s">
        <v>47</v>
      </c>
      <c r="D154" s="62" t="s">
        <v>355</v>
      </c>
    </row>
    <row r="155" spans="1:4" x14ac:dyDescent="0.25">
      <c r="A155" s="59" t="s">
        <v>458</v>
      </c>
      <c r="B155" s="7" t="s">
        <v>459</v>
      </c>
      <c r="C155" s="7" t="s">
        <v>47</v>
      </c>
      <c r="D155" s="62" t="s">
        <v>460</v>
      </c>
    </row>
    <row r="156" spans="1:4" x14ac:dyDescent="0.25">
      <c r="A156" s="59" t="s">
        <v>358</v>
      </c>
      <c r="B156" s="7" t="s">
        <v>357</v>
      </c>
      <c r="C156" s="7" t="s">
        <v>47</v>
      </c>
      <c r="D156" s="62" t="s">
        <v>359</v>
      </c>
    </row>
    <row r="157" spans="1:4" x14ac:dyDescent="0.25">
      <c r="A157" s="59" t="s">
        <v>414</v>
      </c>
      <c r="B157" s="7" t="s">
        <v>413</v>
      </c>
      <c r="C157" s="7" t="s">
        <v>47</v>
      </c>
      <c r="D157" s="62" t="s">
        <v>415</v>
      </c>
    </row>
    <row r="158" spans="1:4" x14ac:dyDescent="0.25">
      <c r="A158" s="59" t="s">
        <v>980</v>
      </c>
      <c r="B158" s="7" t="s">
        <v>981</v>
      </c>
      <c r="C158" s="7" t="s">
        <v>47</v>
      </c>
      <c r="D158" s="62" t="s">
        <v>982</v>
      </c>
    </row>
    <row r="159" spans="1:4" x14ac:dyDescent="0.25">
      <c r="A159" s="59" t="s">
        <v>433</v>
      </c>
      <c r="B159" s="7" t="s">
        <v>432</v>
      </c>
      <c r="C159" s="7" t="s">
        <v>47</v>
      </c>
      <c r="D159" s="62" t="s">
        <v>434</v>
      </c>
    </row>
    <row r="160" spans="1:4" x14ac:dyDescent="0.25">
      <c r="A160" s="59" t="s">
        <v>417</v>
      </c>
      <c r="B160" s="7" t="s">
        <v>416</v>
      </c>
      <c r="C160" s="7" t="s">
        <v>47</v>
      </c>
      <c r="D160" s="62" t="s">
        <v>418</v>
      </c>
    </row>
    <row r="161" spans="1:4" x14ac:dyDescent="0.25">
      <c r="A161" s="59" t="s">
        <v>361</v>
      </c>
      <c r="B161" s="7" t="s">
        <v>360</v>
      </c>
      <c r="C161" s="7" t="s">
        <v>47</v>
      </c>
      <c r="D161" s="62" t="s">
        <v>362</v>
      </c>
    </row>
    <row r="162" spans="1:4" x14ac:dyDescent="0.25">
      <c r="A162" s="59" t="s">
        <v>7</v>
      </c>
      <c r="B162" s="7" t="s">
        <v>363</v>
      </c>
      <c r="C162" s="7" t="s">
        <v>47</v>
      </c>
      <c r="D162" s="62" t="s">
        <v>364</v>
      </c>
    </row>
    <row r="163" spans="1:4" x14ac:dyDescent="0.25">
      <c r="A163" s="59" t="s">
        <v>366</v>
      </c>
      <c r="B163" s="7" t="s">
        <v>365</v>
      </c>
      <c r="C163" s="7" t="s">
        <v>47</v>
      </c>
      <c r="D163" s="62" t="s">
        <v>367</v>
      </c>
    </row>
    <row r="164" spans="1:4" x14ac:dyDescent="0.25">
      <c r="A164" s="59" t="s">
        <v>369</v>
      </c>
      <c r="B164" s="7" t="s">
        <v>368</v>
      </c>
      <c r="C164" s="7" t="s">
        <v>47</v>
      </c>
      <c r="D164" s="62" t="s">
        <v>370</v>
      </c>
    </row>
    <row r="165" spans="1:4" x14ac:dyDescent="0.25">
      <c r="A165" s="59" t="s">
        <v>983</v>
      </c>
      <c r="B165" s="7" t="s">
        <v>371</v>
      </c>
      <c r="C165" s="7" t="s">
        <v>47</v>
      </c>
      <c r="D165" s="62" t="s">
        <v>372</v>
      </c>
    </row>
    <row r="166" spans="1:4" x14ac:dyDescent="0.25">
      <c r="A166" s="59" t="s">
        <v>374</v>
      </c>
      <c r="B166" s="7" t="s">
        <v>373</v>
      </c>
      <c r="C166" s="7" t="s">
        <v>47</v>
      </c>
      <c r="D166" s="62" t="s">
        <v>375</v>
      </c>
    </row>
    <row r="167" spans="1:4" x14ac:dyDescent="0.25">
      <c r="A167" s="59" t="s">
        <v>377</v>
      </c>
      <c r="B167" s="7" t="s">
        <v>376</v>
      </c>
      <c r="C167" s="7" t="s">
        <v>47</v>
      </c>
      <c r="D167" s="62" t="s">
        <v>378</v>
      </c>
    </row>
    <row r="168" spans="1:4" x14ac:dyDescent="0.25">
      <c r="A168" s="59" t="s">
        <v>380</v>
      </c>
      <c r="B168" s="7" t="s">
        <v>379</v>
      </c>
      <c r="C168" s="7" t="s">
        <v>47</v>
      </c>
      <c r="D168" s="62" t="s">
        <v>381</v>
      </c>
    </row>
    <row r="169" spans="1:4" x14ac:dyDescent="0.25">
      <c r="A169" s="59" t="s">
        <v>383</v>
      </c>
      <c r="B169" s="7" t="s">
        <v>382</v>
      </c>
      <c r="C169" s="7" t="s">
        <v>47</v>
      </c>
      <c r="D169" s="62" t="s">
        <v>384</v>
      </c>
    </row>
    <row r="170" spans="1:4" x14ac:dyDescent="0.25">
      <c r="A170" s="59" t="s">
        <v>386</v>
      </c>
      <c r="B170" s="7" t="s">
        <v>385</v>
      </c>
      <c r="C170" s="7" t="s">
        <v>47</v>
      </c>
      <c r="D170" s="62" t="s">
        <v>387</v>
      </c>
    </row>
    <row r="171" spans="1:4" x14ac:dyDescent="0.25">
      <c r="A171" s="59" t="s">
        <v>420</v>
      </c>
      <c r="B171" s="7" t="s">
        <v>419</v>
      </c>
      <c r="C171" s="7" t="s">
        <v>47</v>
      </c>
      <c r="D171" s="62" t="s">
        <v>421</v>
      </c>
    </row>
    <row r="172" spans="1:4" x14ac:dyDescent="0.25">
      <c r="A172" s="59" t="s">
        <v>395</v>
      </c>
      <c r="B172" s="7" t="s">
        <v>394</v>
      </c>
      <c r="C172" s="7" t="s">
        <v>47</v>
      </c>
      <c r="D172" s="62" t="s">
        <v>396</v>
      </c>
    </row>
    <row r="173" spans="1:4" x14ac:dyDescent="0.25">
      <c r="A173" s="59" t="s">
        <v>389</v>
      </c>
      <c r="B173" s="7" t="s">
        <v>388</v>
      </c>
      <c r="C173" s="7" t="s">
        <v>47</v>
      </c>
      <c r="D173" s="62" t="s">
        <v>390</v>
      </c>
    </row>
    <row r="174" spans="1:4" x14ac:dyDescent="0.25">
      <c r="A174" s="59" t="s">
        <v>392</v>
      </c>
      <c r="B174" s="7" t="s">
        <v>391</v>
      </c>
      <c r="C174" s="7" t="s">
        <v>47</v>
      </c>
      <c r="D174" s="62" t="s">
        <v>393</v>
      </c>
    </row>
    <row r="175" spans="1:4" x14ac:dyDescent="0.25">
      <c r="A175" s="59" t="s">
        <v>8</v>
      </c>
      <c r="B175" s="7" t="s">
        <v>176</v>
      </c>
      <c r="C175" s="7" t="s">
        <v>47</v>
      </c>
      <c r="D175" s="62" t="s">
        <v>177</v>
      </c>
    </row>
    <row r="176" spans="1:4" x14ac:dyDescent="0.25">
      <c r="A176" s="64" t="s">
        <v>398</v>
      </c>
      <c r="B176" s="81" t="s">
        <v>397</v>
      </c>
      <c r="C176" s="81" t="s">
        <v>47</v>
      </c>
      <c r="D176" s="63" t="s">
        <v>399</v>
      </c>
    </row>
    <row r="197" spans="11:14" ht="13.2" x14ac:dyDescent="0.25">
      <c r="K197" s="73"/>
      <c r="L197" s="73"/>
      <c r="M197" s="73"/>
      <c r="N197" s="73"/>
    </row>
    <row r="198" spans="11:14" ht="13.2" x14ac:dyDescent="0.25">
      <c r="K198" s="73"/>
      <c r="L198" s="73"/>
      <c r="M198" s="73"/>
      <c r="N198" s="73"/>
    </row>
    <row r="199" spans="11:14" ht="13.2" x14ac:dyDescent="0.25">
      <c r="K199" s="73"/>
      <c r="L199" s="73"/>
      <c r="M199" s="73"/>
      <c r="N199" s="73"/>
    </row>
    <row r="200" spans="11:14" ht="13.2" x14ac:dyDescent="0.25">
      <c r="K200" s="73"/>
      <c r="L200" s="73"/>
      <c r="M200" s="73"/>
      <c r="N200" s="73"/>
    </row>
    <row r="201" spans="11:14" ht="13.2" x14ac:dyDescent="0.25">
      <c r="K201" s="73"/>
      <c r="L201" s="73"/>
      <c r="M201" s="73"/>
      <c r="N201" s="73"/>
    </row>
    <row r="202" spans="11:14" ht="13.2" x14ac:dyDescent="0.25">
      <c r="K202" s="73"/>
      <c r="L202" s="73"/>
      <c r="M202" s="73"/>
      <c r="N202" s="73"/>
    </row>
    <row r="203" spans="11:14" ht="13.2" x14ac:dyDescent="0.25">
      <c r="K203" s="73"/>
      <c r="L203" s="73"/>
      <c r="M203" s="73"/>
      <c r="N203" s="73"/>
    </row>
    <row r="204" spans="11:14" ht="13.2" x14ac:dyDescent="0.25">
      <c r="K204" s="73"/>
      <c r="L204" s="73"/>
      <c r="M204" s="73"/>
      <c r="N204" s="73"/>
    </row>
    <row r="205" spans="11:14" ht="13.2" x14ac:dyDescent="0.25">
      <c r="K205" s="73"/>
      <c r="L205" s="73"/>
      <c r="M205" s="73"/>
      <c r="N205" s="73"/>
    </row>
    <row r="206" spans="11:14" ht="13.2" x14ac:dyDescent="0.25">
      <c r="K206" s="73"/>
      <c r="L206" s="73"/>
      <c r="M206" s="73"/>
      <c r="N206" s="73"/>
    </row>
    <row r="207" spans="11:14" ht="13.2" x14ac:dyDescent="0.25">
      <c r="K207" s="73"/>
      <c r="L207" s="73"/>
      <c r="M207" s="73"/>
      <c r="N207" s="73"/>
    </row>
    <row r="208" spans="11:14" ht="13.2" x14ac:dyDescent="0.25">
      <c r="K208" s="73"/>
      <c r="L208" s="73"/>
      <c r="M208" s="73"/>
      <c r="N208" s="73"/>
    </row>
    <row r="209" spans="11:14" ht="13.2" x14ac:dyDescent="0.25">
      <c r="K209" s="73"/>
      <c r="L209" s="73"/>
      <c r="M209" s="73"/>
      <c r="N209" s="73"/>
    </row>
    <row r="210" spans="11:14" ht="13.2" x14ac:dyDescent="0.25">
      <c r="K210" s="73"/>
      <c r="L210" s="73"/>
      <c r="M210" s="73"/>
      <c r="N210" s="73"/>
    </row>
    <row r="211" spans="11:14" ht="13.2" x14ac:dyDescent="0.25">
      <c r="K211" s="73"/>
      <c r="L211" s="73"/>
      <c r="M211" s="73"/>
      <c r="N211" s="73"/>
    </row>
    <row r="212" spans="11:14" ht="13.2" x14ac:dyDescent="0.25">
      <c r="K212" s="73"/>
      <c r="L212" s="73"/>
      <c r="M212" s="73"/>
      <c r="N212" s="73"/>
    </row>
    <row r="213" spans="11:14" ht="13.2" x14ac:dyDescent="0.25">
      <c r="K213" s="73"/>
      <c r="L213" s="73"/>
      <c r="M213" s="73"/>
      <c r="N213" s="73"/>
    </row>
    <row r="214" spans="11:14" ht="13.2" x14ac:dyDescent="0.25">
      <c r="K214" s="73"/>
      <c r="L214" s="73"/>
      <c r="M214" s="73"/>
      <c r="N214" s="73"/>
    </row>
    <row r="215" spans="11:14" ht="13.2" x14ac:dyDescent="0.25">
      <c r="K215" s="73"/>
      <c r="L215" s="73"/>
      <c r="M215" s="73"/>
      <c r="N215" s="73"/>
    </row>
    <row r="216" spans="11:14" ht="13.2" x14ac:dyDescent="0.25">
      <c r="K216" s="73"/>
      <c r="L216" s="73"/>
      <c r="M216" s="73"/>
      <c r="N216" s="73"/>
    </row>
    <row r="217" spans="11:14" ht="13.2" x14ac:dyDescent="0.25">
      <c r="K217" s="73"/>
      <c r="L217" s="73"/>
      <c r="M217" s="73"/>
      <c r="N217" s="73"/>
    </row>
    <row r="218" spans="11:14" ht="13.2" x14ac:dyDescent="0.25">
      <c r="K218" s="73"/>
      <c r="L218" s="73"/>
      <c r="M218" s="73"/>
      <c r="N218" s="73"/>
    </row>
    <row r="219" spans="11:14" ht="13.2" x14ac:dyDescent="0.25">
      <c r="K219" s="73"/>
      <c r="L219" s="73"/>
      <c r="M219" s="73"/>
      <c r="N219" s="73"/>
    </row>
    <row r="220" spans="11:14" ht="13.2" x14ac:dyDescent="0.25">
      <c r="K220" s="73"/>
      <c r="L220" s="73"/>
      <c r="M220" s="73"/>
      <c r="N220" s="73"/>
    </row>
    <row r="221" spans="11:14" ht="13.2" x14ac:dyDescent="0.25">
      <c r="K221" s="73"/>
      <c r="L221" s="73"/>
      <c r="M221" s="73"/>
      <c r="N221" s="73"/>
    </row>
    <row r="222" spans="11:14" ht="13.2" x14ac:dyDescent="0.25">
      <c r="K222" s="73"/>
      <c r="L222" s="73"/>
      <c r="M222" s="73"/>
      <c r="N222" s="73"/>
    </row>
    <row r="223" spans="11:14" ht="13.2" x14ac:dyDescent="0.25">
      <c r="K223" s="73"/>
      <c r="L223" s="73"/>
      <c r="M223" s="73"/>
      <c r="N223" s="73"/>
    </row>
    <row r="224" spans="11:14" ht="13.2" x14ac:dyDescent="0.25">
      <c r="K224" s="73"/>
      <c r="L224" s="73"/>
      <c r="M224" s="73"/>
      <c r="N224" s="73"/>
    </row>
    <row r="225" spans="11:14" ht="13.2" x14ac:dyDescent="0.25">
      <c r="K225" s="73"/>
      <c r="L225" s="73"/>
      <c r="M225" s="73"/>
      <c r="N225" s="73"/>
    </row>
    <row r="226" spans="11:14" ht="13.2" x14ac:dyDescent="0.25">
      <c r="K226" s="73"/>
      <c r="L226" s="73"/>
      <c r="M226" s="73"/>
      <c r="N226" s="73"/>
    </row>
    <row r="227" spans="11:14" ht="13.2" x14ac:dyDescent="0.25">
      <c r="K227" s="73"/>
      <c r="L227" s="73"/>
      <c r="M227" s="73"/>
      <c r="N227" s="73"/>
    </row>
    <row r="228" spans="11:14" ht="13.2" x14ac:dyDescent="0.25">
      <c r="K228" s="73"/>
      <c r="L228" s="73"/>
      <c r="M228" s="73"/>
      <c r="N228" s="73"/>
    </row>
    <row r="229" spans="11:14" ht="13.2" x14ac:dyDescent="0.25">
      <c r="K229" s="73"/>
      <c r="L229" s="73"/>
      <c r="M229" s="73"/>
      <c r="N229" s="73"/>
    </row>
    <row r="230" spans="11:14" ht="13.2" x14ac:dyDescent="0.25">
      <c r="K230" s="73"/>
      <c r="L230" s="73"/>
      <c r="M230" s="73"/>
      <c r="N230" s="73"/>
    </row>
    <row r="231" spans="11:14" ht="13.2" x14ac:dyDescent="0.25">
      <c r="K231" s="73"/>
      <c r="L231" s="73"/>
      <c r="M231" s="73"/>
      <c r="N231" s="73"/>
    </row>
  </sheetData>
  <sheetProtection algorithmName="SHA-512" hashValue="fvjFRlJ3eknU187WQk7n7P4u++t+dCTv/yGkGJir/kqhmgBcte1RjY1Qn7aJQNYdev/a5S/WvCuBsrn8aesPGg==" saltValue="rV75co/U88SAe6DGkrAffw==" spinCount="100000" sheet="1" objects="1" scenarios="1"/>
  <mergeCells count="8">
    <mergeCell ref="F40:G40"/>
    <mergeCell ref="K1:M1"/>
    <mergeCell ref="F21:G21"/>
    <mergeCell ref="F29:G29"/>
    <mergeCell ref="A1:D1"/>
    <mergeCell ref="G18:H18"/>
    <mergeCell ref="F1:G1"/>
    <mergeCell ref="F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7BB70-6CDF-4E44-AF3A-4961BBFFA291}">
  <sheetPr codeName="Sheet4"/>
  <dimension ref="A1:I42"/>
  <sheetViews>
    <sheetView zoomScaleNormal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I53" sqref="I53"/>
    </sheetView>
  </sheetViews>
  <sheetFormatPr defaultColWidth="9.109375" defaultRowHeight="10.199999999999999" x14ac:dyDescent="0.2"/>
  <cols>
    <col min="1" max="1" width="8.6640625" style="46" customWidth="1"/>
    <col min="2" max="2" width="11.33203125" style="46" customWidth="1"/>
    <col min="3" max="3" width="14.44140625" style="46" bestFit="1" customWidth="1"/>
    <col min="4" max="4" width="14.5546875" style="46" bestFit="1" customWidth="1"/>
    <col min="5" max="5" width="12.44140625" style="46" bestFit="1" customWidth="1"/>
    <col min="6" max="6" width="25.44140625" style="46" bestFit="1" customWidth="1"/>
    <col min="7" max="7" width="23" style="146" bestFit="1" customWidth="1"/>
    <col min="8" max="8" width="13" style="46" bestFit="1" customWidth="1"/>
    <col min="9" max="9" width="130.109375" style="46" customWidth="1"/>
    <col min="10" max="16384" width="9.109375" style="46"/>
  </cols>
  <sheetData>
    <row r="1" spans="1:9" ht="14.4" x14ac:dyDescent="0.2">
      <c r="A1" s="242" t="str">
        <f>VLOOKUP("G00",tblTranslation[],LangNameID,FALSE) &amp;" ( "&amp;Idiom&amp;" )"</f>
        <v>Instructions to complete the form ( ENG )</v>
      </c>
      <c r="B1" s="242"/>
      <c r="C1" s="242"/>
      <c r="D1" s="242"/>
      <c r="E1" s="242"/>
      <c r="F1" s="242"/>
      <c r="G1" s="242"/>
      <c r="H1" s="242"/>
      <c r="I1" s="242"/>
    </row>
    <row r="2" spans="1:9" s="143" customFormat="1" ht="13.8" x14ac:dyDescent="0.2">
      <c r="A2" s="243" t="str">
        <f>VLOOKUP("G01",tblTranslation[],LangFieldID,FALSE)</f>
        <v>General</v>
      </c>
      <c r="B2" s="243"/>
      <c r="C2" s="243"/>
      <c r="D2" s="243"/>
      <c r="E2" s="243"/>
      <c r="F2" s="109"/>
      <c r="G2" s="110"/>
      <c r="H2" s="36"/>
      <c r="I2" s="37"/>
    </row>
    <row r="3" spans="1:9" s="143" customFormat="1" x14ac:dyDescent="0.2">
      <c r="A3" s="37" t="s">
        <v>577</v>
      </c>
      <c r="B3" s="240" t="str">
        <f>VLOOKUP("G01a",tblTranslation[],LangNameID,FALSE)</f>
        <v>Complete as far as possible the Header and Detail sections (don't leave fields empty when information is known).</v>
      </c>
      <c r="C3" s="240"/>
      <c r="D3" s="240"/>
      <c r="E3" s="240"/>
      <c r="F3" s="240"/>
      <c r="G3" s="240"/>
      <c r="H3" s="240"/>
      <c r="I3" s="240"/>
    </row>
    <row r="4" spans="1:9" s="143" customFormat="1" x14ac:dyDescent="0.2">
      <c r="A4" s="37" t="s">
        <v>578</v>
      </c>
      <c r="B4" s="240" t="str">
        <f>VLOOKUP("G01b",tblTranslation[],LangNameID,FALSE)</f>
        <v>In Header section, only white cells can be filled (manually or by selecting from the Combo Box the corresponding code).</v>
      </c>
      <c r="C4" s="240"/>
      <c r="D4" s="240"/>
      <c r="E4" s="240"/>
      <c r="F4" s="240"/>
      <c r="G4" s="240"/>
      <c r="H4" s="240"/>
      <c r="I4" s="240"/>
    </row>
    <row r="5" spans="1:9" s="143" customFormat="1" x14ac:dyDescent="0.2">
      <c r="A5" s="37" t="s">
        <v>579</v>
      </c>
      <c r="B5" s="240" t="str">
        <f>VLOOKUP("G01c",tblTranslation[],LangNameID,FALSE)</f>
        <v>Always use ICCAT standard codes (when element "OTHERS" of various fields is required it must be explicitly described in "Notes").</v>
      </c>
      <c r="C5" s="240"/>
      <c r="D5" s="240"/>
      <c r="E5" s="240"/>
      <c r="F5" s="240"/>
      <c r="G5" s="240"/>
      <c r="H5" s="240"/>
      <c r="I5" s="240"/>
    </row>
    <row r="6" spans="1:9" s="143" customFormat="1" x14ac:dyDescent="0.2">
      <c r="A6" s="37" t="s">
        <v>580</v>
      </c>
      <c r="B6" s="240" t="str">
        <f>VLOOKUP("G01d",tblTranslation[],LangNameID,FALSE)</f>
        <v>Recommendation for users with databases: To paste an entire dataset into the Detail section (it must have the same structure and format) use "Paste special (values)"</v>
      </c>
      <c r="C6" s="240"/>
      <c r="D6" s="240"/>
      <c r="E6" s="240"/>
      <c r="F6" s="240"/>
      <c r="G6" s="240"/>
      <c r="H6" s="240"/>
      <c r="I6" s="240"/>
    </row>
    <row r="7" spans="1:9" s="143" customFormat="1" x14ac:dyDescent="0.2">
      <c r="A7" s="37" t="s">
        <v>581</v>
      </c>
      <c r="B7" s="240" t="str">
        <f>VLOOKUP("G01e",tblTranslation[],LangNameID,FALSE)</f>
        <v>If no information is collected, leave the fileds "blank"</v>
      </c>
      <c r="C7" s="240"/>
      <c r="D7" s="240"/>
      <c r="E7" s="240"/>
      <c r="F7" s="240"/>
      <c r="G7" s="240"/>
      <c r="H7" s="240"/>
      <c r="I7" s="240"/>
    </row>
    <row r="8" spans="1:9" s="143" customFormat="1" x14ac:dyDescent="0.2">
      <c r="A8" s="38"/>
      <c r="B8" s="38"/>
      <c r="C8" s="39"/>
      <c r="D8" s="39"/>
      <c r="E8" s="39"/>
      <c r="F8" s="39"/>
      <c r="G8" s="40"/>
      <c r="H8" s="41"/>
      <c r="I8" s="38"/>
    </row>
    <row r="9" spans="1:9" s="143" customFormat="1" ht="13.8" x14ac:dyDescent="0.2">
      <c r="A9" s="241" t="str">
        <f>VLOOKUP("S00",tblTranslation[],LangFieldID,FALSE)</f>
        <v>Specific (by field)</v>
      </c>
      <c r="B9" s="241"/>
      <c r="C9" s="241"/>
      <c r="D9" s="241"/>
      <c r="E9" s="241"/>
      <c r="F9" s="82"/>
      <c r="G9" s="40"/>
      <c r="H9" s="41"/>
      <c r="I9" s="38"/>
    </row>
    <row r="10" spans="1:9" x14ac:dyDescent="0.2">
      <c r="A10" s="33" t="str">
        <f>VLOOKUP("SC01",tblTranslation[],LangFieldID,FALSE)</f>
        <v>Form</v>
      </c>
      <c r="B10" s="33" t="str">
        <f>VLOOKUP("SC02",tblTranslation[],LangFieldID,FALSE)</f>
        <v>Sub-form</v>
      </c>
      <c r="C10" s="33" t="str">
        <f>VLOOKUP("SC03",tblTranslation[],LangFieldID,FALSE)</f>
        <v>Part</v>
      </c>
      <c r="D10" s="33" t="str">
        <f>VLOOKUP("SC04",tblTranslation[],LangFieldID,FALSE)</f>
        <v>Section</v>
      </c>
      <c r="E10" s="33" t="str">
        <f>VLOOKUP("SC05",tblTranslation[],LangFieldID,FALSE)</f>
        <v>Sub-section</v>
      </c>
      <c r="F10" s="33" t="str">
        <f>VLOOKUP("SC051",tblTranslation[],LangFieldID,FALSE)</f>
        <v>Sub-section 2</v>
      </c>
      <c r="G10" s="34" t="str">
        <f>VLOOKUP("SC06",tblTranslation[],LangFieldID,FALSE)</f>
        <v>Field (name)</v>
      </c>
      <c r="H10" s="35" t="str">
        <f>VLOOKUP("SC07",tblTranslation[],LangFieldID,FALSE)</f>
        <v>Field (format)</v>
      </c>
      <c r="I10" s="33" t="str">
        <f>VLOOKUP("SC08",tblTranslation[],LangFieldID,FALSE)</f>
        <v>Description</v>
      </c>
    </row>
    <row r="11" spans="1:9" x14ac:dyDescent="0.2">
      <c r="A11" s="218" t="str">
        <f>VLOOKUP("T00",tblTranslation[],LangFieldID,FALSE)</f>
        <v>CP51-ALDFG</v>
      </c>
      <c r="B11" s="247" t="str">
        <f>VLOOKUP("T01",tblTranslation[],LangFieldID,FALSE)</f>
        <v>Title</v>
      </c>
      <c r="C11" s="248"/>
      <c r="D11" s="248"/>
      <c r="E11" s="248"/>
      <c r="F11" s="248"/>
      <c r="G11" s="84" t="str">
        <f>VLOOKUP("tVersion",tblTranslation[],LangFieldID,FALSE)</f>
        <v>Version</v>
      </c>
      <c r="H11" s="85" t="str">
        <f>VLOOKUP("tVersion",tblTranslation[],6,FALSE)</f>
        <v>(fixed)</v>
      </c>
      <c r="I11" s="86" t="str">
        <f>VLOOKUP("tVersion",tblTranslation[],LangNameID,FALSE)</f>
        <v>Always use the latest version of this form.</v>
      </c>
    </row>
    <row r="12" spans="1:9" x14ac:dyDescent="0.2">
      <c r="A12" s="219"/>
      <c r="B12" s="249"/>
      <c r="C12" s="250"/>
      <c r="D12" s="250"/>
      <c r="E12" s="250"/>
      <c r="F12" s="250"/>
      <c r="G12" s="84" t="str">
        <f>VLOOKUP("tLang",tblTranslation[],LangFieldID,FALSE)</f>
        <v>Language</v>
      </c>
      <c r="H12" s="85" t="str">
        <f>VLOOKUP("tLang",tblTranslation[],6,FALSE)</f>
        <v>ICCAT code</v>
      </c>
      <c r="I12" s="86" t="str">
        <f>VLOOKUP("tLang",tblTranslation[],LangNameID,FALSE)</f>
        <v>Choose the language (EN, FR, ES) for form translation</v>
      </c>
    </row>
    <row r="13" spans="1:9" x14ac:dyDescent="0.2">
      <c r="A13" s="219"/>
      <c r="B13" s="244" t="str">
        <f>VLOOKUP("T03",tblTranslation[],LangFieldID,FALSE)</f>
        <v>CP51</v>
      </c>
      <c r="C13" s="244" t="str">
        <f>VLOOKUP("H00",tblTranslation[],LangFieldID,FALSE)</f>
        <v>Header</v>
      </c>
      <c r="D13" s="251" t="str">
        <f>VLOOKUP("H10",tblTranslation[],LangFieldID,FALSE)</f>
        <v>Flag Correspondent</v>
      </c>
      <c r="E13" s="252"/>
      <c r="F13" s="252"/>
      <c r="G13" s="87" t="str">
        <f>VLOOKUP("hPerson",tblTranslation[],LangFieldID,FALSE)</f>
        <v>Name</v>
      </c>
      <c r="H13" s="88" t="str">
        <f>VLOOKUP("hPerson",tblTranslation[],6,FALSE)</f>
        <v>string</v>
      </c>
      <c r="I13" s="89" t="str">
        <f>VLOOKUP("hPerson",tblTranslation[],LangNameID,FALSE)</f>
        <v>Enter the name of the person to be contacted in the event of enquiries</v>
      </c>
    </row>
    <row r="14" spans="1:9" x14ac:dyDescent="0.2">
      <c r="A14" s="219"/>
      <c r="B14" s="245"/>
      <c r="C14" s="245"/>
      <c r="D14" s="253"/>
      <c r="E14" s="254"/>
      <c r="F14" s="254"/>
      <c r="G14" s="87" t="str">
        <f>VLOOKUP("hAgency",tblTranslation[],LangFieldID,FALSE)</f>
        <v>Reporting Agency</v>
      </c>
      <c r="H14" s="88" t="str">
        <f>VLOOKUP("hAgency",tblTranslation[],6,FALSE)</f>
        <v>string</v>
      </c>
      <c r="I14" s="89" t="str">
        <f>VLOOKUP("hAgency",tblTranslation[],LangNameID,FALSE)</f>
        <v>Enter the name of your ministry, institute or agency</v>
      </c>
    </row>
    <row r="15" spans="1:9" x14ac:dyDescent="0.2">
      <c r="A15" s="219"/>
      <c r="B15" s="245"/>
      <c r="C15" s="245"/>
      <c r="D15" s="253"/>
      <c r="E15" s="254"/>
      <c r="F15" s="254"/>
      <c r="G15" s="87" t="str">
        <f>VLOOKUP("hAddress",tblTranslation[],LangFieldID,FALSE)</f>
        <v>Address</v>
      </c>
      <c r="H15" s="88" t="str">
        <f>VLOOKUP("hAddress",tblTranslation[],6,FALSE)</f>
        <v>string</v>
      </c>
      <c r="I15" s="89" t="str">
        <f>VLOOKUP("hAddress",tblTranslation[],LangNameID,FALSE)</f>
        <v>Enter the street address of your ministry, institute or agency</v>
      </c>
    </row>
    <row r="16" spans="1:9" x14ac:dyDescent="0.2">
      <c r="A16" s="219"/>
      <c r="B16" s="245"/>
      <c r="C16" s="245"/>
      <c r="D16" s="253"/>
      <c r="E16" s="254"/>
      <c r="F16" s="254"/>
      <c r="G16" s="87" t="str">
        <f>VLOOKUP("hEmail",tblTranslation[],LangFieldID,FALSE)</f>
        <v>Email</v>
      </c>
      <c r="H16" s="88" t="str">
        <f>VLOOKUP("hEmail",tblTranslation[],6,FALSE)</f>
        <v>string</v>
      </c>
      <c r="I16" s="89" t="str">
        <f>VLOOKUP("hEmail",tblTranslation[],LangNameID,FALSE)</f>
        <v>Enter the email address of the person to be contacted</v>
      </c>
    </row>
    <row r="17" spans="1:9" x14ac:dyDescent="0.2">
      <c r="A17" s="219"/>
      <c r="B17" s="245"/>
      <c r="C17" s="245"/>
      <c r="D17" s="255"/>
      <c r="E17" s="256"/>
      <c r="F17" s="256"/>
      <c r="G17" s="87" t="str">
        <f>VLOOKUP("hPhone",tblTranslation[],LangFieldID,FALSE)</f>
        <v>Phone</v>
      </c>
      <c r="H17" s="88" t="str">
        <f>VLOOKUP("hPhone",tblTranslation[],6,FALSE)</f>
        <v>string</v>
      </c>
      <c r="I17" s="89" t="str">
        <f>VLOOKUP("hPhone",tblTranslation[],LangNameID,FALSE)</f>
        <v>Enter the telephone number of the person to be contacted</v>
      </c>
    </row>
    <row r="18" spans="1:9" x14ac:dyDescent="0.2">
      <c r="A18" s="219"/>
      <c r="B18" s="245"/>
      <c r="C18" s="245"/>
      <c r="D18" s="251" t="str">
        <f>VLOOKUP("H30",tblTranslation[],LangFieldID,FALSE)</f>
        <v>Data set characteristics</v>
      </c>
      <c r="E18" s="252"/>
      <c r="F18" s="252"/>
      <c r="G18" s="90" t="str">
        <f>VLOOKUP("hFlagRep",tblTranslation[],LangFieldID,FALSE)</f>
        <v>Reporting Flag</v>
      </c>
      <c r="H18" s="88" t="str">
        <f>VLOOKUP("hFlagRep",tblTranslation[],6,FALSE)</f>
        <v>ICCAT code</v>
      </c>
      <c r="I18" s="89" t="str">
        <f>VLOOKUP("hFlagRep",tblTranslation[],LangNameID,FALSE)</f>
        <v>Enter the flag of the CPC (Party, Entity or Fishing Entity) submitting the information</v>
      </c>
    </row>
    <row r="19" spans="1:9" x14ac:dyDescent="0.2">
      <c r="A19" s="219"/>
      <c r="B19" s="245"/>
      <c r="C19" s="245"/>
      <c r="D19" s="255"/>
      <c r="E19" s="256"/>
      <c r="F19" s="256"/>
      <c r="G19" s="87" t="str">
        <f>VLOOKUP("hNotes",tblTranslation[],LangFieldID,FALSE)</f>
        <v>Notes</v>
      </c>
      <c r="H19" s="88" t="str">
        <f>VLOOKUP("hNotes",tblTranslation[],6,FALSE)</f>
        <v>string</v>
      </c>
      <c r="I19" s="89" t="str">
        <f>VLOOKUP("hNotes",tblTranslation[],LangNameID,FALSE)</f>
        <v>For any relevant notes (justification on lack of IMO numbers, etc.)</v>
      </c>
    </row>
    <row r="20" spans="1:9" x14ac:dyDescent="0.2">
      <c r="A20" s="219"/>
      <c r="B20" s="245"/>
      <c r="C20" s="245"/>
      <c r="D20" s="251" t="s">
        <v>2</v>
      </c>
      <c r="E20" s="252"/>
      <c r="F20" s="252"/>
      <c r="G20" s="87" t="str">
        <f>VLOOKUP("hDateRep",tblTranslation[],LangFieldID,FALSE)</f>
        <v>Date reported</v>
      </c>
      <c r="H20" s="88" t="str">
        <f>VLOOKUP("hDateRep",tblTranslation[],6,FALSE)</f>
        <v>date</v>
      </c>
      <c r="I20" s="89" t="str">
        <f>VLOOKUP("hDateRep",tblTranslation[],LangNameID,FALSE)</f>
        <v>Secretariat use only</v>
      </c>
    </row>
    <row r="21" spans="1:9" x14ac:dyDescent="0.2">
      <c r="A21" s="219"/>
      <c r="B21" s="245"/>
      <c r="C21" s="245"/>
      <c r="D21" s="253"/>
      <c r="E21" s="254"/>
      <c r="F21" s="254"/>
      <c r="G21" s="87" t="str">
        <f>VLOOKUP("hRef",tblTranslation[],LangFieldID,FALSE)</f>
        <v>Reference Nº</v>
      </c>
      <c r="H21" s="88" t="str">
        <f>VLOOKUP("hRef",tblTranslation[],6,FALSE)</f>
        <v>ICCAT code</v>
      </c>
      <c r="I21" s="89" t="str">
        <f>VLOOKUP("hRef",tblTranslation[],LangNameID,FALSE)</f>
        <v>Secretariat use only</v>
      </c>
    </row>
    <row r="22" spans="1:9" x14ac:dyDescent="0.2">
      <c r="A22" s="219"/>
      <c r="B22" s="245"/>
      <c r="C22" s="246"/>
      <c r="D22" s="255"/>
      <c r="E22" s="256"/>
      <c r="F22" s="256"/>
      <c r="G22" s="87" t="str">
        <f>VLOOKUP("hFname",tblTranslation[],LangFieldID,FALSE)</f>
        <v>File name (proposed)</v>
      </c>
      <c r="H22" s="88" t="str">
        <f>VLOOKUP("hFName",tblTranslation[],6,FALSE)</f>
        <v>string</v>
      </c>
      <c r="I22" s="89" t="str">
        <f>VLOOKUP("hFName",tblTranslation[],LangNameID,FALSE)</f>
        <v>Send the form to ICCAT with the proposed file name (if required, adding a suffix at the end of the filename: [suffix])</v>
      </c>
    </row>
    <row r="23" spans="1:9" ht="20.399999999999999" x14ac:dyDescent="0.2">
      <c r="A23" s="219"/>
      <c r="B23" s="245"/>
      <c r="C23" s="218" t="str">
        <f>VLOOKUP("D00",tblTranslation[],LangFieldID,FALSE)</f>
        <v>Detail</v>
      </c>
      <c r="D23" s="257" t="str">
        <f>VLOOKUP("D10",tblTranslation[],LangFieldID,FALSE)</f>
        <v>Vessel (Identification)</v>
      </c>
      <c r="E23" s="258"/>
      <c r="F23" s="258"/>
      <c r="G23" s="91" t="str">
        <f>VLOOKUP("ICCATSerialNo",tblTranslation[],LangFieldID,FALSE)</f>
        <v>ICCAT Serial Number
(If applicable)</v>
      </c>
      <c r="H23" s="88" t="str">
        <f>VLOOKUP("ICCATSerialNo",tblTranslation[],6,FALSE)</f>
        <v>ICCAT code</v>
      </c>
      <c r="I23" s="89" t="str">
        <f>VLOOKUP("ICCATSerialNo",tblTranslation[],LangNameID,FALSE)</f>
        <v>ICCAT serial number (unique) of the Vessel registered (if applicable)</v>
      </c>
    </row>
    <row r="24" spans="1:9" x14ac:dyDescent="0.2">
      <c r="A24" s="219"/>
      <c r="B24" s="245"/>
      <c r="C24" s="219"/>
      <c r="D24" s="259"/>
      <c r="E24" s="260"/>
      <c r="F24" s="260"/>
      <c r="G24" s="91" t="str">
        <f>VLOOKUP("IMONo",tblTranslation[],LangFieldID,FALSE)</f>
        <v>IMO Number</v>
      </c>
      <c r="H24" s="88" t="str">
        <f>VLOOKUP("IMONo",tblTranslation[],6,FALSE)</f>
        <v>integer</v>
      </c>
      <c r="I24" s="89" t="str">
        <f>VLOOKUP("IMONo",tblTranslation[],LangNameID,FALSE)</f>
        <v>IMO number. All vessels of 20 m or greater must have an IMO number, except wooden LSFVs that are not authorized to fish on the high seas or LSFVs unable to obtain an IMO number</v>
      </c>
    </row>
    <row r="25" spans="1:9" ht="20.399999999999999" x14ac:dyDescent="0.2">
      <c r="A25" s="219"/>
      <c r="B25" s="245"/>
      <c r="C25" s="219"/>
      <c r="D25" s="259"/>
      <c r="E25" s="260"/>
      <c r="F25" s="260"/>
      <c r="G25" s="91" t="str">
        <f>VLOOKUP("IRCS",tblTranslation[],LangFieldID,FALSE)</f>
        <v>Internat. RCS</v>
      </c>
      <c r="H25" s="88" t="str">
        <f>VLOOKUP("IRCS",tblTranslation[],6,FALSE)</f>
        <v>string</v>
      </c>
      <c r="I25" s="89" t="str">
        <f>VLOOKUP("IRCS",tblTranslation[],LangNameID,FALSE)</f>
        <v>International Radio Call Sign. This must comprise only letters and numbers, e.g. 7T2472 (no spaces, "-", ".", or any other special characters are allowed. If the vessel is too small to have an IRCS assigned, then "n/a" should be entered</v>
      </c>
    </row>
    <row r="26" spans="1:9" x14ac:dyDescent="0.2">
      <c r="A26" s="219"/>
      <c r="B26" s="245"/>
      <c r="C26" s="219"/>
      <c r="D26" s="259"/>
      <c r="E26" s="260"/>
      <c r="F26" s="260"/>
      <c r="G26" s="91" t="str">
        <f>VLOOKUP("VesselName",tblTranslation[],LangFieldID,FALSE)</f>
        <v>Vessel name (Latin)</v>
      </c>
      <c r="H26" s="88" t="str">
        <f>VLOOKUP("VesselName",tblTranslation[],6,FALSE)</f>
        <v>string</v>
      </c>
      <c r="I26" s="89" t="str">
        <f>VLOOKUP("VesselName",tblTranslation[],LangNameID,FALSE)</f>
        <v>Vessel name in Latin script</v>
      </c>
    </row>
    <row r="27" spans="1:9" x14ac:dyDescent="0.2">
      <c r="A27" s="219"/>
      <c r="B27" s="245"/>
      <c r="C27" s="219"/>
      <c r="D27" s="261"/>
      <c r="E27" s="260"/>
      <c r="F27" s="260"/>
      <c r="G27" s="92" t="str">
        <f>VLOOKUP("FlagCd",tblTranslation[],LangFieldID,FALSE)</f>
        <v>Flag of Vessel (cod)</v>
      </c>
      <c r="H27" s="88" t="str">
        <f>VLOOKUP("FlagCd",tblTranslation[],6,FALSE)</f>
        <v>ICCAT code</v>
      </c>
      <c r="I27" s="89" t="str">
        <f>VLOOKUP("FlagCd",tblTranslation[],LangNameID,FALSE)</f>
        <v>Select the flag (choose from available flag codes) under which the vessel is operating.</v>
      </c>
    </row>
    <row r="28" spans="1:9" x14ac:dyDescent="0.2">
      <c r="A28" s="219"/>
      <c r="B28" s="245"/>
      <c r="C28" s="219"/>
      <c r="D28" s="221" t="str">
        <f>VLOOKUP("D20",tblTranslation[],LangFieldID,FALSE)</f>
        <v>Lost Gear (Details)</v>
      </c>
      <c r="E28" s="231" t="str">
        <f>VLOOKUP("D21",tblTranslation[],LangFieldID,FALSE)</f>
        <v>Attributes</v>
      </c>
      <c r="F28" s="108"/>
      <c r="G28" s="93" t="str">
        <f>VLOOKUP("GearMark",tblTranslation[],LangFieldID,FALSE)</f>
        <v>Gear mark</v>
      </c>
      <c r="H28" s="88" t="str">
        <f>VLOOKUP("GearMark",tblTranslation[],6,FALSE)</f>
        <v>string</v>
      </c>
      <c r="I28" s="89" t="str">
        <f>VLOOKUP("GearMark",tblTranslation[],LangNameID,FALSE)</f>
        <v xml:space="preserve">Marking of the lost fishing Gear </v>
      </c>
    </row>
    <row r="29" spans="1:9" x14ac:dyDescent="0.2">
      <c r="A29" s="219"/>
      <c r="B29" s="245"/>
      <c r="C29" s="219"/>
      <c r="D29" s="222"/>
      <c r="E29" s="232"/>
      <c r="F29" s="83"/>
      <c r="G29" s="94" t="str">
        <f>VLOOKUP("GearCd",tblTranslation[],LangFieldID,FALSE)</f>
        <v>Gear (cod)</v>
      </c>
      <c r="H29" s="88" t="str">
        <f>VLOOKUP("GearCd",tblTranslation[],6,FALSE)</f>
        <v>ICCAT code</v>
      </c>
      <c r="I29" s="89" t="str">
        <f>VLOOKUP("GearCd",tblTranslation[],LangNameID,FALSE)</f>
        <v>Choose the lost fishing Gear code (ICCAT codes)</v>
      </c>
    </row>
    <row r="30" spans="1:9" x14ac:dyDescent="0.2">
      <c r="A30" s="219"/>
      <c r="B30" s="245"/>
      <c r="C30" s="219"/>
      <c r="D30" s="222"/>
      <c r="E30" s="232"/>
      <c r="F30" s="83"/>
      <c r="G30" s="94" t="str">
        <f>VLOOKUP("GearUnit",tblTranslation[],LangFieldID,FALSE)</f>
        <v>Gear Unit</v>
      </c>
      <c r="H30" s="88" t="str">
        <f>VLOOKUP("GearUnit",tblTranslation[],6,FALSE)</f>
        <v>ICCAT code</v>
      </c>
      <c r="I30" s="89" t="str">
        <f>VLOOKUP("GearUnit",tblTranslation[],LangNameID,FALSE)</f>
        <v>Units of lost fishing Gear</v>
      </c>
    </row>
    <row r="31" spans="1:9" x14ac:dyDescent="0.2">
      <c r="A31" s="219"/>
      <c r="B31" s="245"/>
      <c r="C31" s="219"/>
      <c r="D31" s="222"/>
      <c r="E31" s="232"/>
      <c r="F31" s="83"/>
      <c r="G31" s="93" t="str">
        <f>VLOOKUP("GearQty",tblTranslation[],LangFieldID,FALSE)</f>
        <v>Quantity</v>
      </c>
      <c r="H31" s="88" t="str">
        <f>VLOOKUP("GearQty",tblTranslation[],6,FALSE)</f>
        <v>integer</v>
      </c>
      <c r="I31" s="89" t="str">
        <f>VLOOKUP("GearQty",tblTranslation[],LangNameID,FALSE)</f>
        <v>Quantity of lost fishing Gear</v>
      </c>
    </row>
    <row r="32" spans="1:9" x14ac:dyDescent="0.2">
      <c r="A32" s="219"/>
      <c r="B32" s="245"/>
      <c r="C32" s="219"/>
      <c r="D32" s="222"/>
      <c r="E32" s="232"/>
      <c r="F32" s="83"/>
      <c r="G32" s="93" t="str">
        <f>VLOOKUP("Gearsz",tblTranslation[],LangFieldID,FALSE)</f>
        <v>Size (m)</v>
      </c>
      <c r="H32" s="88" t="str">
        <f>VLOOKUP("Gearsz",tblTranslation[],6,FALSE)</f>
        <v>float</v>
      </c>
      <c r="I32" s="89" t="str">
        <f>VLOOKUP("Gearsz",tblTranslation[],LangNameID,FALSE)</f>
        <v>Size in metres of lost fishing Gear</v>
      </c>
    </row>
    <row r="33" spans="1:9" x14ac:dyDescent="0.2">
      <c r="A33" s="219"/>
      <c r="B33" s="245"/>
      <c r="C33" s="219"/>
      <c r="D33" s="222"/>
      <c r="E33" s="232"/>
      <c r="F33" s="224" t="str">
        <f>VLOOKUP("D211",tblTranslation[],LangFieldID,FALSE)</f>
        <v>Only applicable if Gear type = net</v>
      </c>
      <c r="G33" s="144" t="str">
        <f>VLOOKUP("NetSzN",tblTranslation[],LangFieldID,FALSE)</f>
        <v>Size N-direction (m)</v>
      </c>
      <c r="H33" s="88" t="str">
        <f>VLOOKUP("NetSzN",tblTranslation[],6,FALSE)</f>
        <v>float</v>
      </c>
      <c r="I33" s="89" t="str">
        <f>VLOOKUP("NetSzN",tblTranslation[],LangNameID,FALSE)</f>
        <v>Size in metres along the N-direction (depthwise). The direction at right angles (Normal) to the general course of the netting yarn</v>
      </c>
    </row>
    <row r="34" spans="1:9" x14ac:dyDescent="0.2">
      <c r="A34" s="219"/>
      <c r="B34" s="245"/>
      <c r="C34" s="219"/>
      <c r="D34" s="222"/>
      <c r="E34" s="232"/>
      <c r="F34" s="225"/>
      <c r="G34" s="144" t="str">
        <f>VLOOKUP("NetSzT",tblTranslation[],LangFieldID,FALSE)</f>
        <v>Size T-direction (m)</v>
      </c>
      <c r="H34" s="88" t="str">
        <f>VLOOKUP("NetSzT",tblTranslation[],6,FALSE)</f>
        <v>float</v>
      </c>
      <c r="I34" s="89" t="str">
        <f>VLOOKUP("NetSzT",tblTranslation[],LangNameID,FALSE)</f>
        <v>Size in metres along the T-direction (lengthwise). The direction parallel to the general course of the netting yarn (Twinewise)</v>
      </c>
    </row>
    <row r="35" spans="1:9" x14ac:dyDescent="0.2">
      <c r="A35" s="219"/>
      <c r="B35" s="245"/>
      <c r="C35" s="219"/>
      <c r="D35" s="222"/>
      <c r="E35" s="233"/>
      <c r="F35" s="226"/>
      <c r="G35" s="144" t="str">
        <f>VLOOKUP("NetMeshSz",tblTranslation[],LangFieldID,FALSE)</f>
        <v>Mesh size (cm)</v>
      </c>
      <c r="H35" s="88" t="str">
        <f>VLOOKUP("NetMeshSz",tblTranslation[],6,FALSE)</f>
        <v>float</v>
      </c>
      <c r="I35" s="89" t="str">
        <f>VLOOKUP("NetMeshSz",tblTranslation[],LangNameID,FALSE)</f>
        <v>Mesh size (cm)</v>
      </c>
    </row>
    <row r="36" spans="1:9" x14ac:dyDescent="0.2">
      <c r="A36" s="219"/>
      <c r="B36" s="245"/>
      <c r="C36" s="219"/>
      <c r="D36" s="222"/>
      <c r="E36" s="227" t="str">
        <f>VLOOKUP("D22",tblTranslation[],LangFieldID,FALSE)</f>
        <v>Date/Time</v>
      </c>
      <c r="F36" s="228"/>
      <c r="G36" s="93" t="str">
        <f>VLOOKUP("LostDate",tblTranslation[],LangFieldID,FALSE)</f>
        <v>Date</v>
      </c>
      <c r="H36" s="88" t="str">
        <f>VLOOKUP("LostDate",tblTranslation[],6,FALSE)</f>
        <v>date</v>
      </c>
      <c r="I36" s="89" t="str">
        <f>VLOOKUP("LostDate",tblTranslation[],LangNameID,FALSE)</f>
        <v>Date when the fishing gear was lost</v>
      </c>
    </row>
    <row r="37" spans="1:9" x14ac:dyDescent="0.2">
      <c r="A37" s="219"/>
      <c r="B37" s="245"/>
      <c r="C37" s="219"/>
      <c r="D37" s="222"/>
      <c r="E37" s="229"/>
      <c r="F37" s="230"/>
      <c r="G37" s="93" t="str">
        <f>VLOOKUP("LostTime",tblTranslation[],LangFieldID,FALSE)</f>
        <v>Time (hh:mm)</v>
      </c>
      <c r="H37" s="88" t="str">
        <f>VLOOKUP("LostTime",tblTranslation[],6,FALSE)</f>
        <v>time</v>
      </c>
      <c r="I37" s="89" t="str">
        <f>VLOOKUP("LostTime",tblTranslation[],LangNameID,FALSE)</f>
        <v>Time when the fishing gear was lost</v>
      </c>
    </row>
    <row r="38" spans="1:9" x14ac:dyDescent="0.2">
      <c r="A38" s="219"/>
      <c r="B38" s="245"/>
      <c r="C38" s="219"/>
      <c r="D38" s="222"/>
      <c r="E38" s="227" t="str">
        <f>VLOOKUP("D23",tblTranslation[],LangFieldID,FALSE)</f>
        <v>Location</v>
      </c>
      <c r="F38" s="228"/>
      <c r="G38" s="94" t="str">
        <f>VLOOKUP("LostLat",tblTranslation[],LangFieldID,FALSE)</f>
        <v>Latitude (±dd.dddd)</v>
      </c>
      <c r="H38" s="88" t="str">
        <f>VLOOKUP("LostLat",tblTranslation[],6,FALSE)</f>
        <v>see format</v>
      </c>
      <c r="I38" s="89" t="str">
        <f>VLOOKUP("LostLat",tblTranslation[],LangNameID,FALSE)</f>
        <v>Latitude where the fishing gear was lost</v>
      </c>
    </row>
    <row r="39" spans="1:9" x14ac:dyDescent="0.2">
      <c r="A39" s="219"/>
      <c r="B39" s="245"/>
      <c r="C39" s="219"/>
      <c r="D39" s="223"/>
      <c r="E39" s="229"/>
      <c r="F39" s="230"/>
      <c r="G39" s="145" t="str">
        <f>VLOOKUP("LostLon",tblTranslation[],LangFieldID,FALSE)</f>
        <v>Longitude (±dd.dddd)</v>
      </c>
      <c r="H39" s="88" t="str">
        <f>VLOOKUP("LostLon",tblTranslation[],6,FALSE)</f>
        <v>see format</v>
      </c>
      <c r="I39" s="89" t="str">
        <f>VLOOKUP("LostLon",tblTranslation[],LangNameID,FALSE)</f>
        <v>Longitude where the fishing gear was lost</v>
      </c>
    </row>
    <row r="40" spans="1:9" x14ac:dyDescent="0.2">
      <c r="A40" s="219"/>
      <c r="B40" s="245"/>
      <c r="C40" s="219"/>
      <c r="D40" s="234" t="str">
        <f>VLOOKUP("D30",tblTranslation[],LangFieldID,FALSE)</f>
        <v>Additional information</v>
      </c>
      <c r="E40" s="235"/>
      <c r="F40" s="235"/>
      <c r="G40" s="95" t="str">
        <f>VLOOKUP("RetrvlMeasures",tblTranslation[],LangFieldID,FALSE)</f>
        <v>Retrieval Measures</v>
      </c>
      <c r="H40" s="88" t="str">
        <f>VLOOKUP("RetrvlMeasures",tblTranslation[],6,FALSE)</f>
        <v>ICCAT code</v>
      </c>
      <c r="I40" s="89" t="str">
        <f>VLOOKUP("RetrvlMeasures",tblTranslation[],LangNameID,FALSE)</f>
        <v>The measures taken by the vessel to retrieve the lost fishing gear</v>
      </c>
    </row>
    <row r="41" spans="1:9" x14ac:dyDescent="0.2">
      <c r="A41" s="219"/>
      <c r="B41" s="245"/>
      <c r="C41" s="219"/>
      <c r="D41" s="236"/>
      <c r="E41" s="237"/>
      <c r="F41" s="237"/>
      <c r="G41" s="95" t="str">
        <f>VLOOKUP("RetrvlFail",tblTranslation[],LangFieldID,FALSE)</f>
        <v>Retrieval Failure (if applicable)</v>
      </c>
      <c r="H41" s="88" t="str">
        <f>VLOOKUP("RetrvlFail",tblTranslation[],6,FALSE)</f>
        <v>ICCAT code</v>
      </c>
      <c r="I41" s="89" t="str">
        <f>VLOOKUP("RetrvlFail",tblTranslation[],LangNameID,FALSE)</f>
        <v>The reasons for the retrieval failure</v>
      </c>
    </row>
    <row r="42" spans="1:9" x14ac:dyDescent="0.2">
      <c r="A42" s="220"/>
      <c r="B42" s="246"/>
      <c r="C42" s="220"/>
      <c r="D42" s="238"/>
      <c r="E42" s="239"/>
      <c r="F42" s="239"/>
      <c r="G42" s="96" t="str">
        <f>VLOOKUP("AddInfo",tblTranslation[],LangFieldID,FALSE)</f>
        <v>Additional info (optional)</v>
      </c>
      <c r="H42" s="88" t="str">
        <f>VLOOKUP("AddInfo",tblTranslation[],6,FALSE)</f>
        <v>string</v>
      </c>
      <c r="I42" s="89" t="str">
        <f>VLOOKUP("AddInfo",tblTranslation[],LangNameID,FALSE)</f>
        <v>Additional info</v>
      </c>
    </row>
  </sheetData>
  <sheetProtection algorithmName="SHA-512" hashValue="QeyIPx/fJANDP6NRSe41otjlqbAI/oS2i6Mo3Y2pXv6ocojlWrUAj+e26kkwlrOZtVEs9AID8tTGZ8lPC/Csww==" saltValue="wVVVPlgNsoxtqlsU4HHpjw==" spinCount="100000" sheet="1" objects="1" scenarios="1"/>
  <mergeCells count="23">
    <mergeCell ref="A11:A42"/>
    <mergeCell ref="B7:I7"/>
    <mergeCell ref="A9:E9"/>
    <mergeCell ref="A1:I1"/>
    <mergeCell ref="A2:E2"/>
    <mergeCell ref="B3:I3"/>
    <mergeCell ref="B4:I4"/>
    <mergeCell ref="B5:I5"/>
    <mergeCell ref="B6:I6"/>
    <mergeCell ref="C13:C22"/>
    <mergeCell ref="B11:F12"/>
    <mergeCell ref="D13:F17"/>
    <mergeCell ref="D18:F19"/>
    <mergeCell ref="D20:F22"/>
    <mergeCell ref="D23:F27"/>
    <mergeCell ref="B13:B42"/>
    <mergeCell ref="C23:C42"/>
    <mergeCell ref="D28:D39"/>
    <mergeCell ref="F33:F35"/>
    <mergeCell ref="E38:F39"/>
    <mergeCell ref="E36:F37"/>
    <mergeCell ref="E28:E35"/>
    <mergeCell ref="D40:F42"/>
  </mergeCells>
  <hyperlinks>
    <hyperlink ref="G18" location="FlagName" display="FlagName" xr:uid="{72038869-BB4F-44E6-B4CA-18C69C6E6E74}"/>
    <hyperlink ref="G27" location="FlagCode" display="FlagCode" xr:uid="{23203E49-CD0F-45D6-A550-6C869986480A}"/>
    <hyperlink ref="G29" location="GearCode" display="GearCode" xr:uid="{10F3B9DC-ACEB-4375-882C-8268FA98670F}"/>
    <hyperlink ref="G30" location="UnitCode" display="UnitCode" xr:uid="{73D659A0-C315-4AEB-B3EE-9D9A4D9110A0}"/>
    <hyperlink ref="G40" location="MeasuresCode" display="MeasuresCode" xr:uid="{6D8C30DC-1C98-4F77-948B-66A1F905AE2B}"/>
    <hyperlink ref="G41" location="FailureCode" display="FailureCode" xr:uid="{F889FB0F-3358-448B-9688-ABE98C831CAF}"/>
    <hyperlink ref="G38" location="fmtLatitude" display="fmtLatitude" xr:uid="{5215F546-DD63-4565-9C1A-335ED24C0BBE}"/>
    <hyperlink ref="G39" location="fmtLongitude" display="fmtLongitude" xr:uid="{32889D10-DC95-4EAE-B73D-00F8E6E15640}"/>
    <hyperlink ref="F33:F35" location="GearType" display="GearType" xr:uid="{93775250-298B-4066-82E3-D284DC8BB014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69"/>
  <sheetViews>
    <sheetView topLeftCell="A52" zoomScale="70" zoomScaleNormal="70" workbookViewId="0">
      <selection activeCell="A5" sqref="A5:L69"/>
    </sheetView>
  </sheetViews>
  <sheetFormatPr defaultColWidth="10.33203125" defaultRowHeight="12" x14ac:dyDescent="0.3"/>
  <cols>
    <col min="1" max="1" width="12.109375" style="4" bestFit="1" customWidth="1"/>
    <col min="2" max="2" width="7.33203125" style="4" bestFit="1" customWidth="1"/>
    <col min="3" max="3" width="11.6640625" style="4" bestFit="1" customWidth="1"/>
    <col min="4" max="4" width="8.33203125" style="4" bestFit="1" customWidth="1"/>
    <col min="5" max="5" width="7.109375" style="4" bestFit="1" customWidth="1"/>
    <col min="6" max="6" width="10.33203125" style="4" bestFit="1" customWidth="1"/>
    <col min="7" max="7" width="21.88671875" style="4" bestFit="1" customWidth="1"/>
    <col min="8" max="8" width="21" style="4" bestFit="1" customWidth="1"/>
    <col min="9" max="9" width="24.109375" style="4" bestFit="1" customWidth="1"/>
    <col min="10" max="11" width="63.6640625" style="8" bestFit="1" customWidth="1"/>
    <col min="12" max="12" width="63.88671875" style="8" customWidth="1"/>
    <col min="13" max="16384" width="10.33203125" style="4"/>
  </cols>
  <sheetData>
    <row r="1" spans="1:12" ht="14.4" x14ac:dyDescent="0.3">
      <c r="A1" s="262" t="s">
        <v>461</v>
      </c>
      <c r="B1" s="263"/>
      <c r="C1" s="263"/>
      <c r="D1" s="263"/>
      <c r="E1" s="263"/>
      <c r="F1" s="9"/>
      <c r="G1" s="10" t="s">
        <v>462</v>
      </c>
      <c r="H1" s="11">
        <f>IF(Idiom="ENG",7,IF(Idiom="FRA",8,9))</f>
        <v>7</v>
      </c>
    </row>
    <row r="2" spans="1:12" x14ac:dyDescent="0.3">
      <c r="A2" s="12"/>
      <c r="B2" s="12"/>
      <c r="C2" s="12"/>
      <c r="D2" s="12"/>
      <c r="E2" s="12"/>
      <c r="F2" s="12"/>
      <c r="G2" s="10" t="s">
        <v>463</v>
      </c>
      <c r="H2" s="11">
        <f>IF(Idiom="ENG",10,IF(Idiom="FRA",11,12))</f>
        <v>10</v>
      </c>
    </row>
    <row r="4" spans="1:12" x14ac:dyDescent="0.3">
      <c r="A4" s="153" t="s">
        <v>11</v>
      </c>
      <c r="B4" s="153" t="s">
        <v>464</v>
      </c>
      <c r="C4" s="153" t="s">
        <v>465</v>
      </c>
      <c r="D4" s="153" t="s">
        <v>10</v>
      </c>
      <c r="E4" s="153" t="s">
        <v>466</v>
      </c>
      <c r="F4" s="153" t="s">
        <v>467</v>
      </c>
      <c r="G4" s="153" t="s">
        <v>468</v>
      </c>
      <c r="H4" s="153" t="s">
        <v>469</v>
      </c>
      <c r="I4" s="153" t="s">
        <v>470</v>
      </c>
      <c r="J4" s="154" t="s">
        <v>471</v>
      </c>
      <c r="K4" s="154" t="s">
        <v>472</v>
      </c>
      <c r="L4" s="154" t="s">
        <v>473</v>
      </c>
    </row>
    <row r="5" spans="1:12" ht="24" x14ac:dyDescent="0.3">
      <c r="A5" s="147" t="s">
        <v>474</v>
      </c>
      <c r="B5" s="147">
        <v>1</v>
      </c>
      <c r="C5" s="147" t="s">
        <v>649</v>
      </c>
      <c r="D5" s="147" t="s">
        <v>12</v>
      </c>
      <c r="E5" s="147" t="s">
        <v>475</v>
      </c>
      <c r="F5" s="148" t="s">
        <v>476</v>
      </c>
      <c r="G5" s="147" t="s">
        <v>788</v>
      </c>
      <c r="H5" s="147" t="s">
        <v>788</v>
      </c>
      <c r="I5" s="147" t="s">
        <v>788</v>
      </c>
      <c r="J5" s="147" t="s">
        <v>651</v>
      </c>
      <c r="K5" s="147" t="s">
        <v>835</v>
      </c>
      <c r="L5" s="147" t="s">
        <v>879</v>
      </c>
    </row>
    <row r="6" spans="1:12" x14ac:dyDescent="0.3">
      <c r="A6" s="147" t="s">
        <v>13</v>
      </c>
      <c r="B6" s="147">
        <v>2</v>
      </c>
      <c r="C6" s="147" t="s">
        <v>649</v>
      </c>
      <c r="D6" s="147" t="s">
        <v>12</v>
      </c>
      <c r="E6" s="147" t="s">
        <v>477</v>
      </c>
      <c r="F6" s="148" t="s">
        <v>476</v>
      </c>
      <c r="G6" s="147" t="s">
        <v>12</v>
      </c>
      <c r="H6" s="147" t="s">
        <v>478</v>
      </c>
      <c r="I6" s="147" t="s">
        <v>479</v>
      </c>
      <c r="J6" s="147" t="s">
        <v>480</v>
      </c>
      <c r="K6" s="147" t="s">
        <v>481</v>
      </c>
      <c r="L6" s="147" t="s">
        <v>482</v>
      </c>
    </row>
    <row r="7" spans="1:12" ht="24" x14ac:dyDescent="0.3">
      <c r="A7" s="147" t="s">
        <v>489</v>
      </c>
      <c r="B7" s="147">
        <v>3</v>
      </c>
      <c r="C7" s="147" t="s">
        <v>649</v>
      </c>
      <c r="D7" s="147" t="s">
        <v>12</v>
      </c>
      <c r="E7" s="147" t="s">
        <v>477</v>
      </c>
      <c r="F7" s="148" t="s">
        <v>476</v>
      </c>
      <c r="G7" s="147" t="s">
        <v>483</v>
      </c>
      <c r="H7" s="147" t="s">
        <v>484</v>
      </c>
      <c r="I7" s="147" t="s">
        <v>485</v>
      </c>
      <c r="J7" s="147" t="s">
        <v>486</v>
      </c>
      <c r="K7" s="147" t="s">
        <v>487</v>
      </c>
      <c r="L7" s="147" t="s">
        <v>488</v>
      </c>
    </row>
    <row r="8" spans="1:12" s="42" customFormat="1" x14ac:dyDescent="0.25">
      <c r="A8" s="149" t="s">
        <v>647</v>
      </c>
      <c r="B8" s="147">
        <v>4</v>
      </c>
      <c r="C8" s="149" t="s">
        <v>649</v>
      </c>
      <c r="D8" s="149" t="s">
        <v>12</v>
      </c>
      <c r="E8" s="149" t="s">
        <v>475</v>
      </c>
      <c r="F8" s="149" t="s">
        <v>476</v>
      </c>
      <c r="G8" s="149" t="s">
        <v>650</v>
      </c>
      <c r="H8" s="149" t="s">
        <v>650</v>
      </c>
      <c r="I8" s="149" t="s">
        <v>650</v>
      </c>
      <c r="J8" s="149" t="s">
        <v>652</v>
      </c>
      <c r="K8" s="157" t="s">
        <v>836</v>
      </c>
      <c r="L8" s="157" t="s">
        <v>880</v>
      </c>
    </row>
    <row r="9" spans="1:12" x14ac:dyDescent="0.3">
      <c r="A9" s="147" t="s">
        <v>490</v>
      </c>
      <c r="B9" s="147">
        <v>5</v>
      </c>
      <c r="C9" s="147" t="s">
        <v>649</v>
      </c>
      <c r="D9" s="147" t="s">
        <v>12</v>
      </c>
      <c r="E9" s="147" t="s">
        <v>491</v>
      </c>
      <c r="F9" s="148" t="s">
        <v>492</v>
      </c>
      <c r="G9" s="147" t="s">
        <v>0</v>
      </c>
      <c r="H9" s="147" t="s">
        <v>0</v>
      </c>
      <c r="I9" s="147" t="s">
        <v>493</v>
      </c>
      <c r="J9" s="147" t="s">
        <v>882</v>
      </c>
      <c r="K9" s="147" t="s">
        <v>494</v>
      </c>
      <c r="L9" s="147" t="s">
        <v>495</v>
      </c>
    </row>
    <row r="10" spans="1:12" x14ac:dyDescent="0.3">
      <c r="A10" s="147" t="s">
        <v>496</v>
      </c>
      <c r="B10" s="147">
        <v>6</v>
      </c>
      <c r="C10" s="147" t="s">
        <v>649</v>
      </c>
      <c r="D10" s="147" t="s">
        <v>12</v>
      </c>
      <c r="E10" s="147" t="s">
        <v>491</v>
      </c>
      <c r="F10" s="148" t="s">
        <v>497</v>
      </c>
      <c r="G10" s="147" t="s">
        <v>498</v>
      </c>
      <c r="H10" s="147" t="s">
        <v>499</v>
      </c>
      <c r="I10" s="147" t="s">
        <v>500</v>
      </c>
      <c r="J10" s="147" t="s">
        <v>501</v>
      </c>
      <c r="K10" s="147" t="s">
        <v>502</v>
      </c>
      <c r="L10" s="147" t="s">
        <v>503</v>
      </c>
    </row>
    <row r="11" spans="1:12" x14ac:dyDescent="0.3">
      <c r="A11" s="147" t="s">
        <v>507</v>
      </c>
      <c r="B11" s="147">
        <v>7</v>
      </c>
      <c r="C11" s="147" t="s">
        <v>649</v>
      </c>
      <c r="D11" s="147" t="s">
        <v>1</v>
      </c>
      <c r="E11" s="147" t="s">
        <v>475</v>
      </c>
      <c r="F11" s="147" t="s">
        <v>476</v>
      </c>
      <c r="G11" s="147" t="s">
        <v>1</v>
      </c>
      <c r="H11" s="147" t="s">
        <v>508</v>
      </c>
      <c r="I11" s="147" t="s">
        <v>509</v>
      </c>
      <c r="J11" s="147" t="s">
        <v>476</v>
      </c>
      <c r="K11" s="147" t="s">
        <v>476</v>
      </c>
      <c r="L11" s="147" t="s">
        <v>476</v>
      </c>
    </row>
    <row r="12" spans="1:12" x14ac:dyDescent="0.3">
      <c r="A12" s="147" t="s">
        <v>510</v>
      </c>
      <c r="B12" s="147">
        <v>8</v>
      </c>
      <c r="C12" s="147" t="s">
        <v>649</v>
      </c>
      <c r="D12" s="147" t="s">
        <v>1</v>
      </c>
      <c r="E12" s="147" t="s">
        <v>511</v>
      </c>
      <c r="F12" s="147" t="s">
        <v>476</v>
      </c>
      <c r="G12" s="147" t="s">
        <v>512</v>
      </c>
      <c r="H12" s="147" t="s">
        <v>513</v>
      </c>
      <c r="I12" s="147" t="s">
        <v>514</v>
      </c>
      <c r="J12" s="147" t="s">
        <v>476</v>
      </c>
      <c r="K12" s="147" t="s">
        <v>476</v>
      </c>
      <c r="L12" s="147" t="s">
        <v>476</v>
      </c>
    </row>
    <row r="13" spans="1:12" x14ac:dyDescent="0.3">
      <c r="A13" s="147" t="s">
        <v>515</v>
      </c>
      <c r="B13" s="147">
        <v>9</v>
      </c>
      <c r="C13" s="147" t="s">
        <v>649</v>
      </c>
      <c r="D13" s="147" t="s">
        <v>1</v>
      </c>
      <c r="E13" s="147" t="s">
        <v>511</v>
      </c>
      <c r="F13" s="147" t="s">
        <v>476</v>
      </c>
      <c r="G13" s="149" t="s">
        <v>2</v>
      </c>
      <c r="H13" s="149" t="s">
        <v>516</v>
      </c>
      <c r="I13" s="149" t="s">
        <v>517</v>
      </c>
      <c r="J13" s="147" t="s">
        <v>476</v>
      </c>
      <c r="K13" s="147" t="s">
        <v>476</v>
      </c>
      <c r="L13" s="147" t="s">
        <v>476</v>
      </c>
    </row>
    <row r="14" spans="1:12" ht="24" x14ac:dyDescent="0.3">
      <c r="A14" s="147" t="s">
        <v>518</v>
      </c>
      <c r="B14" s="147">
        <v>10</v>
      </c>
      <c r="C14" s="147" t="s">
        <v>649</v>
      </c>
      <c r="D14" s="147" t="s">
        <v>1</v>
      </c>
      <c r="E14" s="147" t="s">
        <v>511</v>
      </c>
      <c r="F14" s="147" t="s">
        <v>476</v>
      </c>
      <c r="G14" s="147" t="s">
        <v>519</v>
      </c>
      <c r="H14" s="147" t="s">
        <v>520</v>
      </c>
      <c r="I14" s="147" t="s">
        <v>521</v>
      </c>
      <c r="J14" s="147" t="s">
        <v>476</v>
      </c>
      <c r="K14" s="147" t="s">
        <v>476</v>
      </c>
      <c r="L14" s="147" t="s">
        <v>476</v>
      </c>
    </row>
    <row r="15" spans="1:12" x14ac:dyDescent="0.3">
      <c r="A15" s="147" t="s">
        <v>523</v>
      </c>
      <c r="B15" s="147">
        <v>11</v>
      </c>
      <c r="C15" s="147" t="s">
        <v>649</v>
      </c>
      <c r="D15" s="147" t="s">
        <v>1</v>
      </c>
      <c r="E15" s="147" t="s">
        <v>491</v>
      </c>
      <c r="F15" s="147" t="s">
        <v>524</v>
      </c>
      <c r="G15" s="147" t="s">
        <v>525</v>
      </c>
      <c r="H15" s="147" t="s">
        <v>526</v>
      </c>
      <c r="I15" s="147" t="s">
        <v>527</v>
      </c>
      <c r="J15" s="147" t="s">
        <v>528</v>
      </c>
      <c r="K15" s="147" t="s">
        <v>837</v>
      </c>
      <c r="L15" s="147" t="s">
        <v>529</v>
      </c>
    </row>
    <row r="16" spans="1:12" x14ac:dyDescent="0.3">
      <c r="A16" s="147" t="s">
        <v>530</v>
      </c>
      <c r="B16" s="147">
        <v>12</v>
      </c>
      <c r="C16" s="147" t="s">
        <v>649</v>
      </c>
      <c r="D16" s="147" t="s">
        <v>1</v>
      </c>
      <c r="E16" s="147" t="s">
        <v>491</v>
      </c>
      <c r="F16" s="147" t="s">
        <v>524</v>
      </c>
      <c r="G16" s="147" t="s">
        <v>531</v>
      </c>
      <c r="H16" s="147" t="s">
        <v>17</v>
      </c>
      <c r="I16" s="147" t="s">
        <v>18</v>
      </c>
      <c r="J16" s="147" t="s">
        <v>532</v>
      </c>
      <c r="K16" s="147" t="s">
        <v>533</v>
      </c>
      <c r="L16" s="147" t="s">
        <v>534</v>
      </c>
    </row>
    <row r="17" spans="1:12" x14ac:dyDescent="0.3">
      <c r="A17" s="147" t="s">
        <v>535</v>
      </c>
      <c r="B17" s="147">
        <v>13</v>
      </c>
      <c r="C17" s="147" t="s">
        <v>649</v>
      </c>
      <c r="D17" s="147" t="s">
        <v>1</v>
      </c>
      <c r="E17" s="147" t="s">
        <v>491</v>
      </c>
      <c r="F17" s="147" t="s">
        <v>524</v>
      </c>
      <c r="G17" s="147" t="s">
        <v>19</v>
      </c>
      <c r="H17" s="147" t="s">
        <v>20</v>
      </c>
      <c r="I17" s="147" t="s">
        <v>21</v>
      </c>
      <c r="J17" s="147" t="s">
        <v>536</v>
      </c>
      <c r="K17" s="147" t="s">
        <v>537</v>
      </c>
      <c r="L17" s="147" t="s">
        <v>538</v>
      </c>
    </row>
    <row r="18" spans="1:12" x14ac:dyDescent="0.3">
      <c r="A18" s="147" t="s">
        <v>539</v>
      </c>
      <c r="B18" s="147">
        <v>14</v>
      </c>
      <c r="C18" s="147" t="s">
        <v>649</v>
      </c>
      <c r="D18" s="147" t="s">
        <v>1</v>
      </c>
      <c r="E18" s="147" t="s">
        <v>491</v>
      </c>
      <c r="F18" s="147" t="s">
        <v>524</v>
      </c>
      <c r="G18" s="147" t="s">
        <v>25</v>
      </c>
      <c r="H18" s="147" t="s">
        <v>25</v>
      </c>
      <c r="I18" s="147" t="s">
        <v>25</v>
      </c>
      <c r="J18" s="147" t="s">
        <v>540</v>
      </c>
      <c r="K18" s="147" t="s">
        <v>541</v>
      </c>
      <c r="L18" s="147" t="s">
        <v>542</v>
      </c>
    </row>
    <row r="19" spans="1:12" x14ac:dyDescent="0.3">
      <c r="A19" s="147" t="s">
        <v>543</v>
      </c>
      <c r="B19" s="147">
        <v>15</v>
      </c>
      <c r="C19" s="147" t="s">
        <v>649</v>
      </c>
      <c r="D19" s="147" t="s">
        <v>1</v>
      </c>
      <c r="E19" s="147" t="s">
        <v>491</v>
      </c>
      <c r="F19" s="147" t="s">
        <v>524</v>
      </c>
      <c r="G19" s="147" t="s">
        <v>22</v>
      </c>
      <c r="H19" s="147" t="s">
        <v>23</v>
      </c>
      <c r="I19" s="147" t="s">
        <v>24</v>
      </c>
      <c r="J19" s="147" t="s">
        <v>544</v>
      </c>
      <c r="K19" s="147" t="s">
        <v>545</v>
      </c>
      <c r="L19" s="147" t="s">
        <v>546</v>
      </c>
    </row>
    <row r="20" spans="1:12" ht="24" x14ac:dyDescent="0.3">
      <c r="A20" s="147" t="s">
        <v>547</v>
      </c>
      <c r="B20" s="147">
        <v>16</v>
      </c>
      <c r="C20" s="147" t="s">
        <v>649</v>
      </c>
      <c r="D20" s="147" t="s">
        <v>1</v>
      </c>
      <c r="E20" s="147" t="s">
        <v>491</v>
      </c>
      <c r="F20" s="147" t="s">
        <v>497</v>
      </c>
      <c r="G20" s="147" t="s">
        <v>14</v>
      </c>
      <c r="H20" s="147" t="s">
        <v>15</v>
      </c>
      <c r="I20" s="147" t="s">
        <v>16</v>
      </c>
      <c r="J20" s="147" t="s">
        <v>548</v>
      </c>
      <c r="K20" s="147" t="s">
        <v>549</v>
      </c>
      <c r="L20" s="147" t="s">
        <v>550</v>
      </c>
    </row>
    <row r="21" spans="1:12" x14ac:dyDescent="0.3">
      <c r="A21" s="147" t="s">
        <v>551</v>
      </c>
      <c r="B21" s="147">
        <v>17</v>
      </c>
      <c r="C21" s="147" t="s">
        <v>649</v>
      </c>
      <c r="D21" s="147" t="s">
        <v>1</v>
      </c>
      <c r="E21" s="147" t="s">
        <v>491</v>
      </c>
      <c r="F21" s="147" t="s">
        <v>524</v>
      </c>
      <c r="G21" s="147" t="s">
        <v>26</v>
      </c>
      <c r="H21" s="147" t="s">
        <v>27</v>
      </c>
      <c r="I21" s="147" t="s">
        <v>28</v>
      </c>
      <c r="J21" s="147" t="s">
        <v>552</v>
      </c>
      <c r="K21" s="147" t="s">
        <v>553</v>
      </c>
      <c r="L21" s="147" t="s">
        <v>554</v>
      </c>
    </row>
    <row r="22" spans="1:12" x14ac:dyDescent="0.3">
      <c r="A22" s="158" t="s">
        <v>555</v>
      </c>
      <c r="B22" s="147">
        <v>18</v>
      </c>
      <c r="C22" s="147" t="s">
        <v>649</v>
      </c>
      <c r="D22" s="149" t="s">
        <v>1</v>
      </c>
      <c r="E22" s="149" t="s">
        <v>491</v>
      </c>
      <c r="F22" s="149" t="s">
        <v>556</v>
      </c>
      <c r="G22" s="149" t="s">
        <v>557</v>
      </c>
      <c r="H22" s="149" t="s">
        <v>558</v>
      </c>
      <c r="I22" s="149" t="s">
        <v>559</v>
      </c>
      <c r="J22" s="149" t="s">
        <v>2</v>
      </c>
      <c r="K22" s="149" t="s">
        <v>516</v>
      </c>
      <c r="L22" s="149" t="s">
        <v>560</v>
      </c>
    </row>
    <row r="23" spans="1:12" x14ac:dyDescent="0.3">
      <c r="A23" s="149" t="s">
        <v>561</v>
      </c>
      <c r="B23" s="147">
        <v>19</v>
      </c>
      <c r="C23" s="147" t="s">
        <v>649</v>
      </c>
      <c r="D23" s="149" t="s">
        <v>1</v>
      </c>
      <c r="E23" s="149" t="s">
        <v>491</v>
      </c>
      <c r="F23" s="149" t="s">
        <v>497</v>
      </c>
      <c r="G23" s="149" t="s">
        <v>562</v>
      </c>
      <c r="H23" s="149" t="s">
        <v>563</v>
      </c>
      <c r="I23" s="149" t="s">
        <v>564</v>
      </c>
      <c r="J23" s="149" t="s">
        <v>2</v>
      </c>
      <c r="K23" s="149" t="s">
        <v>516</v>
      </c>
      <c r="L23" s="149" t="s">
        <v>517</v>
      </c>
    </row>
    <row r="24" spans="1:12" ht="24" x14ac:dyDescent="0.3">
      <c r="A24" s="158" t="s">
        <v>565</v>
      </c>
      <c r="B24" s="147">
        <v>20</v>
      </c>
      <c r="C24" s="147" t="s">
        <v>649</v>
      </c>
      <c r="D24" s="149" t="s">
        <v>1</v>
      </c>
      <c r="E24" s="149" t="s">
        <v>491</v>
      </c>
      <c r="F24" s="147" t="s">
        <v>524</v>
      </c>
      <c r="G24" s="149" t="s">
        <v>566</v>
      </c>
      <c r="H24" s="149" t="s">
        <v>567</v>
      </c>
      <c r="I24" s="149" t="s">
        <v>568</v>
      </c>
      <c r="J24" s="149" t="s">
        <v>569</v>
      </c>
      <c r="K24" s="149" t="s">
        <v>570</v>
      </c>
      <c r="L24" s="149" t="s">
        <v>571</v>
      </c>
    </row>
    <row r="25" spans="1:12" x14ac:dyDescent="0.3">
      <c r="A25" s="147" t="s">
        <v>572</v>
      </c>
      <c r="B25" s="147">
        <v>21</v>
      </c>
      <c r="C25" s="147" t="s">
        <v>649</v>
      </c>
      <c r="D25" s="147" t="s">
        <v>29</v>
      </c>
      <c r="E25" s="147" t="s">
        <v>475</v>
      </c>
      <c r="F25" s="147" t="s">
        <v>476</v>
      </c>
      <c r="G25" s="147" t="s">
        <v>29</v>
      </c>
      <c r="H25" s="147" t="s">
        <v>573</v>
      </c>
      <c r="I25" s="147" t="s">
        <v>574</v>
      </c>
      <c r="J25" s="147" t="s">
        <v>476</v>
      </c>
      <c r="K25" s="147" t="s">
        <v>476</v>
      </c>
      <c r="L25" s="147" t="s">
        <v>476</v>
      </c>
    </row>
    <row r="26" spans="1:12" x14ac:dyDescent="0.3">
      <c r="A26" s="147" t="s">
        <v>576</v>
      </c>
      <c r="B26" s="147">
        <v>22</v>
      </c>
      <c r="C26" s="147" t="s">
        <v>649</v>
      </c>
      <c r="D26" s="147" t="s">
        <v>29</v>
      </c>
      <c r="E26" s="147" t="s">
        <v>511</v>
      </c>
      <c r="F26" s="148" t="s">
        <v>476</v>
      </c>
      <c r="G26" s="147" t="s">
        <v>665</v>
      </c>
      <c r="H26" s="147" t="s">
        <v>838</v>
      </c>
      <c r="I26" s="147" t="s">
        <v>813</v>
      </c>
      <c r="J26" s="147" t="s">
        <v>476</v>
      </c>
      <c r="K26" s="147" t="s">
        <v>476</v>
      </c>
      <c r="L26" s="147" t="s">
        <v>476</v>
      </c>
    </row>
    <row r="27" spans="1:12" x14ac:dyDescent="0.3">
      <c r="A27" s="147" t="s">
        <v>676</v>
      </c>
      <c r="B27" s="147">
        <v>23</v>
      </c>
      <c r="C27" s="147" t="s">
        <v>649</v>
      </c>
      <c r="D27" s="147" t="s">
        <v>29</v>
      </c>
      <c r="E27" s="147" t="s">
        <v>511</v>
      </c>
      <c r="F27" s="148" t="s">
        <v>476</v>
      </c>
      <c r="G27" s="147" t="s">
        <v>883</v>
      </c>
      <c r="H27" s="147" t="s">
        <v>839</v>
      </c>
      <c r="I27" s="147" t="s">
        <v>814</v>
      </c>
      <c r="J27" s="147" t="s">
        <v>476</v>
      </c>
      <c r="K27" s="147" t="s">
        <v>476</v>
      </c>
      <c r="L27" s="147" t="s">
        <v>476</v>
      </c>
    </row>
    <row r="28" spans="1:12" ht="24.45" customHeight="1" x14ac:dyDescent="0.3">
      <c r="A28" s="147" t="s">
        <v>678</v>
      </c>
      <c r="B28" s="147">
        <v>24</v>
      </c>
      <c r="C28" s="147" t="s">
        <v>649</v>
      </c>
      <c r="D28" s="147" t="s">
        <v>29</v>
      </c>
      <c r="E28" s="147" t="s">
        <v>511</v>
      </c>
      <c r="F28" s="148" t="s">
        <v>476</v>
      </c>
      <c r="G28" s="147" t="s">
        <v>657</v>
      </c>
      <c r="H28" s="147" t="s">
        <v>840</v>
      </c>
      <c r="I28" s="147" t="s">
        <v>815</v>
      </c>
      <c r="J28" s="147" t="s">
        <v>476</v>
      </c>
      <c r="K28" s="147" t="s">
        <v>476</v>
      </c>
      <c r="L28" s="147" t="s">
        <v>476</v>
      </c>
    </row>
    <row r="29" spans="1:12" ht="24" x14ac:dyDescent="0.3">
      <c r="A29" s="147" t="s">
        <v>696</v>
      </c>
      <c r="B29" s="147">
        <v>25</v>
      </c>
      <c r="C29" s="147" t="s">
        <v>649</v>
      </c>
      <c r="D29" s="147" t="s">
        <v>29</v>
      </c>
      <c r="E29" s="147" t="s">
        <v>522</v>
      </c>
      <c r="F29" s="148" t="s">
        <v>476</v>
      </c>
      <c r="G29" s="147" t="s">
        <v>795</v>
      </c>
      <c r="H29" s="147" t="s">
        <v>841</v>
      </c>
      <c r="I29" s="147" t="s">
        <v>816</v>
      </c>
      <c r="J29" s="147" t="s">
        <v>476</v>
      </c>
      <c r="K29" s="147" t="s">
        <v>476</v>
      </c>
      <c r="L29" s="147" t="s">
        <v>476</v>
      </c>
    </row>
    <row r="30" spans="1:12" ht="24" x14ac:dyDescent="0.3">
      <c r="A30" s="147" t="s">
        <v>796</v>
      </c>
      <c r="B30" s="147">
        <v>26</v>
      </c>
      <c r="C30" s="147" t="s">
        <v>649</v>
      </c>
      <c r="D30" s="147" t="s">
        <v>29</v>
      </c>
      <c r="E30" s="147" t="s">
        <v>522</v>
      </c>
      <c r="F30" s="148" t="s">
        <v>476</v>
      </c>
      <c r="G30" s="147" t="s">
        <v>797</v>
      </c>
      <c r="H30" s="147" t="s">
        <v>842</v>
      </c>
      <c r="I30" s="147" t="s">
        <v>817</v>
      </c>
      <c r="J30" s="147" t="s">
        <v>476</v>
      </c>
      <c r="K30" s="147" t="s">
        <v>476</v>
      </c>
      <c r="L30" s="147" t="s">
        <v>476</v>
      </c>
    </row>
    <row r="31" spans="1:12" ht="24" x14ac:dyDescent="0.3">
      <c r="A31" s="147" t="s">
        <v>798</v>
      </c>
      <c r="B31" s="147">
        <v>27</v>
      </c>
      <c r="C31" s="147" t="s">
        <v>649</v>
      </c>
      <c r="D31" s="147" t="s">
        <v>29</v>
      </c>
      <c r="E31" s="147" t="s">
        <v>522</v>
      </c>
      <c r="F31" s="148" t="s">
        <v>476</v>
      </c>
      <c r="G31" s="147" t="s">
        <v>799</v>
      </c>
      <c r="H31" s="147" t="s">
        <v>843</v>
      </c>
      <c r="I31" s="147" t="s">
        <v>818</v>
      </c>
      <c r="J31" s="147" t="s">
        <v>476</v>
      </c>
      <c r="K31" s="147" t="s">
        <v>476</v>
      </c>
      <c r="L31" s="147" t="s">
        <v>476</v>
      </c>
    </row>
    <row r="32" spans="1:12" ht="24" x14ac:dyDescent="0.3">
      <c r="A32" s="147" t="s">
        <v>794</v>
      </c>
      <c r="B32" s="147">
        <v>28</v>
      </c>
      <c r="C32" s="147" t="s">
        <v>649</v>
      </c>
      <c r="D32" s="147" t="s">
        <v>29</v>
      </c>
      <c r="E32" s="147" t="s">
        <v>522</v>
      </c>
      <c r="F32" s="148" t="s">
        <v>476</v>
      </c>
      <c r="G32" s="147" t="s">
        <v>677</v>
      </c>
      <c r="H32" s="147" t="s">
        <v>844</v>
      </c>
      <c r="I32" s="147" t="s">
        <v>881</v>
      </c>
      <c r="J32" s="147" t="s">
        <v>476</v>
      </c>
      <c r="K32" s="147" t="s">
        <v>476</v>
      </c>
      <c r="L32" s="147" t="s">
        <v>476</v>
      </c>
    </row>
    <row r="33" spans="1:12" ht="24" x14ac:dyDescent="0.3">
      <c r="A33" s="147" t="s">
        <v>653</v>
      </c>
      <c r="B33" s="147">
        <v>29</v>
      </c>
      <c r="C33" s="147" t="s">
        <v>649</v>
      </c>
      <c r="D33" s="147" t="s">
        <v>29</v>
      </c>
      <c r="E33" s="147" t="s">
        <v>491</v>
      </c>
      <c r="F33" s="148" t="s">
        <v>497</v>
      </c>
      <c r="G33" s="147" t="s">
        <v>782</v>
      </c>
      <c r="H33" s="147" t="s">
        <v>845</v>
      </c>
      <c r="I33" s="147" t="s">
        <v>819</v>
      </c>
      <c r="J33" s="147" t="s">
        <v>687</v>
      </c>
      <c r="K33" s="147" t="s">
        <v>847</v>
      </c>
      <c r="L33" s="147" t="s">
        <v>822</v>
      </c>
    </row>
    <row r="34" spans="1:12" ht="36" x14ac:dyDescent="0.3">
      <c r="A34" s="147" t="s">
        <v>805</v>
      </c>
      <c r="B34" s="147">
        <v>30</v>
      </c>
      <c r="C34" s="147" t="s">
        <v>649</v>
      </c>
      <c r="D34" s="147" t="s">
        <v>29</v>
      </c>
      <c r="E34" s="147" t="s">
        <v>491</v>
      </c>
      <c r="F34" s="148" t="s">
        <v>689</v>
      </c>
      <c r="G34" s="147" t="s">
        <v>806</v>
      </c>
      <c r="H34" s="147" t="s">
        <v>846</v>
      </c>
      <c r="I34" s="147" t="s">
        <v>820</v>
      </c>
      <c r="J34" s="147" t="s">
        <v>804</v>
      </c>
      <c r="K34" s="147" t="s">
        <v>848</v>
      </c>
      <c r="L34" s="147" t="s">
        <v>823</v>
      </c>
    </row>
    <row r="35" spans="1:12" ht="36" x14ac:dyDescent="0.3">
      <c r="A35" s="147" t="s">
        <v>654</v>
      </c>
      <c r="B35" s="147">
        <v>31</v>
      </c>
      <c r="C35" s="147" t="s">
        <v>649</v>
      </c>
      <c r="D35" s="147" t="s">
        <v>29</v>
      </c>
      <c r="E35" s="147" t="s">
        <v>491</v>
      </c>
      <c r="F35" s="148" t="s">
        <v>524</v>
      </c>
      <c r="G35" s="147" t="s">
        <v>658</v>
      </c>
      <c r="H35" s="147" t="s">
        <v>659</v>
      </c>
      <c r="I35" s="147" t="s">
        <v>660</v>
      </c>
      <c r="J35" s="147" t="s">
        <v>884</v>
      </c>
      <c r="K35" s="147" t="s">
        <v>661</v>
      </c>
      <c r="L35" s="147" t="s">
        <v>824</v>
      </c>
    </row>
    <row r="36" spans="1:12" x14ac:dyDescent="0.3">
      <c r="A36" s="147" t="s">
        <v>679</v>
      </c>
      <c r="B36" s="147">
        <v>32</v>
      </c>
      <c r="C36" s="147" t="s">
        <v>649</v>
      </c>
      <c r="D36" s="147" t="s">
        <v>29</v>
      </c>
      <c r="E36" s="147" t="s">
        <v>491</v>
      </c>
      <c r="F36" s="148" t="s">
        <v>524</v>
      </c>
      <c r="G36" s="147" t="s">
        <v>885</v>
      </c>
      <c r="H36" s="147" t="s">
        <v>682</v>
      </c>
      <c r="I36" s="147" t="s">
        <v>821</v>
      </c>
      <c r="J36" s="147" t="s">
        <v>886</v>
      </c>
      <c r="K36" s="147" t="s">
        <v>683</v>
      </c>
      <c r="L36" s="147" t="s">
        <v>684</v>
      </c>
    </row>
    <row r="37" spans="1:12" ht="24" x14ac:dyDescent="0.3">
      <c r="A37" s="147" t="s">
        <v>680</v>
      </c>
      <c r="B37" s="147">
        <v>33</v>
      </c>
      <c r="C37" s="147" t="s">
        <v>649</v>
      </c>
      <c r="D37" s="147" t="s">
        <v>29</v>
      </c>
      <c r="E37" s="147" t="s">
        <v>491</v>
      </c>
      <c r="F37" s="148" t="s">
        <v>497</v>
      </c>
      <c r="G37" s="147" t="s">
        <v>681</v>
      </c>
      <c r="H37" s="147" t="s">
        <v>685</v>
      </c>
      <c r="I37" s="147" t="s">
        <v>686</v>
      </c>
      <c r="J37" s="147" t="s">
        <v>662</v>
      </c>
      <c r="K37" s="147" t="s">
        <v>663</v>
      </c>
      <c r="L37" s="147" t="s">
        <v>664</v>
      </c>
    </row>
    <row r="38" spans="1:12" x14ac:dyDescent="0.3">
      <c r="A38" s="147" t="s">
        <v>688</v>
      </c>
      <c r="B38" s="147">
        <v>34</v>
      </c>
      <c r="C38" s="147" t="s">
        <v>649</v>
      </c>
      <c r="D38" s="147" t="s">
        <v>29</v>
      </c>
      <c r="E38" s="147" t="s">
        <v>491</v>
      </c>
      <c r="F38" s="148" t="s">
        <v>497</v>
      </c>
      <c r="G38" s="147" t="s">
        <v>691</v>
      </c>
      <c r="H38" s="147" t="s">
        <v>692</v>
      </c>
      <c r="I38" s="147" t="s">
        <v>693</v>
      </c>
      <c r="J38" s="147" t="s">
        <v>697</v>
      </c>
      <c r="K38" s="147" t="s">
        <v>694</v>
      </c>
      <c r="L38" s="147" t="s">
        <v>695</v>
      </c>
    </row>
    <row r="39" spans="1:12" x14ac:dyDescent="0.3">
      <c r="A39" s="147" t="s">
        <v>666</v>
      </c>
      <c r="B39" s="147">
        <v>35</v>
      </c>
      <c r="C39" s="147" t="s">
        <v>649</v>
      </c>
      <c r="D39" s="147" t="s">
        <v>29</v>
      </c>
      <c r="E39" s="147" t="s">
        <v>491</v>
      </c>
      <c r="F39" s="148" t="s">
        <v>497</v>
      </c>
      <c r="G39" s="147" t="s">
        <v>690</v>
      </c>
      <c r="H39" s="147" t="s">
        <v>849</v>
      </c>
      <c r="I39" s="147" t="s">
        <v>876</v>
      </c>
      <c r="J39" s="147" t="s">
        <v>698</v>
      </c>
      <c r="K39" s="147" t="s">
        <v>853</v>
      </c>
      <c r="L39" s="147" t="s">
        <v>825</v>
      </c>
    </row>
    <row r="40" spans="1:12" x14ac:dyDescent="0.3">
      <c r="A40" s="147" t="s">
        <v>783</v>
      </c>
      <c r="B40" s="147">
        <v>36</v>
      </c>
      <c r="C40" s="147" t="s">
        <v>649</v>
      </c>
      <c r="D40" s="147" t="s">
        <v>29</v>
      </c>
      <c r="E40" s="147" t="s">
        <v>491</v>
      </c>
      <c r="F40" s="148" t="s">
        <v>689</v>
      </c>
      <c r="G40" s="147" t="s">
        <v>655</v>
      </c>
      <c r="H40" s="147" t="s">
        <v>851</v>
      </c>
      <c r="I40" s="147" t="s">
        <v>877</v>
      </c>
      <c r="J40" s="147" t="s">
        <v>887</v>
      </c>
      <c r="K40" s="147" t="s">
        <v>850</v>
      </c>
      <c r="L40" s="147" t="s">
        <v>826</v>
      </c>
    </row>
    <row r="41" spans="1:12" x14ac:dyDescent="0.3">
      <c r="A41" s="147" t="s">
        <v>784</v>
      </c>
      <c r="B41" s="147">
        <v>37</v>
      </c>
      <c r="C41" s="147" t="s">
        <v>649</v>
      </c>
      <c r="D41" s="147" t="s">
        <v>29</v>
      </c>
      <c r="E41" s="147" t="s">
        <v>491</v>
      </c>
      <c r="F41" s="148" t="s">
        <v>747</v>
      </c>
      <c r="G41" s="147" t="s">
        <v>749</v>
      </c>
      <c r="H41" s="147" t="s">
        <v>854</v>
      </c>
      <c r="I41" s="147" t="s">
        <v>878</v>
      </c>
      <c r="J41" s="147" t="s">
        <v>699</v>
      </c>
      <c r="K41" s="147" t="s">
        <v>852</v>
      </c>
      <c r="L41" s="147" t="s">
        <v>827</v>
      </c>
    </row>
    <row r="42" spans="1:12" ht="26.4" customHeight="1" x14ac:dyDescent="0.3">
      <c r="A42" s="147" t="s">
        <v>785</v>
      </c>
      <c r="B42" s="147">
        <v>38</v>
      </c>
      <c r="C42" s="147" t="s">
        <v>649</v>
      </c>
      <c r="D42" s="147" t="s">
        <v>29</v>
      </c>
      <c r="E42" s="147" t="s">
        <v>491</v>
      </c>
      <c r="F42" s="148" t="s">
        <v>747</v>
      </c>
      <c r="G42" s="147" t="s">
        <v>750</v>
      </c>
      <c r="H42" s="147" t="s">
        <v>855</v>
      </c>
      <c r="I42" s="147" t="s">
        <v>808</v>
      </c>
      <c r="J42" s="147" t="s">
        <v>888</v>
      </c>
      <c r="K42" s="147" t="s">
        <v>857</v>
      </c>
      <c r="L42" s="147" t="s">
        <v>873</v>
      </c>
    </row>
    <row r="43" spans="1:12" ht="24" x14ac:dyDescent="0.3">
      <c r="A43" s="147" t="s">
        <v>786</v>
      </c>
      <c r="B43" s="147">
        <v>39</v>
      </c>
      <c r="C43" s="147" t="s">
        <v>649</v>
      </c>
      <c r="D43" s="147" t="s">
        <v>29</v>
      </c>
      <c r="E43" s="147" t="s">
        <v>491</v>
      </c>
      <c r="F43" s="148" t="s">
        <v>747</v>
      </c>
      <c r="G43" s="147" t="s">
        <v>751</v>
      </c>
      <c r="H43" s="147" t="s">
        <v>856</v>
      </c>
      <c r="I43" s="147" t="s">
        <v>807</v>
      </c>
      <c r="J43" s="147" t="s">
        <v>889</v>
      </c>
      <c r="K43" s="147" t="s">
        <v>858</v>
      </c>
      <c r="L43" s="147" t="s">
        <v>874</v>
      </c>
    </row>
    <row r="44" spans="1:12" x14ac:dyDescent="0.3">
      <c r="A44" s="147" t="s">
        <v>787</v>
      </c>
      <c r="B44" s="147">
        <v>40</v>
      </c>
      <c r="C44" s="147" t="s">
        <v>649</v>
      </c>
      <c r="D44" s="147" t="s">
        <v>29</v>
      </c>
      <c r="E44" s="147" t="s">
        <v>491</v>
      </c>
      <c r="F44" s="148" t="s">
        <v>747</v>
      </c>
      <c r="G44" s="147" t="s">
        <v>667</v>
      </c>
      <c r="H44" s="147" t="s">
        <v>859</v>
      </c>
      <c r="I44" s="147" t="s">
        <v>875</v>
      </c>
      <c r="J44" s="147" t="s">
        <v>667</v>
      </c>
      <c r="K44" s="147" t="s">
        <v>859</v>
      </c>
      <c r="L44" s="147" t="s">
        <v>875</v>
      </c>
    </row>
    <row r="45" spans="1:12" x14ac:dyDescent="0.3">
      <c r="A45" s="147" t="s">
        <v>674</v>
      </c>
      <c r="B45" s="147">
        <v>41</v>
      </c>
      <c r="C45" s="147" t="s">
        <v>649</v>
      </c>
      <c r="D45" s="147" t="s">
        <v>29</v>
      </c>
      <c r="E45" s="147" t="s">
        <v>491</v>
      </c>
      <c r="F45" s="148" t="s">
        <v>524</v>
      </c>
      <c r="G45" s="147" t="s">
        <v>789</v>
      </c>
      <c r="H45" s="147" t="s">
        <v>860</v>
      </c>
      <c r="I45" s="147" t="s">
        <v>809</v>
      </c>
      <c r="J45" s="147" t="s">
        <v>700</v>
      </c>
      <c r="K45" s="147" t="s">
        <v>861</v>
      </c>
      <c r="L45" s="147" t="s">
        <v>828</v>
      </c>
    </row>
    <row r="46" spans="1:12" x14ac:dyDescent="0.3">
      <c r="A46" s="147" t="s">
        <v>668</v>
      </c>
      <c r="B46" s="147">
        <v>42</v>
      </c>
      <c r="C46" s="147" t="s">
        <v>649</v>
      </c>
      <c r="D46" s="147" t="s">
        <v>29</v>
      </c>
      <c r="E46" s="147" t="s">
        <v>491</v>
      </c>
      <c r="F46" s="148" t="s">
        <v>556</v>
      </c>
      <c r="G46" s="147" t="s">
        <v>656</v>
      </c>
      <c r="H46" s="147" t="s">
        <v>656</v>
      </c>
      <c r="I46" s="147" t="s">
        <v>704</v>
      </c>
      <c r="J46" s="147" t="s">
        <v>707</v>
      </c>
      <c r="K46" s="147" t="s">
        <v>862</v>
      </c>
      <c r="L46" s="147" t="s">
        <v>829</v>
      </c>
    </row>
    <row r="47" spans="1:12" x14ac:dyDescent="0.3">
      <c r="A47" s="147" t="s">
        <v>669</v>
      </c>
      <c r="B47" s="147">
        <v>43</v>
      </c>
      <c r="C47" s="147" t="s">
        <v>649</v>
      </c>
      <c r="D47" s="147" t="s">
        <v>29</v>
      </c>
      <c r="E47" s="147" t="s">
        <v>491</v>
      </c>
      <c r="F47" s="148" t="s">
        <v>701</v>
      </c>
      <c r="G47" s="147" t="s">
        <v>705</v>
      </c>
      <c r="H47" s="147" t="s">
        <v>872</v>
      </c>
      <c r="I47" s="147" t="s">
        <v>706</v>
      </c>
      <c r="J47" s="147" t="s">
        <v>708</v>
      </c>
      <c r="K47" s="147" t="s">
        <v>863</v>
      </c>
      <c r="L47" s="147" t="s">
        <v>830</v>
      </c>
    </row>
    <row r="48" spans="1:12" x14ac:dyDescent="0.3">
      <c r="A48" s="147" t="s">
        <v>670</v>
      </c>
      <c r="B48" s="147">
        <v>44</v>
      </c>
      <c r="C48" s="147" t="s">
        <v>649</v>
      </c>
      <c r="D48" s="147" t="s">
        <v>29</v>
      </c>
      <c r="E48" s="147" t="s">
        <v>491</v>
      </c>
      <c r="F48" s="148" t="s">
        <v>752</v>
      </c>
      <c r="G48" s="147" t="s">
        <v>890</v>
      </c>
      <c r="H48" s="147" t="s">
        <v>890</v>
      </c>
      <c r="I48" s="147" t="s">
        <v>892</v>
      </c>
      <c r="J48" s="147" t="s">
        <v>702</v>
      </c>
      <c r="K48" s="147" t="s">
        <v>864</v>
      </c>
      <c r="L48" s="147" t="s">
        <v>831</v>
      </c>
    </row>
    <row r="49" spans="1:12" x14ac:dyDescent="0.3">
      <c r="A49" s="147" t="s">
        <v>671</v>
      </c>
      <c r="B49" s="147">
        <v>45</v>
      </c>
      <c r="C49" s="147" t="s">
        <v>649</v>
      </c>
      <c r="D49" s="147" t="s">
        <v>29</v>
      </c>
      <c r="E49" s="147" t="s">
        <v>491</v>
      </c>
      <c r="F49" s="148" t="s">
        <v>752</v>
      </c>
      <c r="G49" s="147" t="s">
        <v>891</v>
      </c>
      <c r="H49" s="147" t="s">
        <v>891</v>
      </c>
      <c r="I49" s="147" t="s">
        <v>893</v>
      </c>
      <c r="J49" s="147" t="s">
        <v>703</v>
      </c>
      <c r="K49" s="147" t="s">
        <v>865</v>
      </c>
      <c r="L49" s="147" t="s">
        <v>832</v>
      </c>
    </row>
    <row r="50" spans="1:12" x14ac:dyDescent="0.3">
      <c r="A50" s="147" t="s">
        <v>672</v>
      </c>
      <c r="B50" s="147">
        <v>46</v>
      </c>
      <c r="C50" s="147" t="s">
        <v>649</v>
      </c>
      <c r="D50" s="147" t="s">
        <v>29</v>
      </c>
      <c r="E50" s="147" t="s">
        <v>491</v>
      </c>
      <c r="F50" s="148" t="s">
        <v>497</v>
      </c>
      <c r="G50" s="147" t="s">
        <v>712</v>
      </c>
      <c r="H50" s="147" t="s">
        <v>866</v>
      </c>
      <c r="I50" s="147" t="s">
        <v>810</v>
      </c>
      <c r="J50" s="147" t="s">
        <v>709</v>
      </c>
      <c r="K50" s="147" t="s">
        <v>867</v>
      </c>
      <c r="L50" s="147" t="s">
        <v>833</v>
      </c>
    </row>
    <row r="51" spans="1:12" ht="24" x14ac:dyDescent="0.3">
      <c r="A51" s="147" t="s">
        <v>673</v>
      </c>
      <c r="B51" s="147">
        <v>47</v>
      </c>
      <c r="C51" s="147" t="s">
        <v>649</v>
      </c>
      <c r="D51" s="147" t="s">
        <v>29</v>
      </c>
      <c r="E51" s="147" t="s">
        <v>491</v>
      </c>
      <c r="F51" s="148" t="s">
        <v>497</v>
      </c>
      <c r="G51" s="147" t="s">
        <v>714</v>
      </c>
      <c r="H51" s="147" t="s">
        <v>868</v>
      </c>
      <c r="I51" s="147" t="s">
        <v>811</v>
      </c>
      <c r="J51" s="147" t="s">
        <v>710</v>
      </c>
      <c r="K51" s="147" t="s">
        <v>869</v>
      </c>
      <c r="L51" s="147" t="s">
        <v>834</v>
      </c>
    </row>
    <row r="52" spans="1:12" ht="24" x14ac:dyDescent="0.3">
      <c r="A52" s="147" t="s">
        <v>675</v>
      </c>
      <c r="B52" s="147">
        <v>48</v>
      </c>
      <c r="C52" s="147" t="s">
        <v>649</v>
      </c>
      <c r="D52" s="147" t="s">
        <v>29</v>
      </c>
      <c r="E52" s="147" t="s">
        <v>491</v>
      </c>
      <c r="F52" s="148" t="s">
        <v>524</v>
      </c>
      <c r="G52" s="147" t="s">
        <v>713</v>
      </c>
      <c r="H52" s="147" t="s">
        <v>870</v>
      </c>
      <c r="I52" s="147" t="s">
        <v>812</v>
      </c>
      <c r="J52" s="147" t="s">
        <v>711</v>
      </c>
      <c r="K52" s="147" t="s">
        <v>840</v>
      </c>
      <c r="L52" s="147" t="s">
        <v>815</v>
      </c>
    </row>
    <row r="53" spans="1:12" x14ac:dyDescent="0.3">
      <c r="A53" s="147" t="s">
        <v>582</v>
      </c>
      <c r="B53" s="147">
        <v>49</v>
      </c>
      <c r="C53" s="147" t="s">
        <v>583</v>
      </c>
      <c r="D53" s="147" t="s">
        <v>584</v>
      </c>
      <c r="E53" s="147" t="s">
        <v>475</v>
      </c>
      <c r="F53" s="148" t="s">
        <v>476</v>
      </c>
      <c r="G53" s="147" t="s">
        <v>585</v>
      </c>
      <c r="H53" s="147" t="s">
        <v>585</v>
      </c>
      <c r="I53" s="147" t="s">
        <v>586</v>
      </c>
      <c r="J53" s="147" t="s">
        <v>587</v>
      </c>
      <c r="K53" s="147" t="s">
        <v>588</v>
      </c>
      <c r="L53" s="147" t="s">
        <v>589</v>
      </c>
    </row>
    <row r="54" spans="1:12" x14ac:dyDescent="0.3">
      <c r="A54" s="149" t="s">
        <v>590</v>
      </c>
      <c r="B54" s="147">
        <v>50</v>
      </c>
      <c r="C54" s="149" t="s">
        <v>583</v>
      </c>
      <c r="D54" s="149" t="s">
        <v>584</v>
      </c>
      <c r="E54" s="149" t="s">
        <v>477</v>
      </c>
      <c r="F54" s="150" t="s">
        <v>476</v>
      </c>
      <c r="G54" s="149" t="s">
        <v>584</v>
      </c>
      <c r="H54" s="149" t="s">
        <v>584</v>
      </c>
      <c r="I54" s="149" t="s">
        <v>584</v>
      </c>
      <c r="J54" s="149" t="s">
        <v>476</v>
      </c>
      <c r="K54" s="149" t="s">
        <v>476</v>
      </c>
      <c r="L54" s="147" t="s">
        <v>476</v>
      </c>
    </row>
    <row r="55" spans="1:12" ht="24" x14ac:dyDescent="0.3">
      <c r="A55" s="149" t="s">
        <v>591</v>
      </c>
      <c r="B55" s="147">
        <v>51</v>
      </c>
      <c r="C55" s="149" t="s">
        <v>583</v>
      </c>
      <c r="D55" s="149" t="s">
        <v>584</v>
      </c>
      <c r="E55" s="149" t="s">
        <v>592</v>
      </c>
      <c r="F55" s="150" t="s">
        <v>476</v>
      </c>
      <c r="G55" s="149" t="s">
        <v>593</v>
      </c>
      <c r="H55" s="149" t="s">
        <v>593</v>
      </c>
      <c r="I55" s="149" t="s">
        <v>593</v>
      </c>
      <c r="J55" s="149" t="s">
        <v>594</v>
      </c>
      <c r="K55" s="149" t="s">
        <v>595</v>
      </c>
      <c r="L55" s="147" t="s">
        <v>596</v>
      </c>
    </row>
    <row r="56" spans="1:12" ht="24" x14ac:dyDescent="0.3">
      <c r="A56" s="149" t="s">
        <v>597</v>
      </c>
      <c r="B56" s="147">
        <v>52</v>
      </c>
      <c r="C56" s="149" t="s">
        <v>583</v>
      </c>
      <c r="D56" s="149" t="s">
        <v>584</v>
      </c>
      <c r="E56" s="149" t="s">
        <v>592</v>
      </c>
      <c r="F56" s="150" t="s">
        <v>476</v>
      </c>
      <c r="G56" s="149" t="s">
        <v>598</v>
      </c>
      <c r="H56" s="149" t="s">
        <v>598</v>
      </c>
      <c r="I56" s="149" t="s">
        <v>598</v>
      </c>
      <c r="J56" s="149" t="s">
        <v>599</v>
      </c>
      <c r="K56" s="149" t="s">
        <v>600</v>
      </c>
      <c r="L56" s="147" t="s">
        <v>601</v>
      </c>
    </row>
    <row r="57" spans="1:12" ht="36" x14ac:dyDescent="0.3">
      <c r="A57" s="149" t="s">
        <v>602</v>
      </c>
      <c r="B57" s="147">
        <v>53</v>
      </c>
      <c r="C57" s="149" t="s">
        <v>583</v>
      </c>
      <c r="D57" s="149" t="s">
        <v>584</v>
      </c>
      <c r="E57" s="149" t="s">
        <v>592</v>
      </c>
      <c r="F57" s="150" t="s">
        <v>476</v>
      </c>
      <c r="G57" s="149" t="s">
        <v>603</v>
      </c>
      <c r="H57" s="149" t="s">
        <v>603</v>
      </c>
      <c r="I57" s="149" t="s">
        <v>603</v>
      </c>
      <c r="J57" s="149" t="s">
        <v>895</v>
      </c>
      <c r="K57" s="149" t="s">
        <v>604</v>
      </c>
      <c r="L57" s="147" t="s">
        <v>605</v>
      </c>
    </row>
    <row r="58" spans="1:12" ht="36" x14ac:dyDescent="0.3">
      <c r="A58" s="149" t="s">
        <v>606</v>
      </c>
      <c r="B58" s="147">
        <v>54</v>
      </c>
      <c r="C58" s="149" t="s">
        <v>583</v>
      </c>
      <c r="D58" s="149" t="s">
        <v>584</v>
      </c>
      <c r="E58" s="149" t="s">
        <v>592</v>
      </c>
      <c r="F58" s="150" t="s">
        <v>476</v>
      </c>
      <c r="G58" s="149" t="s">
        <v>607</v>
      </c>
      <c r="H58" s="149" t="s">
        <v>607</v>
      </c>
      <c r="I58" s="149" t="s">
        <v>607</v>
      </c>
      <c r="J58" s="149" t="s">
        <v>896</v>
      </c>
      <c r="K58" s="149" t="s">
        <v>608</v>
      </c>
      <c r="L58" s="147" t="s">
        <v>609</v>
      </c>
    </row>
    <row r="59" spans="1:12" x14ac:dyDescent="0.3">
      <c r="A59" s="149" t="s">
        <v>610</v>
      </c>
      <c r="B59" s="147">
        <v>55</v>
      </c>
      <c r="C59" s="149" t="s">
        <v>583</v>
      </c>
      <c r="D59" s="149" t="s">
        <v>584</v>
      </c>
      <c r="E59" s="149" t="s">
        <v>592</v>
      </c>
      <c r="F59" s="150" t="s">
        <v>476</v>
      </c>
      <c r="G59" s="149" t="s">
        <v>611</v>
      </c>
      <c r="H59" s="149" t="s">
        <v>611</v>
      </c>
      <c r="I59" s="149" t="s">
        <v>611</v>
      </c>
      <c r="J59" s="149" t="s">
        <v>897</v>
      </c>
      <c r="K59" s="149" t="s">
        <v>871</v>
      </c>
      <c r="L59" s="147" t="s">
        <v>612</v>
      </c>
    </row>
    <row r="60" spans="1:12" x14ac:dyDescent="0.3">
      <c r="A60" s="149" t="s">
        <v>613</v>
      </c>
      <c r="B60" s="147">
        <v>56</v>
      </c>
      <c r="C60" s="149" t="s">
        <v>583</v>
      </c>
      <c r="D60" s="149" t="s">
        <v>614</v>
      </c>
      <c r="E60" s="149" t="s">
        <v>477</v>
      </c>
      <c r="F60" s="150" t="s">
        <v>476</v>
      </c>
      <c r="G60" s="149" t="s">
        <v>615</v>
      </c>
      <c r="H60" s="149" t="s">
        <v>616</v>
      </c>
      <c r="I60" s="149" t="s">
        <v>617</v>
      </c>
      <c r="J60" s="149" t="s">
        <v>476</v>
      </c>
      <c r="K60" s="149" t="s">
        <v>476</v>
      </c>
      <c r="L60" s="147" t="s">
        <v>476</v>
      </c>
    </row>
    <row r="61" spans="1:12" x14ac:dyDescent="0.3">
      <c r="A61" s="149" t="s">
        <v>618</v>
      </c>
      <c r="B61" s="147">
        <v>57</v>
      </c>
      <c r="C61" s="149" t="s">
        <v>583</v>
      </c>
      <c r="D61" s="149" t="s">
        <v>614</v>
      </c>
      <c r="E61" s="149" t="s">
        <v>592</v>
      </c>
      <c r="F61" s="150" t="s">
        <v>476</v>
      </c>
      <c r="G61" s="149" t="s">
        <v>619</v>
      </c>
      <c r="H61" s="149" t="s">
        <v>620</v>
      </c>
      <c r="I61" s="149" t="s">
        <v>621</v>
      </c>
      <c r="J61" s="149" t="s">
        <v>476</v>
      </c>
      <c r="K61" s="149" t="s">
        <v>476</v>
      </c>
      <c r="L61" s="147" t="s">
        <v>476</v>
      </c>
    </row>
    <row r="62" spans="1:12" x14ac:dyDescent="0.3">
      <c r="A62" s="149" t="s">
        <v>622</v>
      </c>
      <c r="B62" s="147">
        <v>58</v>
      </c>
      <c r="C62" s="149" t="s">
        <v>583</v>
      </c>
      <c r="D62" s="149" t="s">
        <v>614</v>
      </c>
      <c r="E62" s="149" t="s">
        <v>592</v>
      </c>
      <c r="F62" s="150" t="s">
        <v>476</v>
      </c>
      <c r="G62" s="149" t="s">
        <v>623</v>
      </c>
      <c r="H62" s="149" t="s">
        <v>624</v>
      </c>
      <c r="I62" s="149" t="s">
        <v>625</v>
      </c>
      <c r="J62" s="149" t="s">
        <v>476</v>
      </c>
      <c r="K62" s="149" t="s">
        <v>476</v>
      </c>
      <c r="L62" s="147" t="s">
        <v>476</v>
      </c>
    </row>
    <row r="63" spans="1:12" x14ac:dyDescent="0.3">
      <c r="A63" s="147" t="s">
        <v>626</v>
      </c>
      <c r="B63" s="147">
        <v>59</v>
      </c>
      <c r="C63" s="147" t="s">
        <v>583</v>
      </c>
      <c r="D63" s="147" t="s">
        <v>614</v>
      </c>
      <c r="E63" s="147" t="s">
        <v>592</v>
      </c>
      <c r="F63" s="148" t="s">
        <v>476</v>
      </c>
      <c r="G63" s="147" t="s">
        <v>627</v>
      </c>
      <c r="H63" s="147" t="s">
        <v>628</v>
      </c>
      <c r="I63" s="147" t="s">
        <v>629</v>
      </c>
      <c r="J63" s="147" t="s">
        <v>476</v>
      </c>
      <c r="K63" s="147" t="s">
        <v>476</v>
      </c>
      <c r="L63" s="147" t="s">
        <v>476</v>
      </c>
    </row>
    <row r="64" spans="1:12" x14ac:dyDescent="0.3">
      <c r="A64" s="149" t="s">
        <v>630</v>
      </c>
      <c r="B64" s="147">
        <v>60</v>
      </c>
      <c r="C64" s="149" t="s">
        <v>583</v>
      </c>
      <c r="D64" s="149" t="s">
        <v>614</v>
      </c>
      <c r="E64" s="149" t="s">
        <v>592</v>
      </c>
      <c r="F64" s="150" t="s">
        <v>476</v>
      </c>
      <c r="G64" s="149" t="s">
        <v>10</v>
      </c>
      <c r="H64" s="149" t="s">
        <v>631</v>
      </c>
      <c r="I64" s="149" t="s">
        <v>632</v>
      </c>
      <c r="J64" s="149" t="s">
        <v>476</v>
      </c>
      <c r="K64" s="149" t="s">
        <v>476</v>
      </c>
      <c r="L64" s="149" t="s">
        <v>476</v>
      </c>
    </row>
    <row r="65" spans="1:12" x14ac:dyDescent="0.3">
      <c r="A65" s="149" t="s">
        <v>633</v>
      </c>
      <c r="B65" s="147">
        <v>61</v>
      </c>
      <c r="C65" s="149" t="s">
        <v>583</v>
      </c>
      <c r="D65" s="149" t="s">
        <v>614</v>
      </c>
      <c r="E65" s="149" t="s">
        <v>592</v>
      </c>
      <c r="F65" s="150" t="s">
        <v>476</v>
      </c>
      <c r="G65" s="149" t="s">
        <v>634</v>
      </c>
      <c r="H65" s="149" t="s">
        <v>635</v>
      </c>
      <c r="I65" s="149" t="s">
        <v>636</v>
      </c>
      <c r="J65" s="149" t="s">
        <v>476</v>
      </c>
      <c r="K65" s="149" t="s">
        <v>476</v>
      </c>
      <c r="L65" s="149" t="s">
        <v>476</v>
      </c>
    </row>
    <row r="66" spans="1:12" x14ac:dyDescent="0.3">
      <c r="A66" s="149" t="s">
        <v>800</v>
      </c>
      <c r="B66" s="147">
        <v>62</v>
      </c>
      <c r="C66" s="149" t="s">
        <v>583</v>
      </c>
      <c r="D66" s="149" t="s">
        <v>614</v>
      </c>
      <c r="E66" s="149" t="s">
        <v>592</v>
      </c>
      <c r="F66" s="150" t="s">
        <v>476</v>
      </c>
      <c r="G66" s="149" t="s">
        <v>801</v>
      </c>
      <c r="H66" s="149" t="s">
        <v>802</v>
      </c>
      <c r="I66" s="149" t="s">
        <v>803</v>
      </c>
      <c r="J66" s="149" t="s">
        <v>476</v>
      </c>
      <c r="K66" s="149" t="s">
        <v>476</v>
      </c>
      <c r="L66" s="149" t="s">
        <v>476</v>
      </c>
    </row>
    <row r="67" spans="1:12" x14ac:dyDescent="0.3">
      <c r="A67" s="149" t="s">
        <v>637</v>
      </c>
      <c r="B67" s="147">
        <v>63</v>
      </c>
      <c r="C67" s="149" t="s">
        <v>583</v>
      </c>
      <c r="D67" s="149" t="s">
        <v>614</v>
      </c>
      <c r="E67" s="149" t="s">
        <v>592</v>
      </c>
      <c r="F67" s="150" t="s">
        <v>476</v>
      </c>
      <c r="G67" s="149" t="s">
        <v>638</v>
      </c>
      <c r="H67" s="149" t="s">
        <v>639</v>
      </c>
      <c r="I67" s="149" t="s">
        <v>640</v>
      </c>
      <c r="J67" s="149" t="s">
        <v>476</v>
      </c>
      <c r="K67" s="149" t="s">
        <v>476</v>
      </c>
      <c r="L67" s="149" t="s">
        <v>476</v>
      </c>
    </row>
    <row r="68" spans="1:12" x14ac:dyDescent="0.3">
      <c r="A68" s="149" t="s">
        <v>641</v>
      </c>
      <c r="B68" s="147">
        <v>64</v>
      </c>
      <c r="C68" s="149" t="s">
        <v>583</v>
      </c>
      <c r="D68" s="149" t="s">
        <v>614</v>
      </c>
      <c r="E68" s="149" t="s">
        <v>592</v>
      </c>
      <c r="F68" s="150" t="s">
        <v>476</v>
      </c>
      <c r="G68" s="149" t="s">
        <v>642</v>
      </c>
      <c r="H68" s="149" t="s">
        <v>643</v>
      </c>
      <c r="I68" s="149" t="s">
        <v>644</v>
      </c>
      <c r="J68" s="149" t="s">
        <v>476</v>
      </c>
      <c r="K68" s="149" t="s">
        <v>476</v>
      </c>
      <c r="L68" s="149" t="s">
        <v>476</v>
      </c>
    </row>
    <row r="69" spans="1:12" x14ac:dyDescent="0.3">
      <c r="A69" s="151" t="s">
        <v>645</v>
      </c>
      <c r="B69" s="147">
        <v>65</v>
      </c>
      <c r="C69" s="151" t="s">
        <v>583</v>
      </c>
      <c r="D69" s="151" t="s">
        <v>614</v>
      </c>
      <c r="E69" s="151" t="s">
        <v>592</v>
      </c>
      <c r="F69" s="152" t="s">
        <v>476</v>
      </c>
      <c r="G69" s="151" t="s">
        <v>33</v>
      </c>
      <c r="H69" s="151" t="s">
        <v>33</v>
      </c>
      <c r="I69" s="151" t="s">
        <v>646</v>
      </c>
      <c r="J69" s="151" t="s">
        <v>476</v>
      </c>
      <c r="K69" s="151" t="s">
        <v>476</v>
      </c>
      <c r="L69" s="151" t="s">
        <v>476</v>
      </c>
    </row>
  </sheetData>
  <sheetProtection algorithmName="SHA-512" hashValue="hqHS8flrwgx+G2j6ElztFTqaLbRKYVVrsQsDuHJVK6EM2pK7BEDImusP7NqBQlEA2tyhV2jW2EOBMms6B8jd4g==" saltValue="tRHGlVoEHY7DpBhcIe4pVg==" spinCount="100000" sheet="1" objects="1" scenarios="1" formatCells="0" autoFilter="0"/>
  <mergeCells count="1">
    <mergeCell ref="A1:E1"/>
  </mergeCells>
  <phoneticPr fontId="2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CP51 (ALD Fishing Gear)</vt:lpstr>
      <vt:lpstr>Codes</vt:lpstr>
      <vt:lpstr>Instructions</vt:lpstr>
      <vt:lpstr>Description</vt:lpstr>
      <vt:lpstr>FailureCode</vt:lpstr>
      <vt:lpstr>FlagA2ISO</vt:lpstr>
      <vt:lpstr>FlagCode</vt:lpstr>
      <vt:lpstr>FlagName</vt:lpstr>
      <vt:lpstr>fmtLatitude</vt:lpstr>
      <vt:lpstr>fmtLongitude</vt:lpstr>
      <vt:lpstr>GearCode</vt:lpstr>
      <vt:lpstr>GearType</vt:lpstr>
      <vt:lpstr>Idiom</vt:lpstr>
      <vt:lpstr>LangFieldID</vt:lpstr>
      <vt:lpstr>LangNameID</vt:lpstr>
      <vt:lpstr>MeasuresCode</vt:lpstr>
      <vt:lpstr>NDirectionDef</vt:lpstr>
      <vt:lpstr>'CP51 (ALD Fishing Gear)'!Print_Area</vt:lpstr>
      <vt:lpstr>Status</vt:lpstr>
      <vt:lpstr>TDirectionDef</vt:lpstr>
      <vt:lpstr>UnitCode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Felix Mergarejo</cp:lastModifiedBy>
  <cp:lastPrinted>2020-03-06T12:03:08Z</cp:lastPrinted>
  <dcterms:created xsi:type="dcterms:W3CDTF">2012-12-04T12:57:16Z</dcterms:created>
  <dcterms:modified xsi:type="dcterms:W3CDTF">2025-04-04T08:56:24Z</dcterms:modified>
</cp:coreProperties>
</file>