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tunadata\Compliance\2025_SharedDocs\eForms\WEB\"/>
    </mc:Choice>
  </mc:AlternateContent>
  <xr:revisionPtr revIDLastSave="0" documentId="13_ncr:1_{E5723EAB-6744-4AC3-BBE7-ADC9937F626C}" xr6:coauthVersionLast="47" xr6:coauthVersionMax="47" xr10:uidLastSave="{00000000-0000-0000-0000-000000000000}"/>
  <workbookProtection workbookAlgorithmName="SHA-512" workbookHashValue="oS2hbV7k8EI74ieTdO9Lf7kuFJ/IxHfMjej5zCgODVgjh/XvQ+0xam/jLX8pjNg0vBsBA/FX7N7wrsuPvyPyXA==" workbookSaltValue="WfEJv+7jAG2AaoOZ43/MYQ==" workbookSpinCount="100000" lockStructure="1"/>
  <bookViews>
    <workbookView xWindow="28680" yWindow="-120" windowWidth="29040" windowHeight="15720" xr2:uid="{00000000-000D-0000-FFFF-FFFF00000000}"/>
  </bookViews>
  <sheets>
    <sheet name="CP39A (AcessAgreements)" sheetId="5" r:id="rId1"/>
    <sheet name="CP39B (SummActivities)" sheetId="11" r:id="rId2"/>
    <sheet name="Codes" sheetId="8" r:id="rId3"/>
    <sheet name="Instructions" sheetId="12" r:id="rId4"/>
    <sheet name="Translation" sheetId="9" state="veryHidden" r:id="rId5"/>
  </sheets>
  <definedNames>
    <definedName name="_xlnm._FilterDatabase" localSheetId="2" hidden="1">Codes!$B$2:$D$156</definedName>
    <definedName name="_xlnm._FilterDatabase" localSheetId="4" hidden="1">Translation!$C$4:$E$56</definedName>
    <definedName name="FlagA2ISO">Codes!$D$3:$D$176</definedName>
    <definedName name="FlagCod">Codes!$B$3:$B$176</definedName>
    <definedName name="FlagName">Codes!$A$3:$A$176</definedName>
    <definedName name="GearCode">Codes!$F$10:$F$22</definedName>
    <definedName name="Idiom">'CP39A (AcessAgreements)'!$O$2</definedName>
    <definedName name="LangFieldID">Translation!$H$1</definedName>
    <definedName name="LangNameID">Translation!$H$2</definedName>
    <definedName name="SpeciesCode">Codes!$J$23:$J$224</definedName>
    <definedName name="SpeciesCodeMajor">Codes!$J$3:$J$18</definedName>
    <definedName name="Status">Codes!$C$3:$C$176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3" i="5" l="1"/>
  <c r="G45" i="12" l="1"/>
  <c r="G44" i="12"/>
  <c r="G43" i="12"/>
  <c r="G42" i="12"/>
  <c r="G41" i="12"/>
  <c r="G40" i="12"/>
  <c r="G39" i="12"/>
  <c r="G38" i="12"/>
  <c r="G37" i="12"/>
  <c r="G36" i="12"/>
  <c r="G35" i="12"/>
  <c r="G34" i="12"/>
  <c r="G33" i="12"/>
  <c r="G32" i="12"/>
  <c r="G31" i="12"/>
  <c r="G30" i="12"/>
  <c r="G29" i="12"/>
  <c r="G28" i="12"/>
  <c r="G27" i="12"/>
  <c r="G26" i="12"/>
  <c r="G25" i="12"/>
  <c r="G24" i="12"/>
  <c r="G23" i="12"/>
  <c r="G22" i="12"/>
  <c r="G21" i="12"/>
  <c r="G20" i="12"/>
  <c r="G19" i="12"/>
  <c r="G18" i="12"/>
  <c r="G17" i="12"/>
  <c r="G16" i="12"/>
  <c r="G15" i="12"/>
  <c r="G14" i="12"/>
  <c r="G13" i="12"/>
  <c r="G12" i="12"/>
  <c r="G11" i="12"/>
  <c r="E27" i="11" l="1"/>
  <c r="D27" i="11"/>
  <c r="C27" i="11"/>
  <c r="B27" i="11"/>
  <c r="A27" i="11"/>
  <c r="E43" i="5"/>
  <c r="D43" i="5"/>
  <c r="C43" i="5"/>
  <c r="B43" i="5"/>
  <c r="I10" i="5" l="1"/>
  <c r="E13" i="11" l="1"/>
  <c r="B13" i="11"/>
  <c r="C11" i="11"/>
  <c r="C10" i="11"/>
  <c r="E8" i="11"/>
  <c r="C8" i="11"/>
  <c r="G10" i="11"/>
  <c r="G5" i="11"/>
  <c r="C6" i="11"/>
  <c r="F6" i="11"/>
  <c r="F5" i="11"/>
  <c r="C5" i="11"/>
  <c r="D12" i="5" l="1"/>
  <c r="D6" i="11" l="1"/>
  <c r="D11" i="5"/>
  <c r="D5" i="11" l="1"/>
  <c r="H2" i="9"/>
  <c r="H1" i="9"/>
  <c r="B39" i="12" l="1"/>
  <c r="F28" i="12"/>
  <c r="F45" i="12"/>
  <c r="F41" i="12"/>
  <c r="E24" i="12"/>
  <c r="D13" i="12"/>
  <c r="G10" i="12"/>
  <c r="E41" i="12"/>
  <c r="F34" i="12"/>
  <c r="F31" i="12"/>
  <c r="F27" i="12"/>
  <c r="F20" i="12"/>
  <c r="C13" i="12"/>
  <c r="A2" i="12"/>
  <c r="F24" i="12"/>
  <c r="F38" i="12"/>
  <c r="F10" i="12"/>
  <c r="D41" i="12"/>
  <c r="E34" i="12"/>
  <c r="F16" i="12"/>
  <c r="B13" i="12"/>
  <c r="E10" i="12"/>
  <c r="E26" i="12"/>
  <c r="B10" i="12"/>
  <c r="F44" i="12"/>
  <c r="C41" i="12"/>
  <c r="D34" i="12"/>
  <c r="F23" i="12"/>
  <c r="D10" i="12"/>
  <c r="F37" i="12"/>
  <c r="C34" i="12"/>
  <c r="F26" i="12"/>
  <c r="F19" i="12"/>
  <c r="C10" i="12"/>
  <c r="F15" i="12"/>
  <c r="F17" i="12"/>
  <c r="F30" i="12"/>
  <c r="F12" i="12"/>
  <c r="F43" i="12"/>
  <c r="F40" i="12"/>
  <c r="F22" i="12"/>
  <c r="A10" i="12"/>
  <c r="F36" i="12"/>
  <c r="F33" i="12"/>
  <c r="E22" i="12"/>
  <c r="F18" i="12"/>
  <c r="A9" i="12"/>
  <c r="F35" i="12"/>
  <c r="F21" i="12"/>
  <c r="F13" i="12"/>
  <c r="F29" i="12"/>
  <c r="A11" i="12"/>
  <c r="F25" i="12"/>
  <c r="D18" i="12"/>
  <c r="F14" i="12"/>
  <c r="F11" i="12"/>
  <c r="F42" i="12"/>
  <c r="C39" i="12"/>
  <c r="B11" i="12"/>
  <c r="F32" i="12"/>
  <c r="H10" i="12"/>
  <c r="H45" i="12"/>
  <c r="B5" i="12"/>
  <c r="B4" i="12"/>
  <c r="H38" i="12"/>
  <c r="H16" i="12"/>
  <c r="B3" i="12"/>
  <c r="H44" i="12"/>
  <c r="H23" i="12"/>
  <c r="H20" i="12"/>
  <c r="H37" i="12"/>
  <c r="H30" i="12"/>
  <c r="H26" i="12"/>
  <c r="H19" i="12"/>
  <c r="A1" i="12"/>
  <c r="H15" i="12"/>
  <c r="H12" i="12"/>
  <c r="H43" i="12"/>
  <c r="H40" i="12"/>
  <c r="H22" i="12"/>
  <c r="H33" i="12"/>
  <c r="H36" i="12"/>
  <c r="H29" i="12"/>
  <c r="H18" i="12"/>
  <c r="H25" i="12"/>
  <c r="H14" i="12"/>
  <c r="H11" i="12"/>
  <c r="H42" i="12"/>
  <c r="H39" i="12"/>
  <c r="H31" i="12"/>
  <c r="H41" i="12"/>
  <c r="H27" i="12"/>
  <c r="H35" i="12"/>
  <c r="H32" i="12"/>
  <c r="H28" i="12"/>
  <c r="H21" i="12"/>
  <c r="B7" i="12"/>
  <c r="H24" i="12"/>
  <c r="H17" i="12"/>
  <c r="H13" i="12"/>
  <c r="B6" i="12"/>
  <c r="H34" i="12"/>
  <c r="B42" i="5"/>
  <c r="A17" i="5"/>
  <c r="A11" i="11" s="1"/>
  <c r="J8" i="5"/>
  <c r="N1" i="5"/>
  <c r="K16" i="11"/>
  <c r="A42" i="5"/>
  <c r="A16" i="5"/>
  <c r="A7" i="5"/>
  <c r="A14" i="11"/>
  <c r="J6" i="5"/>
  <c r="A40" i="5"/>
  <c r="A41" i="5"/>
  <c r="A15" i="5"/>
  <c r="A9" i="11" s="1"/>
  <c r="A1" i="5"/>
  <c r="F6" i="5"/>
  <c r="A14" i="5"/>
  <c r="A8" i="11" s="1"/>
  <c r="A29" i="5"/>
  <c r="A13" i="5"/>
  <c r="A7" i="11" s="1"/>
  <c r="J5" i="5"/>
  <c r="C26" i="11"/>
  <c r="J4" i="5"/>
  <c r="A25" i="11"/>
  <c r="A24" i="11"/>
  <c r="J10" i="5"/>
  <c r="A10" i="5"/>
  <c r="O1" i="5"/>
  <c r="E26" i="11"/>
  <c r="E12" i="5"/>
  <c r="E6" i="11" s="1"/>
  <c r="F5" i="5"/>
  <c r="B26" i="11"/>
  <c r="E11" i="5"/>
  <c r="E5" i="11" s="1"/>
  <c r="E42" i="5"/>
  <c r="A4" i="5"/>
  <c r="A19" i="5"/>
  <c r="A13" i="11" s="1"/>
  <c r="B2" i="5"/>
  <c r="C42" i="5"/>
  <c r="C14" i="5"/>
  <c r="A6" i="5"/>
  <c r="J20" i="5"/>
  <c r="A12" i="5"/>
  <c r="A6" i="11" s="1"/>
  <c r="A5" i="5"/>
  <c r="A26" i="11"/>
  <c r="A20" i="5"/>
  <c r="D19" i="5"/>
  <c r="D13" i="11" s="1"/>
  <c r="A11" i="5"/>
  <c r="A5" i="11" s="1"/>
  <c r="D42" i="5"/>
  <c r="A23" i="11"/>
  <c r="A18" i="5"/>
  <c r="A12" i="11" s="1"/>
  <c r="A39" i="5"/>
  <c r="D26" i="11"/>
  <c r="B1" i="5"/>
  <c r="K20" i="5"/>
  <c r="L16" i="11"/>
  <c r="D8" i="11"/>
  <c r="A10" i="11"/>
  <c r="G9" i="11" l="1"/>
  <c r="G4" i="11"/>
  <c r="P2" i="11" l="1"/>
  <c r="O2" i="11"/>
  <c r="I4" i="5" l="1"/>
  <c r="J9" i="5" s="1"/>
  <c r="A4" i="11" l="1"/>
  <c r="P1" i="11"/>
  <c r="A1" i="11"/>
  <c r="O1" i="11"/>
  <c r="B1" i="11"/>
  <c r="B2" i="11"/>
</calcChain>
</file>

<file path=xl/sharedStrings.xml><?xml version="1.0" encoding="utf-8"?>
<sst xmlns="http://schemas.openxmlformats.org/spreadsheetml/2006/main" count="3069" uniqueCount="1975">
  <si>
    <t>Name</t>
  </si>
  <si>
    <t>Phone</t>
  </si>
  <si>
    <t>Email</t>
  </si>
  <si>
    <t>Address</t>
  </si>
  <si>
    <t>Header</t>
  </si>
  <si>
    <t>TO</t>
  </si>
  <si>
    <t>DO</t>
  </si>
  <si>
    <t>LT</t>
  </si>
  <si>
    <t>RO</t>
  </si>
  <si>
    <t>FO</t>
  </si>
  <si>
    <t>TW</t>
  </si>
  <si>
    <t>AU</t>
  </si>
  <si>
    <t>SV</t>
  </si>
  <si>
    <t>PS</t>
  </si>
  <si>
    <t>FlagName</t>
  </si>
  <si>
    <t>FlagA2ISO</t>
  </si>
  <si>
    <t>USA</t>
  </si>
  <si>
    <t>US</t>
  </si>
  <si>
    <t>JPN</t>
  </si>
  <si>
    <t>Japan</t>
  </si>
  <si>
    <t>JP</t>
  </si>
  <si>
    <t>ZAF</t>
  </si>
  <si>
    <t>South Africa</t>
  </si>
  <si>
    <t>ZA</t>
  </si>
  <si>
    <t>GHA</t>
  </si>
  <si>
    <t>Ghana</t>
  </si>
  <si>
    <t>GH</t>
  </si>
  <si>
    <t>CAN</t>
  </si>
  <si>
    <t>Canada</t>
  </si>
  <si>
    <t>CA</t>
  </si>
  <si>
    <t>PM</t>
  </si>
  <si>
    <t>BRA</t>
  </si>
  <si>
    <t>Brazil</t>
  </si>
  <si>
    <t>BR</t>
  </si>
  <si>
    <t>MAR</t>
  </si>
  <si>
    <t>Maroc</t>
  </si>
  <si>
    <t>MA</t>
  </si>
  <si>
    <t>KOR</t>
  </si>
  <si>
    <t>KR</t>
  </si>
  <si>
    <t>CIV</t>
  </si>
  <si>
    <t>CI</t>
  </si>
  <si>
    <t>AGO</t>
  </si>
  <si>
    <t>Angola</t>
  </si>
  <si>
    <t>AO</t>
  </si>
  <si>
    <t>RUS</t>
  </si>
  <si>
    <t>Russian Federation</t>
  </si>
  <si>
    <t>RU</t>
  </si>
  <si>
    <t>GAB</t>
  </si>
  <si>
    <t>Gabon</t>
  </si>
  <si>
    <t>GA</t>
  </si>
  <si>
    <t>CPV</t>
  </si>
  <si>
    <t>Cape Verde</t>
  </si>
  <si>
    <t>CV</t>
  </si>
  <si>
    <t>URY</t>
  </si>
  <si>
    <t>Uruguay</t>
  </si>
  <si>
    <t>UY</t>
  </si>
  <si>
    <t>STP</t>
  </si>
  <si>
    <t>ST</t>
  </si>
  <si>
    <t>VEN</t>
  </si>
  <si>
    <t>Venezuela</t>
  </si>
  <si>
    <t>VE</t>
  </si>
  <si>
    <t>GNQ</t>
  </si>
  <si>
    <t>Guinea Ecuatorial</t>
  </si>
  <si>
    <t>GQ</t>
  </si>
  <si>
    <t>GIN</t>
  </si>
  <si>
    <t>GN</t>
  </si>
  <si>
    <t>SH</t>
  </si>
  <si>
    <t>BM</t>
  </si>
  <si>
    <t>TC</t>
  </si>
  <si>
    <t>VG</t>
  </si>
  <si>
    <t>LBY</t>
  </si>
  <si>
    <t>Libya</t>
  </si>
  <si>
    <t>LY</t>
  </si>
  <si>
    <t>CHN</t>
  </si>
  <si>
    <t>CN</t>
  </si>
  <si>
    <t>HR</t>
  </si>
  <si>
    <t>DK</t>
  </si>
  <si>
    <t>FR</t>
  </si>
  <si>
    <t>DE</t>
  </si>
  <si>
    <t>GR</t>
  </si>
  <si>
    <t>IT</t>
  </si>
  <si>
    <t>MT</t>
  </si>
  <si>
    <t>PL</t>
  </si>
  <si>
    <t>PT</t>
  </si>
  <si>
    <t>ES</t>
  </si>
  <si>
    <t>SE</t>
  </si>
  <si>
    <t>BG</t>
  </si>
  <si>
    <t>CY</t>
  </si>
  <si>
    <t>IE</t>
  </si>
  <si>
    <t>NL</t>
  </si>
  <si>
    <t>GB</t>
  </si>
  <si>
    <t>EE</t>
  </si>
  <si>
    <t>LV</t>
  </si>
  <si>
    <t>BE</t>
  </si>
  <si>
    <t>SI</t>
  </si>
  <si>
    <t>HU</t>
  </si>
  <si>
    <t>TUN</t>
  </si>
  <si>
    <t>Tunisie</t>
  </si>
  <si>
    <t>TN</t>
  </si>
  <si>
    <t>PAN</t>
  </si>
  <si>
    <t>Panama</t>
  </si>
  <si>
    <t>PA</t>
  </si>
  <si>
    <t>TTO</t>
  </si>
  <si>
    <t>Trinidad and Tobago</t>
  </si>
  <si>
    <t>TT</t>
  </si>
  <si>
    <t>NAM</t>
  </si>
  <si>
    <t>Namibia</t>
  </si>
  <si>
    <t>NA</t>
  </si>
  <si>
    <t>BRB</t>
  </si>
  <si>
    <t>Barbados</t>
  </si>
  <si>
    <t>BB</t>
  </si>
  <si>
    <t>HND</t>
  </si>
  <si>
    <t>Honduras</t>
  </si>
  <si>
    <t>HN</t>
  </si>
  <si>
    <t>DZA</t>
  </si>
  <si>
    <t>Algerie</t>
  </si>
  <si>
    <t>DZ</t>
  </si>
  <si>
    <t>MEX</t>
  </si>
  <si>
    <t>Mexico</t>
  </si>
  <si>
    <t>MX</t>
  </si>
  <si>
    <t>VUT</t>
  </si>
  <si>
    <t>Vanuatu</t>
  </si>
  <si>
    <t>VU</t>
  </si>
  <si>
    <t>ISL</t>
  </si>
  <si>
    <t>Iceland</t>
  </si>
  <si>
    <t>IS</t>
  </si>
  <si>
    <t>TUR</t>
  </si>
  <si>
    <t>TR</t>
  </si>
  <si>
    <t>PHL</t>
  </si>
  <si>
    <t>Philippines</t>
  </si>
  <si>
    <t>PH</t>
  </si>
  <si>
    <t>NOR</t>
  </si>
  <si>
    <t>Norway</t>
  </si>
  <si>
    <t>NO</t>
  </si>
  <si>
    <t>NIC</t>
  </si>
  <si>
    <t>Nicaragua</t>
  </si>
  <si>
    <t>NI</t>
  </si>
  <si>
    <t>GTM</t>
  </si>
  <si>
    <t>Guatemala</t>
  </si>
  <si>
    <t>GT</t>
  </si>
  <si>
    <t>SEN</t>
  </si>
  <si>
    <t>Senegal</t>
  </si>
  <si>
    <t>SN</t>
  </si>
  <si>
    <t>BLZ</t>
  </si>
  <si>
    <t>Belize</t>
  </si>
  <si>
    <t>BZ</t>
  </si>
  <si>
    <t>SYR</t>
  </si>
  <si>
    <t>SY</t>
  </si>
  <si>
    <t>VCT</t>
  </si>
  <si>
    <t>VC</t>
  </si>
  <si>
    <t>EGY</t>
  </si>
  <si>
    <t>Egypt</t>
  </si>
  <si>
    <t>EG</t>
  </si>
  <si>
    <t>ALB</t>
  </si>
  <si>
    <t>Albania</t>
  </si>
  <si>
    <t>AL</t>
  </si>
  <si>
    <t>SLE</t>
  </si>
  <si>
    <t>Sierra Leone</t>
  </si>
  <si>
    <t>SL</t>
  </si>
  <si>
    <t>TAI</t>
  </si>
  <si>
    <t>Chinese Taipei</t>
  </si>
  <si>
    <t>GUY</t>
  </si>
  <si>
    <t>Guyana</t>
  </si>
  <si>
    <t>GY</t>
  </si>
  <si>
    <t>Curaçao</t>
  </si>
  <si>
    <t>KNA</t>
  </si>
  <si>
    <t>Saint Kitts and Nevis</t>
  </si>
  <si>
    <t>KN</t>
  </si>
  <si>
    <t>ARG</t>
  </si>
  <si>
    <t>Argentina</t>
  </si>
  <si>
    <t>AR</t>
  </si>
  <si>
    <t>CUB</t>
  </si>
  <si>
    <t>Cuba</t>
  </si>
  <si>
    <t>CU</t>
  </si>
  <si>
    <t>GRD</t>
  </si>
  <si>
    <t>Grenada</t>
  </si>
  <si>
    <t>GD</t>
  </si>
  <si>
    <t>DOM</t>
  </si>
  <si>
    <t>Dominican Republic</t>
  </si>
  <si>
    <t>ISR</t>
  </si>
  <si>
    <t>Israel</t>
  </si>
  <si>
    <t>IL</t>
  </si>
  <si>
    <t>LBN</t>
  </si>
  <si>
    <t>Lebanon</t>
  </si>
  <si>
    <t>LB</t>
  </si>
  <si>
    <t>VIR</t>
  </si>
  <si>
    <t>US Virgin Islands</t>
  </si>
  <si>
    <t>VI</t>
  </si>
  <si>
    <t>LBR</t>
  </si>
  <si>
    <t>Liberia</t>
  </si>
  <si>
    <t>LR</t>
  </si>
  <si>
    <t>PRI</t>
  </si>
  <si>
    <t>Puerto Rico</t>
  </si>
  <si>
    <t>PR</t>
  </si>
  <si>
    <t>COL</t>
  </si>
  <si>
    <t>Colombia</t>
  </si>
  <si>
    <t>CO</t>
  </si>
  <si>
    <t>BEN</t>
  </si>
  <si>
    <t>Benin</t>
  </si>
  <si>
    <t>BJ</t>
  </si>
  <si>
    <t>COG</t>
  </si>
  <si>
    <t>Congo</t>
  </si>
  <si>
    <t>CG</t>
  </si>
  <si>
    <t>TGO</t>
  </si>
  <si>
    <t>Togo</t>
  </si>
  <si>
    <t>TG</t>
  </si>
  <si>
    <t>CYM</t>
  </si>
  <si>
    <t>Cayman Islands</t>
  </si>
  <si>
    <t>KY</t>
  </si>
  <si>
    <t>LCA</t>
  </si>
  <si>
    <t>LC</t>
  </si>
  <si>
    <t>MRT</t>
  </si>
  <si>
    <t>Mauritania</t>
  </si>
  <si>
    <t>MR</t>
  </si>
  <si>
    <t>CMR</t>
  </si>
  <si>
    <t>Cameroon</t>
  </si>
  <si>
    <t>CM</t>
  </si>
  <si>
    <t>NGA</t>
  </si>
  <si>
    <t>Nigeria</t>
  </si>
  <si>
    <t>NG</t>
  </si>
  <si>
    <t>ABW</t>
  </si>
  <si>
    <t>Aruba</t>
  </si>
  <si>
    <t>AW</t>
  </si>
  <si>
    <t>GNB</t>
  </si>
  <si>
    <t>Guinea Bissau</t>
  </si>
  <si>
    <t>GW</t>
  </si>
  <si>
    <t>UKR</t>
  </si>
  <si>
    <t>Ukraine</t>
  </si>
  <si>
    <t>UA</t>
  </si>
  <si>
    <t>ATG</t>
  </si>
  <si>
    <t>Antigua and Barbuda</t>
  </si>
  <si>
    <t>AG</t>
  </si>
  <si>
    <t>JAM</t>
  </si>
  <si>
    <t>Jamaica</t>
  </si>
  <si>
    <t>JM</t>
  </si>
  <si>
    <t>DMA</t>
  </si>
  <si>
    <t>Dominica</t>
  </si>
  <si>
    <t>DM</t>
  </si>
  <si>
    <t>CRI</t>
  </si>
  <si>
    <t>Costa Rica</t>
  </si>
  <si>
    <t>CR</t>
  </si>
  <si>
    <t>GEO</t>
  </si>
  <si>
    <t>Georgia</t>
  </si>
  <si>
    <t>GE</t>
  </si>
  <si>
    <t>GMB</t>
  </si>
  <si>
    <t>Gambia</t>
  </si>
  <si>
    <t>GM</t>
  </si>
  <si>
    <t>BLR</t>
  </si>
  <si>
    <t>Belarus</t>
  </si>
  <si>
    <t>BY</t>
  </si>
  <si>
    <t>FRO</t>
  </si>
  <si>
    <t>Faroe Islands</t>
  </si>
  <si>
    <t>KHM</t>
  </si>
  <si>
    <t>Cambodia</t>
  </si>
  <si>
    <t>KH</t>
  </si>
  <si>
    <t>SYC</t>
  </si>
  <si>
    <t>Seychelles</t>
  </si>
  <si>
    <t>SC</t>
  </si>
  <si>
    <t>MUS</t>
  </si>
  <si>
    <t>Mauritius</t>
  </si>
  <si>
    <t>MU</t>
  </si>
  <si>
    <t>IND</t>
  </si>
  <si>
    <t>India</t>
  </si>
  <si>
    <t>IN</t>
  </si>
  <si>
    <t>IRN</t>
  </si>
  <si>
    <t>IR</t>
  </si>
  <si>
    <t>MYS</t>
  </si>
  <si>
    <t>Malaysia</t>
  </si>
  <si>
    <t>MY</t>
  </si>
  <si>
    <t>SLV</t>
  </si>
  <si>
    <t>El Salvador</t>
  </si>
  <si>
    <t>AIA</t>
  </si>
  <si>
    <t>Anguilla</t>
  </si>
  <si>
    <t>AI</t>
  </si>
  <si>
    <t>THA</t>
  </si>
  <si>
    <t>Thailand</t>
  </si>
  <si>
    <t>TH</t>
  </si>
  <si>
    <t>CHL</t>
  </si>
  <si>
    <t>Chile</t>
  </si>
  <si>
    <t>CL</t>
  </si>
  <si>
    <t>BHS</t>
  </si>
  <si>
    <t>Bahamas</t>
  </si>
  <si>
    <t>BS</t>
  </si>
  <si>
    <t>SUR</t>
  </si>
  <si>
    <t>Suriname</t>
  </si>
  <si>
    <t>SR</t>
  </si>
  <si>
    <t>ECU</t>
  </si>
  <si>
    <t>Ecuador</t>
  </si>
  <si>
    <t>EC</t>
  </si>
  <si>
    <t>AUS</t>
  </si>
  <si>
    <t>Australia</t>
  </si>
  <si>
    <t>FJI</t>
  </si>
  <si>
    <t>Fiji Islands</t>
  </si>
  <si>
    <t>FJ</t>
  </si>
  <si>
    <t>GUM</t>
  </si>
  <si>
    <t>Guam</t>
  </si>
  <si>
    <t>GU</t>
  </si>
  <si>
    <t>IDN</t>
  </si>
  <si>
    <t>Indonesia</t>
  </si>
  <si>
    <t>ID</t>
  </si>
  <si>
    <t>KIR</t>
  </si>
  <si>
    <t>Kiribati</t>
  </si>
  <si>
    <t>KI</t>
  </si>
  <si>
    <t>MDV</t>
  </si>
  <si>
    <t>Maldives</t>
  </si>
  <si>
    <t>MV</t>
  </si>
  <si>
    <t>PNG</t>
  </si>
  <si>
    <t>Papua New Guinea</t>
  </si>
  <si>
    <t>PG</t>
  </si>
  <si>
    <t>LKA</t>
  </si>
  <si>
    <t>Sri Lanka</t>
  </si>
  <si>
    <t>LK</t>
  </si>
  <si>
    <t>VNM</t>
  </si>
  <si>
    <t>VN</t>
  </si>
  <si>
    <t>SGP</t>
  </si>
  <si>
    <t>Singapore</t>
  </si>
  <si>
    <t>SG</t>
  </si>
  <si>
    <t>OMN</t>
  </si>
  <si>
    <t>Oman</t>
  </si>
  <si>
    <t>OM</t>
  </si>
  <si>
    <t>NZL</t>
  </si>
  <si>
    <t>New Zealand</t>
  </si>
  <si>
    <t>NZ</t>
  </si>
  <si>
    <t>FSM</t>
  </si>
  <si>
    <t>Micronesia</t>
  </si>
  <si>
    <t>FM</t>
  </si>
  <si>
    <t>COK</t>
  </si>
  <si>
    <t>Cook Islands</t>
  </si>
  <si>
    <t>CK</t>
  </si>
  <si>
    <t>BOL</t>
  </si>
  <si>
    <t>Bolivia</t>
  </si>
  <si>
    <t>BO</t>
  </si>
  <si>
    <t>PLW</t>
  </si>
  <si>
    <t>Palau</t>
  </si>
  <si>
    <t>PW</t>
  </si>
  <si>
    <t>TON</t>
  </si>
  <si>
    <t>Tonga</t>
  </si>
  <si>
    <t>KEN</t>
  </si>
  <si>
    <t>Kenya</t>
  </si>
  <si>
    <t>KE</t>
  </si>
  <si>
    <t>PYF</t>
  </si>
  <si>
    <t>Polynesie Française</t>
  </si>
  <si>
    <t>PF</t>
  </si>
  <si>
    <t>PER</t>
  </si>
  <si>
    <t>PE</t>
  </si>
  <si>
    <t>CHE</t>
  </si>
  <si>
    <t>Switzerland</t>
  </si>
  <si>
    <t>CH</t>
  </si>
  <si>
    <t>TZA</t>
  </si>
  <si>
    <t>Tanzania</t>
  </si>
  <si>
    <t>TZ</t>
  </si>
  <si>
    <t>ARE</t>
  </si>
  <si>
    <t>United Arab Emirates</t>
  </si>
  <si>
    <t>AE</t>
  </si>
  <si>
    <t>HTI</t>
  </si>
  <si>
    <t>Haiti</t>
  </si>
  <si>
    <t>HT</t>
  </si>
  <si>
    <t>MDG</t>
  </si>
  <si>
    <t>Madagascar</t>
  </si>
  <si>
    <t>MG</t>
  </si>
  <si>
    <t>MOZ</t>
  </si>
  <si>
    <t>Mozambique</t>
  </si>
  <si>
    <t>MZ</t>
  </si>
  <si>
    <t>SLB</t>
  </si>
  <si>
    <t>Solomon Islands</t>
  </si>
  <si>
    <t>SB</t>
  </si>
  <si>
    <t>KWT</t>
  </si>
  <si>
    <t>Kuwait</t>
  </si>
  <si>
    <t>KW</t>
  </si>
  <si>
    <t>MHL</t>
  </si>
  <si>
    <t>Marshall Islands</t>
  </si>
  <si>
    <t>MH</t>
  </si>
  <si>
    <t>Section</t>
  </si>
  <si>
    <t>Detail</t>
  </si>
  <si>
    <t>Title</t>
  </si>
  <si>
    <t>Reporting Agency</t>
  </si>
  <si>
    <t>FieldID</t>
  </si>
  <si>
    <t>H01</t>
  </si>
  <si>
    <t>Nom</t>
  </si>
  <si>
    <t>Nombre</t>
  </si>
  <si>
    <t>Adresse</t>
  </si>
  <si>
    <t>Dirección</t>
  </si>
  <si>
    <t>T01</t>
  </si>
  <si>
    <t>Téléphone</t>
  </si>
  <si>
    <t>Teléfono</t>
  </si>
  <si>
    <t>Status</t>
  </si>
  <si>
    <t>CP</t>
  </si>
  <si>
    <t>NCC</t>
  </si>
  <si>
    <t>NCO</t>
  </si>
  <si>
    <t>China PR</t>
  </si>
  <si>
    <t>Iran</t>
  </si>
  <si>
    <t>Secretariat use only</t>
  </si>
  <si>
    <t>Agencia que informa</t>
  </si>
  <si>
    <t>Version</t>
  </si>
  <si>
    <t>Notes</t>
  </si>
  <si>
    <t>Remarques</t>
  </si>
  <si>
    <t>Notas</t>
  </si>
  <si>
    <t>OTH</t>
  </si>
  <si>
    <t>Vietnam</t>
  </si>
  <si>
    <t>Agence déclarante</t>
  </si>
  <si>
    <t>CUW</t>
  </si>
  <si>
    <t>CW</t>
  </si>
  <si>
    <t>FLK</t>
  </si>
  <si>
    <t>Falklands</t>
  </si>
  <si>
    <t>FK</t>
  </si>
  <si>
    <t>Syria</t>
  </si>
  <si>
    <t>MNE</t>
  </si>
  <si>
    <t>Montenegro</t>
  </si>
  <si>
    <t>ME</t>
  </si>
  <si>
    <t>PSE</t>
  </si>
  <si>
    <t>Palestine</t>
  </si>
  <si>
    <t>Perú</t>
  </si>
  <si>
    <t>WSM</t>
  </si>
  <si>
    <t>Samoa</t>
  </si>
  <si>
    <t>WS</t>
  </si>
  <si>
    <t>SRB</t>
  </si>
  <si>
    <t>Serbia</t>
  </si>
  <si>
    <t>RS</t>
  </si>
  <si>
    <t>TUV</t>
  </si>
  <si>
    <t>Tuvalu</t>
  </si>
  <si>
    <t>TV</t>
  </si>
  <si>
    <t>BND</t>
  </si>
  <si>
    <t>Brunei</t>
  </si>
  <si>
    <t>BN</t>
  </si>
  <si>
    <t>Description</t>
  </si>
  <si>
    <t>Côte d'Ivoire</t>
  </si>
  <si>
    <t>AND</t>
  </si>
  <si>
    <t>Andorra</t>
  </si>
  <si>
    <t>AD</t>
  </si>
  <si>
    <t>NCL</t>
  </si>
  <si>
    <t>New Caledonia</t>
  </si>
  <si>
    <t>NC</t>
  </si>
  <si>
    <t>SAU</t>
  </si>
  <si>
    <t>Saudi Arabia</t>
  </si>
  <si>
    <t>SA</t>
  </si>
  <si>
    <t>Order</t>
  </si>
  <si>
    <t>Subform</t>
  </si>
  <si>
    <t>Item</t>
  </si>
  <si>
    <t>FieldType</t>
  </si>
  <si>
    <t>FldNameEN</t>
  </si>
  <si>
    <t>FldNameFR</t>
  </si>
  <si>
    <t>FldNameES</t>
  </si>
  <si>
    <t>n/a</t>
  </si>
  <si>
    <t>field</t>
  </si>
  <si>
    <t>ICCAT code</t>
  </si>
  <si>
    <t>Translation for Forms</t>
  </si>
  <si>
    <t>LangFieldID</t>
  </si>
  <si>
    <t>LangNameID</t>
  </si>
  <si>
    <t>a)</t>
  </si>
  <si>
    <t>b)</t>
  </si>
  <si>
    <t>c)</t>
  </si>
  <si>
    <t>d)</t>
  </si>
  <si>
    <t>e)</t>
  </si>
  <si>
    <t>G00</t>
  </si>
  <si>
    <t>General</t>
  </si>
  <si>
    <t>title</t>
  </si>
  <si>
    <t>Instructions</t>
  </si>
  <si>
    <t>Instrucciones</t>
  </si>
  <si>
    <t>Instructions to complete the form</t>
  </si>
  <si>
    <t>Instructions pour remplir le formulaire</t>
  </si>
  <si>
    <t>Instrucciones para cumplimentar el formulario</t>
  </si>
  <si>
    <t>G01</t>
  </si>
  <si>
    <t>subtitle</t>
  </si>
  <si>
    <t>G01a</t>
  </si>
  <si>
    <t>item</t>
  </si>
  <si>
    <t>General01</t>
  </si>
  <si>
    <t>Complete as far as possible the Header and Detail sections (don't leave fields empty when information is known).</t>
  </si>
  <si>
    <t>G01b</t>
  </si>
  <si>
    <t>General02</t>
  </si>
  <si>
    <t>In Header section, only white cells can be filled (manually or by selecting from the Combo Box the corresponding code).</t>
  </si>
  <si>
    <t>G01c</t>
  </si>
  <si>
    <t>General03</t>
  </si>
  <si>
    <t>Always use ICCAT standard codes (when element "OTHERS" of various fields is required it must be explicitly described in "Notes").</t>
  </si>
  <si>
    <t>G01d</t>
  </si>
  <si>
    <t>General04</t>
  </si>
  <si>
    <t>G01e</t>
  </si>
  <si>
    <t>General05</t>
  </si>
  <si>
    <t>S00</t>
  </si>
  <si>
    <t>Specific</t>
  </si>
  <si>
    <t>Specific (by field)</t>
  </si>
  <si>
    <t>Spécifique (par champ)</t>
  </si>
  <si>
    <t>Específico (por campo)</t>
  </si>
  <si>
    <t>SC01</t>
  </si>
  <si>
    <t>Form</t>
  </si>
  <si>
    <t>Formulaire</t>
  </si>
  <si>
    <t>Formulario</t>
  </si>
  <si>
    <t>SC02</t>
  </si>
  <si>
    <t>Sub-form</t>
  </si>
  <si>
    <t>Sous-formulaire</t>
  </si>
  <si>
    <t>Subformulario</t>
  </si>
  <si>
    <t>SC03</t>
  </si>
  <si>
    <t>Part</t>
  </si>
  <si>
    <t>Partie</t>
  </si>
  <si>
    <t>Parte</t>
  </si>
  <si>
    <t>SC04</t>
  </si>
  <si>
    <t xml:space="preserve">Section </t>
  </si>
  <si>
    <t>Sección</t>
  </si>
  <si>
    <t>SC05</t>
  </si>
  <si>
    <t>Sub-section</t>
  </si>
  <si>
    <t>Sous-section</t>
  </si>
  <si>
    <t>Sub-secciones</t>
  </si>
  <si>
    <t>SC06</t>
  </si>
  <si>
    <t>Field (name)</t>
  </si>
  <si>
    <t>Champ (nom)</t>
  </si>
  <si>
    <t>Campo (nombre)</t>
  </si>
  <si>
    <t>SC07</t>
  </si>
  <si>
    <t>Field (format)</t>
  </si>
  <si>
    <t>Champ (format)</t>
  </si>
  <si>
    <t>Campo (formato)</t>
  </si>
  <si>
    <t>SC08</t>
  </si>
  <si>
    <t>Descripción</t>
  </si>
  <si>
    <t>2-Instructions</t>
  </si>
  <si>
    <t>Titre</t>
  </si>
  <si>
    <t>Título</t>
  </si>
  <si>
    <t>Form Title</t>
  </si>
  <si>
    <t>Titre du formulaire</t>
  </si>
  <si>
    <t>Título del formulario</t>
  </si>
  <si>
    <t>ICCAT</t>
  </si>
  <si>
    <t>CICTA</t>
  </si>
  <si>
    <t>CICAA</t>
  </si>
  <si>
    <t>INTERNATIONAL COMMISSION FOR THE CONSERVATION OF ATLANTIC TUNAS</t>
  </si>
  <si>
    <t>COMMISSION INTERNATIONALE POUR LA CONSERVATION DES THONIDÉS DE L'ATLANTIQUE</t>
  </si>
  <si>
    <t>COMISIÓN INTERNACIONAL PARA LA CONSERVACIÓN DEL ATÚN ATLÁNTICO</t>
  </si>
  <si>
    <t>T02</t>
  </si>
  <si>
    <t>(fixed)</t>
  </si>
  <si>
    <t>Versión</t>
  </si>
  <si>
    <t>T03</t>
  </si>
  <si>
    <t>Language</t>
  </si>
  <si>
    <t>Langue</t>
  </si>
  <si>
    <t>Idioma</t>
  </si>
  <si>
    <t>Choose the language (EN, FR, ES) for form translation</t>
  </si>
  <si>
    <t>T00</t>
  </si>
  <si>
    <t>T04</t>
  </si>
  <si>
    <t>section</t>
  </si>
  <si>
    <t>string</t>
  </si>
  <si>
    <t>integer</t>
  </si>
  <si>
    <t>float</t>
  </si>
  <si>
    <t>hAgency</t>
  </si>
  <si>
    <t>hPerson</t>
  </si>
  <si>
    <t>hNotes</t>
  </si>
  <si>
    <t>hAddress</t>
  </si>
  <si>
    <t>BFA</t>
  </si>
  <si>
    <t>Burkina Faso</t>
  </si>
  <si>
    <t>BF</t>
  </si>
  <si>
    <t>H00</t>
  </si>
  <si>
    <t>H10</t>
  </si>
  <si>
    <t>H20</t>
  </si>
  <si>
    <t>Tête</t>
  </si>
  <si>
    <t>Cabecera</t>
  </si>
  <si>
    <t>Filters</t>
  </si>
  <si>
    <t>subsection</t>
  </si>
  <si>
    <t>Réservé au Secrétariat</t>
  </si>
  <si>
    <t>Reservado a la Secretaría</t>
  </si>
  <si>
    <t>H30</t>
  </si>
  <si>
    <t>Data set characteristics</t>
  </si>
  <si>
    <t>date</t>
  </si>
  <si>
    <t>Date reported</t>
  </si>
  <si>
    <t>Date de déclaration</t>
  </si>
  <si>
    <t>Fecha de notificación</t>
  </si>
  <si>
    <t>Reservado a la Sacretaría</t>
  </si>
  <si>
    <t>hRef</t>
  </si>
  <si>
    <t>Reference Nº</t>
  </si>
  <si>
    <t>Nº Reference</t>
  </si>
  <si>
    <t>Nº Referencia</t>
  </si>
  <si>
    <t>File name (proposed)</t>
  </si>
  <si>
    <t>(reserved)</t>
  </si>
  <si>
    <t>Flag Correspondent</t>
  </si>
  <si>
    <t>Correspondant du Pavillon</t>
  </si>
  <si>
    <t>Corresponsal de Bandera</t>
  </si>
  <si>
    <t>(auto)</t>
  </si>
  <si>
    <t>Table. Flags</t>
  </si>
  <si>
    <t>FlagCod</t>
  </si>
  <si>
    <t>tVersion</t>
  </si>
  <si>
    <t>tLang</t>
  </si>
  <si>
    <t>hEmail</t>
  </si>
  <si>
    <t>hPhone</t>
  </si>
  <si>
    <t>hDateRep</t>
  </si>
  <si>
    <t>hFName</t>
  </si>
  <si>
    <t>D00</t>
  </si>
  <si>
    <t>Détail</t>
  </si>
  <si>
    <t>Detalle</t>
  </si>
  <si>
    <t>D10</t>
  </si>
  <si>
    <t>D11</t>
  </si>
  <si>
    <t>D30</t>
  </si>
  <si>
    <t>Enter the name of the person to be contacted in the event of enquiries</t>
  </si>
  <si>
    <t>Enter the name of your ministry, institute or agency</t>
  </si>
  <si>
    <t>Enter the street address of your ministry, institute or agency</t>
  </si>
  <si>
    <t>Introduzca el nombre de la persona a contactar en caso de consultas</t>
  </si>
  <si>
    <t>Introduzca el nombre de su ministerio, institución o agencia</t>
  </si>
  <si>
    <t>Introduzca la dirección de su ministerio, institución o agencia</t>
  </si>
  <si>
    <t>Enter the email address of the person to be contacted</t>
  </si>
  <si>
    <t>Introduzca la dirección de correo electrónico de la persona a contactar</t>
  </si>
  <si>
    <t>Enter the telephone number of the person to be contacted</t>
  </si>
  <si>
    <t>Introduzca el número de teléfono de la persona a contactar</t>
  </si>
  <si>
    <t>Send the form to ICCAT with the proposed file name (if required, adding a suffix at the end of the filename: [suffix])</t>
  </si>
  <si>
    <t>Enviar el formulario a ICCAT con el nombre del archivo propuesto (si es necesario, agregue un sufijo al final del nombre del archivo: [suffix])</t>
  </si>
  <si>
    <t>Nom fichier (proposé)</t>
  </si>
  <si>
    <t>Nombre archivo (propuesto)</t>
  </si>
  <si>
    <t>Características conjunto de datos</t>
  </si>
  <si>
    <t>Caractéristiques jeu de données</t>
  </si>
  <si>
    <t>fldDescEN</t>
  </si>
  <si>
    <t>fldDescFR</t>
  </si>
  <si>
    <t>fldDescES</t>
  </si>
  <si>
    <t>Utilisez toujours la dernière version de ce formulaire</t>
  </si>
  <si>
    <t>Utilice siempre la última versión de este formulario</t>
  </si>
  <si>
    <t>Choisissez la langue (EN, FR, ES) pour la traduction du formulaire</t>
  </si>
  <si>
    <t>Elija el idioma (EN, FR, ES) para la traducción del formulario</t>
  </si>
  <si>
    <t>Saisissez le nom de la personne à contacter en cas d'enquête</t>
  </si>
  <si>
    <t>Saisissez le nom de votre ministère, institut ou agence</t>
  </si>
  <si>
    <t>Saisissez l'adresse de votre ministère, institut ou agence</t>
  </si>
  <si>
    <t>Saisissez l'adresse e-mail de la personne à contacter</t>
  </si>
  <si>
    <t>Saisissez le numéro de téléphone de la personne à contacter</t>
  </si>
  <si>
    <t>Envoyez le formulaire à l'ICCAT avec le nom du fichier proposé (si nécessaire, ajoutez un suffixe à la fin du nom de fichier: [suffix])</t>
  </si>
  <si>
    <t>Veuillez compléter dans la plus grande mesure du possible les rubriques « En-tête » et « Informations détaillées ». Ne laissez pas de cellules vides si l’information est connue</t>
  </si>
  <si>
    <t>Cumplimentar con la mayor información posible las secciones "cabecera" y "detalles" (no dejar campos vacíos cuando se conoce la información)</t>
  </si>
  <si>
    <t>Dans la rubrique « En-tête », seules les cellules blanches sont à remplir (manuellement ou en sélectionnant le code correspondant dans le menu déroulant)</t>
  </si>
  <si>
    <t>En la sección de cabecera, sólo pueden cumplimentarse las celdas en blanco (manualmente o seleccionando en la pestaña desplegable el código correspondiente)</t>
  </si>
  <si>
    <t>Utilisez toujours les codes standard de l’ICCAT (si l’élément « Autres » des menus déroulants de plusieurs champs est requis, une explication détaillée doit être apportée au point « Notes »)</t>
  </si>
  <si>
    <t>Utilice siempre los códigos estándar ICCAT (cuando se requiere el elemento "OTROS" de varios campos, éste debe describirse explícitamente en las "Notas")</t>
  </si>
  <si>
    <t>Recommandation pour les utilisateurs de bases de données: pour copier un jeu de données complet dans la rubrique « Informations détaillées ». (qui doivent avoir la même structure et le même format), utilisez « Collage spécial &gt; Coller valeurs »</t>
  </si>
  <si>
    <t>Recomendación para los usuarios con bases de datos: para pegar un conjunto de datos completo en la sección de información detallada (debe tener la misma estructura y formato) se debe utilizar "Pegado especial (valores)"</t>
  </si>
  <si>
    <t>Laisser en blanc les champs pour lesquels vous ne recueillez pas d'informations</t>
  </si>
  <si>
    <t>Deje en blanco los campos para los que no se ha recopilado información</t>
  </si>
  <si>
    <t>sub-forms:</t>
  </si>
  <si>
    <t>AT</t>
  </si>
  <si>
    <t>Djibouti</t>
  </si>
  <si>
    <t>DJI</t>
  </si>
  <si>
    <t>DJ</t>
  </si>
  <si>
    <t>CZ</t>
  </si>
  <si>
    <t>FI</t>
  </si>
  <si>
    <t>LU</t>
  </si>
  <si>
    <t>SK</t>
  </si>
  <si>
    <t>Bosnia and Herzegovina</t>
  </si>
  <si>
    <t>BIH</t>
  </si>
  <si>
    <t>BA</t>
  </si>
  <si>
    <t>Isle of Man</t>
  </si>
  <si>
    <t>IMN</t>
  </si>
  <si>
    <t>IM</t>
  </si>
  <si>
    <t>Mongolia</t>
  </si>
  <si>
    <t>MNG</t>
  </si>
  <si>
    <t>MN</t>
  </si>
  <si>
    <t>MKD</t>
  </si>
  <si>
    <t>MK</t>
  </si>
  <si>
    <t>Qatar</t>
  </si>
  <si>
    <t>QAT</t>
  </si>
  <si>
    <t>QA</t>
  </si>
  <si>
    <t>1-CP39A</t>
  </si>
  <si>
    <t>CP39A</t>
  </si>
  <si>
    <t>1-CP39B</t>
  </si>
  <si>
    <t>CP39B</t>
  </si>
  <si>
    <t>(automatic completion obtained from CP39A)</t>
  </si>
  <si>
    <t>(remplissage automatique obtenue de CP39A)</t>
  </si>
  <si>
    <t>(relleno automático obtenido de CP39A)</t>
  </si>
  <si>
    <t>CP39-AccAgr</t>
  </si>
  <si>
    <t>ACCESS AGREEMENTS THAT ALLOW FOREIGN-FLAGGED VESSELS TO FISH IN WATERS UNDER THEIR JURISDICTION</t>
  </si>
  <si>
    <t>id</t>
  </si>
  <si>
    <t>Summary of the activities carried out pursuant to these agreements</t>
  </si>
  <si>
    <t>Access Agreements details (characteristics)</t>
  </si>
  <si>
    <t>or Other (specify)</t>
  </si>
  <si>
    <t>Fishing Activities Authorized</t>
  </si>
  <si>
    <t>Mandatory information (Access Agreements)</t>
  </si>
  <si>
    <t>Gear (cod)</t>
  </si>
  <si>
    <t>Engin (cod)</t>
  </si>
  <si>
    <t>Arte (cód)</t>
  </si>
  <si>
    <t>No. Vessels</t>
  </si>
  <si>
    <t>Nbre de navires</t>
  </si>
  <si>
    <t>Nº buques</t>
  </si>
  <si>
    <t>Gear types authorized in the agreement</t>
  </si>
  <si>
    <t>Number of vessels authorized in the agreement</t>
  </si>
  <si>
    <t>Species (cod)</t>
  </si>
  <si>
    <t>Espèce (cod)</t>
  </si>
  <si>
    <t>Especie (cód)</t>
  </si>
  <si>
    <t>Amount in tonnes authorized for harvest in the agreement</t>
  </si>
  <si>
    <t>Amount Authorized (t)</t>
  </si>
  <si>
    <t>CPC’s quota (t)</t>
  </si>
  <si>
    <t>CPC’s quota or catch limit in tonnes to which the catch will be applied in the agreement</t>
  </si>
  <si>
    <t>Table. Status</t>
  </si>
  <si>
    <t>Contracting Party</t>
  </si>
  <si>
    <t>Non-Contracting Cooperating Party</t>
  </si>
  <si>
    <t>Non-Contracting Other</t>
  </si>
  <si>
    <t>Table. Gears</t>
  </si>
  <si>
    <t>GearCode</t>
  </si>
  <si>
    <t>GearName</t>
  </si>
  <si>
    <t>GearGroup</t>
  </si>
  <si>
    <t>GILL</t>
  </si>
  <si>
    <t>Gillnet: Drift net</t>
  </si>
  <si>
    <t>HS</t>
  </si>
  <si>
    <t>Haul seine</t>
  </si>
  <si>
    <t>Purse seine</t>
  </si>
  <si>
    <t>Trammel net</t>
  </si>
  <si>
    <t>TRAW</t>
  </si>
  <si>
    <t>Trawl</t>
  </si>
  <si>
    <t>TL</t>
  </si>
  <si>
    <t>Tended line</t>
  </si>
  <si>
    <t>HAND</t>
  </si>
  <si>
    <t>Handline</t>
  </si>
  <si>
    <t>HL</t>
  </si>
  <si>
    <t>TROL</t>
  </si>
  <si>
    <t>Troll</t>
  </si>
  <si>
    <t>Baitboat</t>
  </si>
  <si>
    <t>RR</t>
  </si>
  <si>
    <t>Rod and Reel</t>
  </si>
  <si>
    <t>HARP</t>
  </si>
  <si>
    <t>Harpoon</t>
  </si>
  <si>
    <t>HP</t>
  </si>
  <si>
    <t>Other (specified in Notes)</t>
  </si>
  <si>
    <t>SpeciesCode</t>
  </si>
  <si>
    <t>ScieName</t>
  </si>
  <si>
    <t>CoNameEN</t>
  </si>
  <si>
    <t>CoNameFR</t>
  </si>
  <si>
    <t>CoNameES</t>
  </si>
  <si>
    <t>IccSpcGrp</t>
  </si>
  <si>
    <t>BFT</t>
  </si>
  <si>
    <t>Thunnus thynnus</t>
  </si>
  <si>
    <t>Atlantic bluefin tuna</t>
  </si>
  <si>
    <t>Thon rouge de l'Atlantique</t>
  </si>
  <si>
    <t>Atún rojo del Atlántico</t>
  </si>
  <si>
    <t>1-Tuna (major sp.)</t>
  </si>
  <si>
    <t>YFT</t>
  </si>
  <si>
    <t>Thunnus albacares</t>
  </si>
  <si>
    <t>Yellowfin tuna</t>
  </si>
  <si>
    <t>Albacore</t>
  </si>
  <si>
    <t>Rabil</t>
  </si>
  <si>
    <t>Thunnus alalunga</t>
  </si>
  <si>
    <t>Germon</t>
  </si>
  <si>
    <t>Atún blanco</t>
  </si>
  <si>
    <t>BET</t>
  </si>
  <si>
    <t>Thunnus obesus</t>
  </si>
  <si>
    <t>Bigeye tuna</t>
  </si>
  <si>
    <t>Patudo</t>
  </si>
  <si>
    <t>SKJ</t>
  </si>
  <si>
    <t>Katsuwonus pelamis</t>
  </si>
  <si>
    <t>Skipjack tuna</t>
  </si>
  <si>
    <t>Listao</t>
  </si>
  <si>
    <t>Listado</t>
  </si>
  <si>
    <t>SWO</t>
  </si>
  <si>
    <t>Xiphias gladius</t>
  </si>
  <si>
    <t>Swordfish</t>
  </si>
  <si>
    <t>Espadon</t>
  </si>
  <si>
    <t>Pez espada</t>
  </si>
  <si>
    <t>Reporting Flag being granted access</t>
  </si>
  <si>
    <t>Reporting Flag granting access</t>
  </si>
  <si>
    <t>hFlagRep1</t>
  </si>
  <si>
    <t>hFlagRep2</t>
  </si>
  <si>
    <t>hFlagOth1</t>
  </si>
  <si>
    <t>hFlagOth2</t>
  </si>
  <si>
    <t>Enter the flag of the CPC, NCP (Party, Entity or Fishing Entity)  being granted access</t>
  </si>
  <si>
    <t>hPeriodFrom</t>
  </si>
  <si>
    <t>hPeriodTo</t>
  </si>
  <si>
    <t>Enter the flag of the CPC, NCP (Party, Entity or Fishing Entity) in whose waters access has been granted</t>
  </si>
  <si>
    <t>Initial date for time period or periods covered by the agreement</t>
  </si>
  <si>
    <t>End date for time period or periods covered by the agreement</t>
  </si>
  <si>
    <t>For any relevant notes (not covered in the rest of fields)</t>
  </si>
  <si>
    <t>Contact coordinates of the National Authority for the coastal State responsible for issuing fishing licenses or permits</t>
  </si>
  <si>
    <t>Contact coordinates of the National Authority for the coastal State responsible for monitoring, control, and surveillance activities</t>
  </si>
  <si>
    <t>hContactIssuer</t>
  </si>
  <si>
    <t>hContactMCS</t>
  </si>
  <si>
    <t>Contact Coordinates</t>
  </si>
  <si>
    <t>Issuer of fishing licenses or permits</t>
  </si>
  <si>
    <t>Responsible for MCS activities</t>
  </si>
  <si>
    <t>Time period covered by the agreement</t>
  </si>
  <si>
    <t>hPeriod</t>
  </si>
  <si>
    <t>hContact</t>
  </si>
  <si>
    <t>Written agreement</t>
  </si>
  <si>
    <t>Attached</t>
  </si>
  <si>
    <t>Indicate the data reporting obligations stipulated in the agreement, including those between the Parties involved, as well as those regarding information that must be provided to the Commission (e.g. PNO, daily reports, fishing licence, authorizations, entry/exit zones, logbook transmissions...)</t>
  </si>
  <si>
    <t>File name</t>
  </si>
  <si>
    <t>From</t>
  </si>
  <si>
    <t>to</t>
  </si>
  <si>
    <t>aGearCd</t>
  </si>
  <si>
    <t>aNrVessels</t>
  </si>
  <si>
    <t>aSpeciesCd</t>
  </si>
  <si>
    <t>aAmountAuth</t>
  </si>
  <si>
    <t>aQuotaCPC</t>
  </si>
  <si>
    <t>cGearCd</t>
  </si>
  <si>
    <t>cNrVessels</t>
  </si>
  <si>
    <t>cSpeciesCd</t>
  </si>
  <si>
    <t>cAmountAuth</t>
  </si>
  <si>
    <t>cQuotaCPC</t>
  </si>
  <si>
    <t>hAgreement</t>
  </si>
  <si>
    <t>hAgreementFile</t>
  </si>
  <si>
    <t>hAgreementYN</t>
  </si>
  <si>
    <t>hMCSmeasures</t>
  </si>
  <si>
    <t>Monitoring, control, and surveillance measures required by the flag CPC and coastal State involved (Max. 1000 characters)</t>
  </si>
  <si>
    <t>hRepObligations</t>
  </si>
  <si>
    <t>Data reporting obligations stipulated in the agreement, between the Parties involved and information that must be provided to the Commission (Max. 1000 characters)</t>
  </si>
  <si>
    <t>Mandatory information (Summary of Activities)</t>
  </si>
  <si>
    <t>D31</t>
  </si>
  <si>
    <t>Fishing Activities Carried Out</t>
  </si>
  <si>
    <t>Gear types used while carrying out the Fishing Activity</t>
  </si>
  <si>
    <t>Number of vessels which performed the Fishing Activity</t>
  </si>
  <si>
    <t>Amount in tonnes harvested during the Fishing Activity</t>
  </si>
  <si>
    <t>CPC’s quota or catch limit in tonnes to which the catch will be applied after the ending of the Fishing Activity</t>
  </si>
  <si>
    <t>SBF</t>
  </si>
  <si>
    <t>BLF</t>
  </si>
  <si>
    <t>LTA</t>
  </si>
  <si>
    <t>BON</t>
  </si>
  <si>
    <t>FRI</t>
  </si>
  <si>
    <t>BOP</t>
  </si>
  <si>
    <t>WAH</t>
  </si>
  <si>
    <t>SSM</t>
  </si>
  <si>
    <t>KGM</t>
  </si>
  <si>
    <t>SAI</t>
  </si>
  <si>
    <t>BLM</t>
  </si>
  <si>
    <t>BUM</t>
  </si>
  <si>
    <t>WHM</t>
  </si>
  <si>
    <t>SPF</t>
  </si>
  <si>
    <t>BIL</t>
  </si>
  <si>
    <t>SLT</t>
  </si>
  <si>
    <t>MAW</t>
  </si>
  <si>
    <t>CER</t>
  </si>
  <si>
    <t>BLT</t>
  </si>
  <si>
    <t>BRS</t>
  </si>
  <si>
    <t>LEC</t>
  </si>
  <si>
    <t>BSF</t>
  </si>
  <si>
    <t>GES</t>
  </si>
  <si>
    <t>SFS</t>
  </si>
  <si>
    <t>OIL</t>
  </si>
  <si>
    <t>NPH</t>
  </si>
  <si>
    <t>BUK</t>
  </si>
  <si>
    <t>KAW</t>
  </si>
  <si>
    <t>TUS</t>
  </si>
  <si>
    <t>MSP</t>
  </si>
  <si>
    <t>MLS</t>
  </si>
  <si>
    <t>SSP</t>
  </si>
  <si>
    <t>RSP</t>
  </si>
  <si>
    <t>BSK</t>
  </si>
  <si>
    <t>ALV</t>
  </si>
  <si>
    <t>BTH</t>
  </si>
  <si>
    <t>THR</t>
  </si>
  <si>
    <t>SMA</t>
  </si>
  <si>
    <t>LMA</t>
  </si>
  <si>
    <t>POR</t>
  </si>
  <si>
    <t>WSH</t>
  </si>
  <si>
    <t>MSK</t>
  </si>
  <si>
    <t>RHN</t>
  </si>
  <si>
    <t>BSH</t>
  </si>
  <si>
    <t>OCS</t>
  </si>
  <si>
    <t>FAL</t>
  </si>
  <si>
    <t>RSK</t>
  </si>
  <si>
    <t>SPZ</t>
  </si>
  <si>
    <t>SPL</t>
  </si>
  <si>
    <t>SPK</t>
  </si>
  <si>
    <t>SPN</t>
  </si>
  <si>
    <t>SPY</t>
  </si>
  <si>
    <t>SKH</t>
  </si>
  <si>
    <t>CCG</t>
  </si>
  <si>
    <t>PSK</t>
  </si>
  <si>
    <t>ISB</t>
  </si>
  <si>
    <t>LMP</t>
  </si>
  <si>
    <t>MAN</t>
  </si>
  <si>
    <t>PLS</t>
  </si>
  <si>
    <t>QUL</t>
  </si>
  <si>
    <t>RMB</t>
  </si>
  <si>
    <t>RMH</t>
  </si>
  <si>
    <t>RMJ</t>
  </si>
  <si>
    <t>RMM</t>
  </si>
  <si>
    <t>RMO</t>
  </si>
  <si>
    <t>RMT</t>
  </si>
  <si>
    <t>STT</t>
  </si>
  <si>
    <t>RMN</t>
  </si>
  <si>
    <t>EUZ</t>
  </si>
  <si>
    <t>EUP</t>
  </si>
  <si>
    <t>ISP</t>
  </si>
  <si>
    <t>RMA</t>
  </si>
  <si>
    <t>HXN</t>
  </si>
  <si>
    <t>LMO</t>
  </si>
  <si>
    <t>ETU</t>
  </si>
  <si>
    <t>CYW</t>
  </si>
  <si>
    <t>SDH</t>
  </si>
  <si>
    <t>SDU</t>
  </si>
  <si>
    <t>DOL</t>
  </si>
  <si>
    <t>CVJ</t>
  </si>
  <si>
    <t>GBA</t>
  </si>
  <si>
    <t>YTC</t>
  </si>
  <si>
    <t>POA</t>
  </si>
  <si>
    <t>AMB</t>
  </si>
  <si>
    <t>AWI</t>
  </si>
  <si>
    <t>BVP</t>
  </si>
  <si>
    <t>EXQ</t>
  </si>
  <si>
    <t>LGH</t>
  </si>
  <si>
    <t>ALM</t>
  </si>
  <si>
    <t>BAZ</t>
  </si>
  <si>
    <t>CBA</t>
  </si>
  <si>
    <t>CFW</t>
  </si>
  <si>
    <t>CNT</t>
  </si>
  <si>
    <t>DIY</t>
  </si>
  <si>
    <t>FLY</t>
  </si>
  <si>
    <t>GAR</t>
  </si>
  <si>
    <t>HMM</t>
  </si>
  <si>
    <t>LEE</t>
  </si>
  <si>
    <t>MOX</t>
  </si>
  <si>
    <t>MRW</t>
  </si>
  <si>
    <t>NAU</t>
  </si>
  <si>
    <t>RRU</t>
  </si>
  <si>
    <t>RUB</t>
  </si>
  <si>
    <t>RZV</t>
  </si>
  <si>
    <t>TAL</t>
  </si>
  <si>
    <t>TAS</t>
  </si>
  <si>
    <t>TCR</t>
  </si>
  <si>
    <t>TRG</t>
  </si>
  <si>
    <t>TRI</t>
  </si>
  <si>
    <t>TST</t>
  </si>
  <si>
    <t>USE</t>
  </si>
  <si>
    <t>VAD</t>
  </si>
  <si>
    <t>YTL</t>
  </si>
  <si>
    <t>SEL</t>
  </si>
  <si>
    <t>BCW</t>
  </si>
  <si>
    <t>BRW</t>
  </si>
  <si>
    <t>DBO</t>
  </si>
  <si>
    <t>DCL</t>
  </si>
  <si>
    <t>DCO</t>
  </si>
  <si>
    <t>DPN</t>
  </si>
  <si>
    <t>DRR</t>
  </si>
  <si>
    <t>DSA</t>
  </si>
  <si>
    <t>DSI</t>
  </si>
  <si>
    <t>DST</t>
  </si>
  <si>
    <t>DWH</t>
  </si>
  <si>
    <t>EUA</t>
  </si>
  <si>
    <t>EUG</t>
  </si>
  <si>
    <t>FAW</t>
  </si>
  <si>
    <t>FIW</t>
  </si>
  <si>
    <t>HUW</t>
  </si>
  <si>
    <t>KIW</t>
  </si>
  <si>
    <t>MIW</t>
  </si>
  <si>
    <t>PHR</t>
  </si>
  <si>
    <t>PIW</t>
  </si>
  <si>
    <t>PYW</t>
  </si>
  <si>
    <t>RTD</t>
  </si>
  <si>
    <t>SHW</t>
  </si>
  <si>
    <t>SIW</t>
  </si>
  <si>
    <t>SPW</t>
  </si>
  <si>
    <t>SXQ</t>
  </si>
  <si>
    <t>MEP</t>
  </si>
  <si>
    <t>DLP</t>
  </si>
  <si>
    <t>DKK</t>
  </si>
  <si>
    <t>LKV</t>
  </si>
  <si>
    <t>LKY</t>
  </si>
  <si>
    <t>TTH</t>
  </si>
  <si>
    <t>TTL</t>
  </si>
  <si>
    <t>TUG</t>
  </si>
  <si>
    <t>TTX</t>
  </si>
  <si>
    <t>LHZ</t>
  </si>
  <si>
    <t>LVA</t>
  </si>
  <si>
    <t>LVH</t>
  </si>
  <si>
    <t>LVJ</t>
  </si>
  <si>
    <t>LVU</t>
  </si>
  <si>
    <t>PUG</t>
  </si>
  <si>
    <t>CZE</t>
  </si>
  <si>
    <t>FPA</t>
  </si>
  <si>
    <t>FNO</t>
  </si>
  <si>
    <t>MVB</t>
  </si>
  <si>
    <t>MWE</t>
  </si>
  <si>
    <t>DAQ</t>
  </si>
  <si>
    <t>PJZ</t>
  </si>
  <si>
    <t>HJW</t>
  </si>
  <si>
    <t>HWS</t>
  </si>
  <si>
    <t>UIL</t>
  </si>
  <si>
    <t>UIM</t>
  </si>
  <si>
    <t>UIP</t>
  </si>
  <si>
    <t>UYE</t>
  </si>
  <si>
    <t>CDI</t>
  </si>
  <si>
    <t>CSK</t>
  </si>
  <si>
    <t>DAC</t>
  </si>
  <si>
    <t>DBN</t>
  </si>
  <si>
    <t>DCR</t>
  </si>
  <si>
    <t>DCU</t>
  </si>
  <si>
    <t>DIC</t>
  </si>
  <si>
    <t>DIM</t>
  </si>
  <si>
    <t>DIP</t>
  </si>
  <si>
    <t>DIQ</t>
  </si>
  <si>
    <t>DIX</t>
  </si>
  <si>
    <t>DKN</t>
  </si>
  <si>
    <t>FUG</t>
  </si>
  <si>
    <t>MAH</t>
  </si>
  <si>
    <t>MAI</t>
  </si>
  <si>
    <t>PCI</t>
  </si>
  <si>
    <t>PCN</t>
  </si>
  <si>
    <t>PDM</t>
  </si>
  <si>
    <t>PFC</t>
  </si>
  <si>
    <t>PFG</t>
  </si>
  <si>
    <t>PHE</t>
  </si>
  <si>
    <t>PHU</t>
  </si>
  <si>
    <t>PRO</t>
  </si>
  <si>
    <t>TQH</t>
  </si>
  <si>
    <t>TWD</t>
  </si>
  <si>
    <t>ALZ</t>
  </si>
  <si>
    <t>hSummary</t>
  </si>
  <si>
    <t>Table. Species (Tunas &amp; sharks) standard codes (FAO alfa 3)</t>
  </si>
  <si>
    <t>Table. Species (Tunas &amp; sharks) standard codes (FAO alfa 3) - Major Species</t>
  </si>
  <si>
    <t>TaxonType</t>
  </si>
  <si>
    <t>1-Species</t>
  </si>
  <si>
    <t>Thon obèse(=Patudo)</t>
  </si>
  <si>
    <t>Istiophorus albicans</t>
  </si>
  <si>
    <t>Atlantic sailfish</t>
  </si>
  <si>
    <t>Voilier de l'Atlantique</t>
  </si>
  <si>
    <t>Pez vela del Atlántico</t>
  </si>
  <si>
    <t>Makaira nigricans</t>
  </si>
  <si>
    <t>Blue marlin</t>
  </si>
  <si>
    <t>Makaire bleu</t>
  </si>
  <si>
    <t>Aguja azul</t>
  </si>
  <si>
    <t>Kajikia albida</t>
  </si>
  <si>
    <t>Atlantic white marlin</t>
  </si>
  <si>
    <t>Makaire blanc de l'Atlantique</t>
  </si>
  <si>
    <t>Aguja blanca del Atlántico</t>
  </si>
  <si>
    <t>Tetrapturus pfluegeri</t>
  </si>
  <si>
    <t>Longbill spearfish</t>
  </si>
  <si>
    <t>Makaire bécune</t>
  </si>
  <si>
    <t>Aguja picuda</t>
  </si>
  <si>
    <t>Isurus oxyrinchus</t>
  </si>
  <si>
    <t>Shortfin mako</t>
  </si>
  <si>
    <t>Taupe bleue</t>
  </si>
  <si>
    <t>Marrajo dientuso</t>
  </si>
  <si>
    <t>4-Sharks (major sp.)</t>
  </si>
  <si>
    <t>Lamna nasus</t>
  </si>
  <si>
    <t>Porbeagle</t>
  </si>
  <si>
    <t>Requin-taupe commun</t>
  </si>
  <si>
    <t>Marrajo sardinero</t>
  </si>
  <si>
    <t>Prionace glauca</t>
  </si>
  <si>
    <t>Blue shark</t>
  </si>
  <si>
    <t>Peau bleue</t>
  </si>
  <si>
    <t>Tiburón azul</t>
  </si>
  <si>
    <t>Thunnini</t>
  </si>
  <si>
    <t>Tunas nei</t>
  </si>
  <si>
    <t>Thonidés nca</t>
  </si>
  <si>
    <t>Atunes nep</t>
  </si>
  <si>
    <t>3-Tuna (other sp.)</t>
  </si>
  <si>
    <t>3-Tribe</t>
  </si>
  <si>
    <t>Istiophoridae</t>
  </si>
  <si>
    <t>Marlins,sailfishes,etc. nei</t>
  </si>
  <si>
    <t>Makaires,marlins,voiliers nca</t>
  </si>
  <si>
    <t>Agujas,marlines,peces vela nep</t>
  </si>
  <si>
    <t>4-Family</t>
  </si>
  <si>
    <t>Selachimorpha (Pleurotremata)</t>
  </si>
  <si>
    <t>Various sharks nei</t>
  </si>
  <si>
    <t>Requins divers nca</t>
  </si>
  <si>
    <t>Escualos diversos nep</t>
  </si>
  <si>
    <t>5-Sharks (other sp.)</t>
  </si>
  <si>
    <t>6-Superorder</t>
  </si>
  <si>
    <t>Thunnus atlanticus</t>
  </si>
  <si>
    <t>Blackfin tuna</t>
  </si>
  <si>
    <t>Thon à nageoires noires</t>
  </si>
  <si>
    <t>Atún aleta negra</t>
  </si>
  <si>
    <t>2-Tuna (small t.)</t>
  </si>
  <si>
    <t>Euthynnus alletteratus</t>
  </si>
  <si>
    <t>Little tunny(=Atl.black skipj)</t>
  </si>
  <si>
    <t>Thonine commune</t>
  </si>
  <si>
    <t>Bacoreta</t>
  </si>
  <si>
    <t>Sarda sarda</t>
  </si>
  <si>
    <t>Atlantic bonito</t>
  </si>
  <si>
    <t>Bonite à dos rayé</t>
  </si>
  <si>
    <t>Bonito del Atlántico</t>
  </si>
  <si>
    <t>Auxis thazard</t>
  </si>
  <si>
    <t>Frigate tuna</t>
  </si>
  <si>
    <t>Auxide</t>
  </si>
  <si>
    <t>Melva</t>
  </si>
  <si>
    <t>Orcynopsis unicolor</t>
  </si>
  <si>
    <t>Plain bonito</t>
  </si>
  <si>
    <t>Palomette</t>
  </si>
  <si>
    <t>Tasarte</t>
  </si>
  <si>
    <t>Acanthocybium solandri</t>
  </si>
  <si>
    <t>Wahoo</t>
  </si>
  <si>
    <t>Thazard-bâtard</t>
  </si>
  <si>
    <t>Peto</t>
  </si>
  <si>
    <t>Scomberomorus maculatus</t>
  </si>
  <si>
    <t>Atlantic Spanish mackerel</t>
  </si>
  <si>
    <t>Thazard atlantique</t>
  </si>
  <si>
    <t>Carite atlántico</t>
  </si>
  <si>
    <t>Scomberomorus cavalla</t>
  </si>
  <si>
    <t>King mackerel</t>
  </si>
  <si>
    <t>Thazard barré</t>
  </si>
  <si>
    <t>Carite lucio</t>
  </si>
  <si>
    <t>Scomberomorus tritor</t>
  </si>
  <si>
    <t>West African Spanish mackerel</t>
  </si>
  <si>
    <t>Thazard blanc</t>
  </si>
  <si>
    <t>Carite lusitánico</t>
  </si>
  <si>
    <t>Scomberomorus regalis</t>
  </si>
  <si>
    <t>Cero</t>
  </si>
  <si>
    <t>Thazard franc</t>
  </si>
  <si>
    <t>Carite chinigua</t>
  </si>
  <si>
    <t>Auxis rochei</t>
  </si>
  <si>
    <t>Bullet tuna</t>
  </si>
  <si>
    <t>Bonitou</t>
  </si>
  <si>
    <t>Melva(=Melvera)</t>
  </si>
  <si>
    <t>Scomberomorus brasiliensis</t>
  </si>
  <si>
    <t>Serra Spanish mackerel</t>
  </si>
  <si>
    <t>Thazard serra</t>
  </si>
  <si>
    <t>Serra</t>
  </si>
  <si>
    <t>Coryphaena hippurus</t>
  </si>
  <si>
    <t>Common dolphinfish</t>
  </si>
  <si>
    <t>Coryphène commune</t>
  </si>
  <si>
    <t>Lampuga</t>
  </si>
  <si>
    <t>Thunnus maccoyii</t>
  </si>
  <si>
    <t>Southern bluefin tuna</t>
  </si>
  <si>
    <t>Thon rouge du Sud</t>
  </si>
  <si>
    <t>Atún rojo del Sur</t>
  </si>
  <si>
    <t>Makaira indica</t>
  </si>
  <si>
    <t>Black marlin</t>
  </si>
  <si>
    <t>Makaire noir</t>
  </si>
  <si>
    <t>Aguja negra</t>
  </si>
  <si>
    <t>Allothunnus fallai</t>
  </si>
  <si>
    <t>Slender tuna</t>
  </si>
  <si>
    <t>Thon élégant</t>
  </si>
  <si>
    <t>Atún lanzón</t>
  </si>
  <si>
    <t>Gempylus serpens</t>
  </si>
  <si>
    <t>Snake mackerel</t>
  </si>
  <si>
    <t>Escolier serpent</t>
  </si>
  <si>
    <t>Escolar de canal</t>
  </si>
  <si>
    <t>Ruvettus pretiosus</t>
  </si>
  <si>
    <t>Oilfish</t>
  </si>
  <si>
    <t>Rouvet</t>
  </si>
  <si>
    <t>Escolar clavo</t>
  </si>
  <si>
    <t>Scomberomorus niphonius</t>
  </si>
  <si>
    <t>Japanese Spanish mackerel</t>
  </si>
  <si>
    <t>Thazard oriental</t>
  </si>
  <si>
    <t>Carite oriental</t>
  </si>
  <si>
    <t>Lepidocybium flavobrunneum</t>
  </si>
  <si>
    <t>Escolar</t>
  </si>
  <si>
    <t>Escolier noir</t>
  </si>
  <si>
    <t>Escolar negro</t>
  </si>
  <si>
    <t>Gasterochisma melampus</t>
  </si>
  <si>
    <t>Butterfly kingfish</t>
  </si>
  <si>
    <t>Thon papillon</t>
  </si>
  <si>
    <t>Atún chauchera</t>
  </si>
  <si>
    <t>Euthynnus affinis</t>
  </si>
  <si>
    <t>Kawakawa</t>
  </si>
  <si>
    <t>Thonine orientale</t>
  </si>
  <si>
    <t>Bacoreta oriental</t>
  </si>
  <si>
    <t>Tetrapturus belone</t>
  </si>
  <si>
    <t>Mediterranean spearfish</t>
  </si>
  <si>
    <t>Marlin de la Méditerranée</t>
  </si>
  <si>
    <t>Marlín del Mediterráneo</t>
  </si>
  <si>
    <t>Tetrapturus audax</t>
  </si>
  <si>
    <t>Striped marlin</t>
  </si>
  <si>
    <t>Marlin rayé</t>
  </si>
  <si>
    <t>Marlín rayado</t>
  </si>
  <si>
    <t>Tetrapturus angustirostris</t>
  </si>
  <si>
    <t>Shortbill spearfish</t>
  </si>
  <si>
    <t>Makaire à rostre court</t>
  </si>
  <si>
    <t>Marlín trompa corta</t>
  </si>
  <si>
    <t>Tetrapturus georgii</t>
  </si>
  <si>
    <t>Roundscale spearfish</t>
  </si>
  <si>
    <t>Makaire épée</t>
  </si>
  <si>
    <t>Marlín peto</t>
  </si>
  <si>
    <t>Thunnus spp</t>
  </si>
  <si>
    <t>True tunas nei</t>
  </si>
  <si>
    <t>Thons Thunnus nca</t>
  </si>
  <si>
    <t>Atunes verdaderos nep</t>
  </si>
  <si>
    <t>2-Genus</t>
  </si>
  <si>
    <t>Alopias vulpinus</t>
  </si>
  <si>
    <t>Thresher</t>
  </si>
  <si>
    <t>Renard</t>
  </si>
  <si>
    <t>Zorro</t>
  </si>
  <si>
    <t>Cetorhinus maximus</t>
  </si>
  <si>
    <t>Basking shark</t>
  </si>
  <si>
    <t>Pèlerin</t>
  </si>
  <si>
    <t>Peregrino</t>
  </si>
  <si>
    <t>Alopias superciliosus</t>
  </si>
  <si>
    <t>Bigeye thresher</t>
  </si>
  <si>
    <t>Renard à gros yeux</t>
  </si>
  <si>
    <t>Zorro ojón</t>
  </si>
  <si>
    <t>Carcharhinus galapagensis</t>
  </si>
  <si>
    <t>Galapagos shark</t>
  </si>
  <si>
    <t>Requin des Galapagos</t>
  </si>
  <si>
    <t>Tiburón de Galápagos</t>
  </si>
  <si>
    <t xml:space="preserve">Centroscymnus owstonii </t>
  </si>
  <si>
    <t>Roughskin dogfish</t>
  </si>
  <si>
    <t>Pailona rapeux</t>
  </si>
  <si>
    <t>Sapata lija</t>
  </si>
  <si>
    <r>
      <t>Etmopterus bullisi</t>
    </r>
    <r>
      <rPr>
        <sz val="9"/>
        <color rgb="FF00000A"/>
        <rFont val="Times New Roman"/>
        <family val="1"/>
      </rPr>
      <t xml:space="preserve"> </t>
    </r>
  </si>
  <si>
    <t>Lined lanternshark</t>
  </si>
  <si>
    <t>Sagre chien</t>
  </si>
  <si>
    <t>Tollo lucero rayado</t>
  </si>
  <si>
    <r>
      <t>Euprotomicrus bispinatus</t>
    </r>
    <r>
      <rPr>
        <sz val="9"/>
        <color rgb="FF00000A"/>
        <rFont val="Times New Roman"/>
        <family val="1"/>
      </rPr>
      <t xml:space="preserve"> </t>
    </r>
  </si>
  <si>
    <t xml:space="preserve">pygmy shark </t>
  </si>
  <si>
    <t>Squale pygmée</t>
  </si>
  <si>
    <t>Tollo pigmeo</t>
  </si>
  <si>
    <r>
      <t>Euprotomicroides zantedeschia</t>
    </r>
    <r>
      <rPr>
        <sz val="9"/>
        <color rgb="FF00000A"/>
        <rFont val="Times New Roman"/>
        <family val="1"/>
      </rPr>
      <t xml:space="preserve"> </t>
    </r>
  </si>
  <si>
    <t xml:space="preserve">taillight shark </t>
  </si>
  <si>
    <t>Squale à queue claire</t>
  </si>
  <si>
    <t>Tollo rabo claro</t>
  </si>
  <si>
    <t>Carcharhinus falciformis</t>
  </si>
  <si>
    <t>Silky shark</t>
  </si>
  <si>
    <t>Requin soyeux</t>
  </si>
  <si>
    <t>Tiburón jaquetón</t>
  </si>
  <si>
    <r>
      <t>Hexanchus nakamurai</t>
    </r>
    <r>
      <rPr>
        <sz val="9"/>
        <color rgb="FF00000A"/>
        <rFont val="Times New Roman"/>
        <family val="1"/>
      </rPr>
      <t xml:space="preserve"> </t>
    </r>
  </si>
  <si>
    <t xml:space="preserve">bigeye sixgill shark </t>
  </si>
  <si>
    <t>Requin-vache</t>
  </si>
  <si>
    <t>Cañabota ojigrande</t>
  </si>
  <si>
    <t>Isistius brasiliensis</t>
  </si>
  <si>
    <t>Cookie cutter shark</t>
  </si>
  <si>
    <t>Squalelet féroce</t>
  </si>
  <si>
    <t>Tollo cigarro</t>
  </si>
  <si>
    <r>
      <t>Isistius plutodus</t>
    </r>
    <r>
      <rPr>
        <sz val="9"/>
        <color rgb="FF00000A"/>
        <rFont val="Times New Roman"/>
        <family val="1"/>
      </rPr>
      <t xml:space="preserve"> </t>
    </r>
  </si>
  <si>
    <t xml:space="preserve">largetooth cookiecutter shark </t>
  </si>
  <si>
    <t>Squalelet dentu</t>
  </si>
  <si>
    <t>Tollo cigarro dentón</t>
  </si>
  <si>
    <t>Isurus paucus</t>
  </si>
  <si>
    <t>Longfin mako</t>
  </si>
  <si>
    <t>Petite taupe</t>
  </si>
  <si>
    <t>Marrajo carite</t>
  </si>
  <si>
    <r>
      <t>Mitsukurina owstoni</t>
    </r>
    <r>
      <rPr>
        <sz val="9"/>
        <color rgb="FF00000A"/>
        <rFont val="Times New Roman"/>
        <family val="1"/>
      </rPr>
      <t xml:space="preserve"> </t>
    </r>
  </si>
  <si>
    <t xml:space="preserve">goblin shark </t>
  </si>
  <si>
    <t>Requin lutin</t>
  </si>
  <si>
    <t>Tiburón duende</t>
  </si>
  <si>
    <t>Megachasma pelagios</t>
  </si>
  <si>
    <t>Megamouth shark</t>
  </si>
  <si>
    <t>Requin grande guele</t>
  </si>
  <si>
    <t>Tiburón bocudo</t>
  </si>
  <si>
    <t>Carcharhinus longimanus</t>
  </si>
  <si>
    <t>Oceanic whitetip shark</t>
  </si>
  <si>
    <t>Requin océanique</t>
  </si>
  <si>
    <t>Tiburón oceánico</t>
  </si>
  <si>
    <t>Pteroplatytrygon violacea</t>
  </si>
  <si>
    <t>Pelagic stingray</t>
  </si>
  <si>
    <t>Pastenague violette</t>
  </si>
  <si>
    <t>Raya-látigo violeta</t>
  </si>
  <si>
    <t>Pseudocarcharias kamoharai</t>
  </si>
  <si>
    <t>Crocodile shark</t>
  </si>
  <si>
    <t>Requin crocodile</t>
  </si>
  <si>
    <t>Tiburón cocodrilo</t>
  </si>
  <si>
    <t>Squaliolus laticaudus</t>
  </si>
  <si>
    <t>Spined pygmy shark</t>
  </si>
  <si>
    <t>Squale nain</t>
  </si>
  <si>
    <t>Tollo pigmeo espinudo</t>
  </si>
  <si>
    <t>Rhincodon typus</t>
  </si>
  <si>
    <t>Whale shark</t>
  </si>
  <si>
    <t>Requin baleine</t>
  </si>
  <si>
    <t>Tiburón ballena</t>
  </si>
  <si>
    <r>
      <t>Manta alfredi</t>
    </r>
    <r>
      <rPr>
        <sz val="9"/>
        <color rgb="FF00000A"/>
        <rFont val="Times New Roman"/>
        <family val="1"/>
      </rPr>
      <t xml:space="preserve"> </t>
    </r>
  </si>
  <si>
    <t xml:space="preserve">Inshore manta ray </t>
  </si>
  <si>
    <t>Manta birostris</t>
  </si>
  <si>
    <t>Giant manta</t>
  </si>
  <si>
    <t>Mante géante</t>
  </si>
  <si>
    <t>Manta gigante</t>
  </si>
  <si>
    <t>Mobula hypostoma</t>
  </si>
  <si>
    <t>Lesser devil ray</t>
  </si>
  <si>
    <t>Mante diable</t>
  </si>
  <si>
    <t>Manta del Golfo</t>
  </si>
  <si>
    <t>Mobula japonica</t>
  </si>
  <si>
    <t>Spinetail mobula</t>
  </si>
  <si>
    <t>Mobula mobular</t>
  </si>
  <si>
    <t>Devil fish</t>
  </si>
  <si>
    <t>Diable de mer méditerranéen</t>
  </si>
  <si>
    <t>Manta mobula</t>
  </si>
  <si>
    <t>Mobula rochebrunei</t>
  </si>
  <si>
    <t>Lesser Guinean devil ray</t>
  </si>
  <si>
    <t>Petit diable de Guinée</t>
  </si>
  <si>
    <t>Diablito de Guinea</t>
  </si>
  <si>
    <t>Mobula thurstoni</t>
  </si>
  <si>
    <t>Smoothtail mobula</t>
  </si>
  <si>
    <t>Mante vampire</t>
  </si>
  <si>
    <t>Diablo chupasangre</t>
  </si>
  <si>
    <t>Mobula tarapacana</t>
  </si>
  <si>
    <t>Chilean devil ray</t>
  </si>
  <si>
    <t>Deania histricosa</t>
  </si>
  <si>
    <t>Rough longnose dogfish</t>
  </si>
  <si>
    <t>Squale-savate rude</t>
  </si>
  <si>
    <t>Tollo raspa</t>
  </si>
  <si>
    <r>
      <t>Deania profundorum</t>
    </r>
    <r>
      <rPr>
        <sz val="9"/>
        <color rgb="FF00000A"/>
        <rFont val="Times New Roman"/>
        <family val="1"/>
      </rPr>
      <t xml:space="preserve"> </t>
    </r>
  </si>
  <si>
    <t>Arrowhead dogfish</t>
  </si>
  <si>
    <t>Squale-savate lutin</t>
  </si>
  <si>
    <t>Tollo flecha</t>
  </si>
  <si>
    <t>Sphyrna mokarran</t>
  </si>
  <si>
    <t>Great hammerhead</t>
  </si>
  <si>
    <t>Grand requin marteau</t>
  </si>
  <si>
    <t>Cornuda gigante</t>
  </si>
  <si>
    <t>Sphyrna lewini</t>
  </si>
  <si>
    <t>Scalloped hammerhead</t>
  </si>
  <si>
    <t>Requin-marteau halicorne</t>
  </si>
  <si>
    <t>Cornuda común</t>
  </si>
  <si>
    <t>Sphyrna zygaena</t>
  </si>
  <si>
    <t>Smooth hammerhead</t>
  </si>
  <si>
    <t>Requin-marteau commun</t>
  </si>
  <si>
    <t>Cornuda cruz(=Pez martillo)</t>
  </si>
  <si>
    <t>Carcharodon carcharias</t>
  </si>
  <si>
    <t>Great white shark</t>
  </si>
  <si>
    <t>Grand requin blanc</t>
  </si>
  <si>
    <t>Jaquetón blanco</t>
  </si>
  <si>
    <t>Sphyrna spp</t>
  </si>
  <si>
    <t>Hammerhead sharks nei</t>
  </si>
  <si>
    <t>Requins marteau nca</t>
  </si>
  <si>
    <t>Cornudas (Peces martillo) nep</t>
  </si>
  <si>
    <t>Alopias spp</t>
  </si>
  <si>
    <t>Thresher sharks nei</t>
  </si>
  <si>
    <t>Renards de mer nca</t>
  </si>
  <si>
    <t>Zorros nep</t>
  </si>
  <si>
    <t>Mobulidae</t>
  </si>
  <si>
    <t>Mantas, devil rays nei</t>
  </si>
  <si>
    <t>Mantes, diables de mer nca</t>
  </si>
  <si>
    <t>Mantas, diablos nep</t>
  </si>
  <si>
    <t>Lamnidae</t>
  </si>
  <si>
    <t>Mackerel sharks,porbeagles nei</t>
  </si>
  <si>
    <t>Requins taupe nca</t>
  </si>
  <si>
    <t>Jaquetones,marrajos nep</t>
  </si>
  <si>
    <t>Carcharhinidae</t>
  </si>
  <si>
    <t>Requiem sharks nei</t>
  </si>
  <si>
    <t>Requins nca</t>
  </si>
  <si>
    <t>Cazones picudos,tintoreras nep</t>
  </si>
  <si>
    <t>Sphyrnidae</t>
  </si>
  <si>
    <t>Hammerhead sharks, etc. nei</t>
  </si>
  <si>
    <t>Requins marteau, etc. nca</t>
  </si>
  <si>
    <t>Cornudas, etc. nep</t>
  </si>
  <si>
    <t>Dasyatidae</t>
  </si>
  <si>
    <t>Stingrays, butterfly rays nei</t>
  </si>
  <si>
    <t>Pastenagues, etc. nca</t>
  </si>
  <si>
    <t>Pastinacas, etc. nep</t>
  </si>
  <si>
    <t>Aphanopus carbo</t>
  </si>
  <si>
    <t>black scabbardfish</t>
  </si>
  <si>
    <t>Sabre noir</t>
  </si>
  <si>
    <t>Sable negro</t>
  </si>
  <si>
    <t>6-Teleosts</t>
  </si>
  <si>
    <t>Lepidopus caudatus</t>
  </si>
  <si>
    <t>Silver scabbardfish</t>
  </si>
  <si>
    <t>Sabre argenté</t>
  </si>
  <si>
    <t>Pez cinto</t>
  </si>
  <si>
    <t>Caranx hippos</t>
  </si>
  <si>
    <t>Crevalle jack</t>
  </si>
  <si>
    <t>Carangue crevalle</t>
  </si>
  <si>
    <t>Jurel común</t>
  </si>
  <si>
    <t>Sphyraena barracuda</t>
  </si>
  <si>
    <t>Great barracuda</t>
  </si>
  <si>
    <t>Barracuda</t>
  </si>
  <si>
    <t>Picuda barracuda</t>
  </si>
  <si>
    <t>Seriola lalandi</t>
  </si>
  <si>
    <t>Yellowtail amberjack</t>
  </si>
  <si>
    <t>Sériole chicard</t>
  </si>
  <si>
    <t>Medregal rabo amarillo</t>
  </si>
  <si>
    <t>Scomberesox saurus</t>
  </si>
  <si>
    <t>Atlantic saury</t>
  </si>
  <si>
    <t>Balaou atlantique</t>
  </si>
  <si>
    <t>Paparda del Atlántico</t>
  </si>
  <si>
    <t>Brama brama</t>
  </si>
  <si>
    <t>Atlantic pomfret</t>
  </si>
  <si>
    <t>Grande castagnole</t>
  </si>
  <si>
    <t>Japuta</t>
  </si>
  <si>
    <t>Seriola dumerili</t>
  </si>
  <si>
    <t>Greater amberjack</t>
  </si>
  <si>
    <t>Sériole couronnée</t>
  </si>
  <si>
    <t>Pez de limón</t>
  </si>
  <si>
    <t>Aluterus schoepfii</t>
  </si>
  <si>
    <t>Orange filefish</t>
  </si>
  <si>
    <t>Bourse orange</t>
  </si>
  <si>
    <t>Lija naranja</t>
  </si>
  <si>
    <t>Balistes punctatus</t>
  </si>
  <si>
    <t>Bluespotted triggerfish</t>
  </si>
  <si>
    <t>Baliste à taches bleues</t>
  </si>
  <si>
    <t>Pejepuerco moteado</t>
  </si>
  <si>
    <t>Euleptorhamphus velox</t>
  </si>
  <si>
    <t>Flying halfbeak</t>
  </si>
  <si>
    <t>Demi-bec volant</t>
  </si>
  <si>
    <t>Agujeta voladora</t>
  </si>
  <si>
    <t>Lagocephalus lagocephalus</t>
  </si>
  <si>
    <t>Oceanic puffer</t>
  </si>
  <si>
    <t>Compère océanique</t>
  </si>
  <si>
    <t>Tamboril liebre</t>
  </si>
  <si>
    <t>Aluterus monoceros</t>
  </si>
  <si>
    <t>Unicorn leatherjacket filefish</t>
  </si>
  <si>
    <t>Bourse loulou</t>
  </si>
  <si>
    <t>Lija barbuda</t>
  </si>
  <si>
    <t>Rachycentron canadum</t>
  </si>
  <si>
    <t>Cobia</t>
  </si>
  <si>
    <t>Mafou</t>
  </si>
  <si>
    <t>Coryphaena equiselis</t>
  </si>
  <si>
    <t>Pompano dolphinfish</t>
  </si>
  <si>
    <t>Coryphène dauphin</t>
  </si>
  <si>
    <t>Dorado</t>
  </si>
  <si>
    <t>Canthidermis maculata</t>
  </si>
  <si>
    <t>Rough triggerfish</t>
  </si>
  <si>
    <t>Baliste rude</t>
  </si>
  <si>
    <t>Calafate áspero</t>
  </si>
  <si>
    <t>Diodon hystrix</t>
  </si>
  <si>
    <t>Spot-fin porcupinefish</t>
  </si>
  <si>
    <t>Porc-épic boubou</t>
  </si>
  <si>
    <t>Pejerizo común</t>
  </si>
  <si>
    <t>Belone belone</t>
  </si>
  <si>
    <t>Garfish</t>
  </si>
  <si>
    <t>Orphie</t>
  </si>
  <si>
    <t>Aguja</t>
  </si>
  <si>
    <t>Trachurus mediterraneus</t>
  </si>
  <si>
    <t>Mediterranean horse mackerel</t>
  </si>
  <si>
    <t>Chinchard à queue jaune</t>
  </si>
  <si>
    <t>Jurel mediterráneo</t>
  </si>
  <si>
    <t>Lichia amia</t>
  </si>
  <si>
    <t>Leerfish</t>
  </si>
  <si>
    <t>Liche</t>
  </si>
  <si>
    <t>Palometón</t>
  </si>
  <si>
    <t>Mola mola</t>
  </si>
  <si>
    <t>Ocean sunfish</t>
  </si>
  <si>
    <t>Poisson lune</t>
  </si>
  <si>
    <t>Pez luna</t>
  </si>
  <si>
    <t>Masturus lanceolatus</t>
  </si>
  <si>
    <t>Sharptail mola</t>
  </si>
  <si>
    <t>Poisson-lune lancéolé</t>
  </si>
  <si>
    <t>Naucrates ductor</t>
  </si>
  <si>
    <t>Pilotfish</t>
  </si>
  <si>
    <t>Poisson pilote</t>
  </si>
  <si>
    <t>Pez piloto</t>
  </si>
  <si>
    <t>Elagatis bipinnulata</t>
  </si>
  <si>
    <t>Rainbow runner</t>
  </si>
  <si>
    <t>Comète saumon</t>
  </si>
  <si>
    <t>Macarela salmón</t>
  </si>
  <si>
    <t>Caranx crysos</t>
  </si>
  <si>
    <t>Blue runner</t>
  </si>
  <si>
    <t>Carangue coubali</t>
  </si>
  <si>
    <t>Cojinúa negra</t>
  </si>
  <si>
    <t>Ranzania laevis</t>
  </si>
  <si>
    <t>Slender sunfish</t>
  </si>
  <si>
    <t>Ranzania</t>
  </si>
  <si>
    <t>Taractichthys longipinnis</t>
  </si>
  <si>
    <t>Big-scale pomfret</t>
  </si>
  <si>
    <t>Castagnole fauchoir</t>
  </si>
  <si>
    <t>Tristón aletudo</t>
  </si>
  <si>
    <t>Taractes asper</t>
  </si>
  <si>
    <t>Rough pomfret</t>
  </si>
  <si>
    <t>Taractes rubescens</t>
  </si>
  <si>
    <t>Dagger pomfret</t>
  </si>
  <si>
    <t>Balistes carolinensis</t>
  </si>
  <si>
    <t>Grey triggerfish</t>
  </si>
  <si>
    <t>Baliste cabri</t>
  </si>
  <si>
    <t>Pejepuerco blanco</t>
  </si>
  <si>
    <t>Taractichthys steindachneri</t>
  </si>
  <si>
    <t>Sickle pomfret</t>
  </si>
  <si>
    <t>Tristón segador</t>
  </si>
  <si>
    <t>Uraspis secunda</t>
  </si>
  <si>
    <t>Cottonmouth jack</t>
  </si>
  <si>
    <t>Carangue coton</t>
  </si>
  <si>
    <t>Jurel volantín</t>
  </si>
  <si>
    <t>Campogramma glaycos</t>
  </si>
  <si>
    <t>Vadigo</t>
  </si>
  <si>
    <t>Liche lirio</t>
  </si>
  <si>
    <t>Lirio</t>
  </si>
  <si>
    <t>Seriola rivoliana</t>
  </si>
  <si>
    <t>Longfin yellowtail</t>
  </si>
  <si>
    <t>Sériole limon</t>
  </si>
  <si>
    <t>Medregal limón</t>
  </si>
  <si>
    <t>Sphyraenidae</t>
  </si>
  <si>
    <t>Barracudas, etc. nei</t>
  </si>
  <si>
    <t>Bécunes, barracudas, nca</t>
  </si>
  <si>
    <t>Barracudas, picudas, nep</t>
  </si>
  <si>
    <t>Exocoetidae</t>
  </si>
  <si>
    <t>Flyingfishes nei</t>
  </si>
  <si>
    <t>Exocets nca</t>
  </si>
  <si>
    <t>Voladores nep</t>
  </si>
  <si>
    <t>Balistidae</t>
  </si>
  <si>
    <t>Triggerfishes, durgons nei</t>
  </si>
  <si>
    <t>Balistes nca</t>
  </si>
  <si>
    <t>Peces-ballesta nep</t>
  </si>
  <si>
    <t>Dermochelys coriacea</t>
  </si>
  <si>
    <t>Leatherback turtle</t>
  </si>
  <si>
    <t>Tortue Luth</t>
  </si>
  <si>
    <t>Tortuga Laud</t>
  </si>
  <si>
    <t>7-Turtles</t>
  </si>
  <si>
    <t>Lepidochelys olivacea</t>
  </si>
  <si>
    <t>Olive Ridley turtle</t>
  </si>
  <si>
    <t>Tortue olivatre</t>
  </si>
  <si>
    <t>Tortuga golfina</t>
  </si>
  <si>
    <t>Lepidochelys kempii</t>
  </si>
  <si>
    <t>Kemp's ridley turtle</t>
  </si>
  <si>
    <t>Tortue de Kemp</t>
  </si>
  <si>
    <t>Tortuga lora</t>
  </si>
  <si>
    <t>Eretmochelys imbricata</t>
  </si>
  <si>
    <t>Hawksbill turtle</t>
  </si>
  <si>
    <t>Tortue caret</t>
  </si>
  <si>
    <t>Tortuga carey</t>
  </si>
  <si>
    <t>Caretta caretta</t>
  </si>
  <si>
    <t>Loggerhead turtle</t>
  </si>
  <si>
    <t>Caouane</t>
  </si>
  <si>
    <t>Caguama</t>
  </si>
  <si>
    <t>Chelonia mydas</t>
  </si>
  <si>
    <t>Green turtle</t>
  </si>
  <si>
    <t>Tortue verte</t>
  </si>
  <si>
    <t>Tortuga verde</t>
  </si>
  <si>
    <t>Cheloniidae</t>
  </si>
  <si>
    <t>Marine turtles nei</t>
  </si>
  <si>
    <t>Tortues de mer nca</t>
  </si>
  <si>
    <t>Tortugas de mar nep</t>
  </si>
  <si>
    <t>Calonectris diomedea</t>
  </si>
  <si>
    <t>Cory's shearwater</t>
  </si>
  <si>
    <t>Puffin cendré</t>
  </si>
  <si>
    <t>Pardela cenicienta</t>
  </si>
  <si>
    <t>8-Seabirds</t>
  </si>
  <si>
    <t>Calonectris edwardsii</t>
  </si>
  <si>
    <t>Cape Verde Shearwater</t>
  </si>
  <si>
    <t>Puffin du Cap-Vert</t>
  </si>
  <si>
    <t>Pardela cenicienta de Edwards</t>
  </si>
  <si>
    <t>Daption capense</t>
  </si>
  <si>
    <t>Cape petrel</t>
  </si>
  <si>
    <t>Damier Du Cap</t>
  </si>
  <si>
    <t>Petrel darnero</t>
  </si>
  <si>
    <t>Diomedea dabbenena</t>
  </si>
  <si>
    <t>Tristan albatross</t>
  </si>
  <si>
    <t>Albatros de Tristan</t>
  </si>
  <si>
    <t>Albatros de Tristán</t>
  </si>
  <si>
    <t>Diomedea epomophora</t>
  </si>
  <si>
    <t>Southern royal albatross</t>
  </si>
  <si>
    <t>Albatros royal</t>
  </si>
  <si>
    <t>Albatros real</t>
  </si>
  <si>
    <t>Diomedea exulans</t>
  </si>
  <si>
    <t>Wandering albatross</t>
  </si>
  <si>
    <t>Albatros hurleur</t>
  </si>
  <si>
    <t>Albatros errante</t>
  </si>
  <si>
    <t>Diomedea sanfordi</t>
  </si>
  <si>
    <t>Northern royal albatross</t>
  </si>
  <si>
    <t>Albatros royal du Nord</t>
  </si>
  <si>
    <t>Albatros real del norte</t>
  </si>
  <si>
    <t>Fratercula arctica</t>
  </si>
  <si>
    <t>Atlantic puffin</t>
  </si>
  <si>
    <t>Macareux moine</t>
  </si>
  <si>
    <t>Frailecillo atlántico</t>
  </si>
  <si>
    <t>Fulmarus glacialis</t>
  </si>
  <si>
    <t>Northern fulmar</t>
  </si>
  <si>
    <t>Fulmar boréal</t>
  </si>
  <si>
    <t>Fulmar norteño</t>
  </si>
  <si>
    <t>Fulmarus glacialoides</t>
  </si>
  <si>
    <t>Southern fulmar</t>
  </si>
  <si>
    <t>Fulmar Argenté</t>
  </si>
  <si>
    <t>Fulmar austral</t>
  </si>
  <si>
    <t>Larus argentatus</t>
  </si>
  <si>
    <t>Herring gull</t>
  </si>
  <si>
    <t>Goéland argenté</t>
  </si>
  <si>
    <t>Gaviota argéntea</t>
  </si>
  <si>
    <t>Larus atricilla</t>
  </si>
  <si>
    <t>Laughing gull</t>
  </si>
  <si>
    <t>Mouette atricille</t>
  </si>
  <si>
    <t>Gaviota reidora americana</t>
  </si>
  <si>
    <t>Larus audouinii</t>
  </si>
  <si>
    <t>Audouin's gull</t>
  </si>
  <si>
    <t>Goéland d'Audouin</t>
  </si>
  <si>
    <t>Gaviota de Audouin</t>
  </si>
  <si>
    <t>Larus cachinnans</t>
  </si>
  <si>
    <t>Yellow-legged gull</t>
  </si>
  <si>
    <t>Goéland leucophée</t>
  </si>
  <si>
    <t>Gaviota patiamarilla</t>
  </si>
  <si>
    <t>Larus marinus</t>
  </si>
  <si>
    <t>Great black-backed gull</t>
  </si>
  <si>
    <t>Goéland marin</t>
  </si>
  <si>
    <t>Gavión atlántico</t>
  </si>
  <si>
    <t>Macronectes giganteus</t>
  </si>
  <si>
    <t>Antarctic giant petrel</t>
  </si>
  <si>
    <t>Pétrel géant</t>
  </si>
  <si>
    <t>Petrel gigante común</t>
  </si>
  <si>
    <t>Macronectes halli</t>
  </si>
  <si>
    <t>Hall's giant petrel</t>
  </si>
  <si>
    <t>Pétrel De Hall</t>
  </si>
  <si>
    <t>Petrel gigante de Hall</t>
  </si>
  <si>
    <t>Morus bassanus</t>
  </si>
  <si>
    <t>Northern gannet</t>
  </si>
  <si>
    <t>Fou De Bassan</t>
  </si>
  <si>
    <t>Alcatraz Atlántico</t>
  </si>
  <si>
    <t>Morus capensis</t>
  </si>
  <si>
    <t>Cape gannet</t>
  </si>
  <si>
    <t>Fou Du Cap</t>
  </si>
  <si>
    <t>Alcatraz del Cabo</t>
  </si>
  <si>
    <t>Phoebastria albatrus</t>
  </si>
  <si>
    <t>Short-tailed albatross</t>
  </si>
  <si>
    <t>Albatros à queue courte</t>
  </si>
  <si>
    <t>Albatros rabón</t>
  </si>
  <si>
    <t>Phoebastria nigripes</t>
  </si>
  <si>
    <t>Black-footed albatross</t>
  </si>
  <si>
    <t>Albatros à pieds noirs</t>
  </si>
  <si>
    <t>Albatros de patas negras</t>
  </si>
  <si>
    <t>Phoebetria fusca</t>
  </si>
  <si>
    <t>Sooty albatross</t>
  </si>
  <si>
    <t>Albatros Brun</t>
  </si>
  <si>
    <t>Albatros Ahumado</t>
  </si>
  <si>
    <t>Phoebetria palpebrata</t>
  </si>
  <si>
    <t>Light-mantled sooty albatross</t>
  </si>
  <si>
    <t>Albatros fuligineux</t>
  </si>
  <si>
    <t>Albatros oscuro de manto claro</t>
  </si>
  <si>
    <t>Procellaria aequinoctialis</t>
  </si>
  <si>
    <t>White-chinned petrel</t>
  </si>
  <si>
    <t>Puffin à menton blanc</t>
  </si>
  <si>
    <t>Pardela Gorgiblanca</t>
  </si>
  <si>
    <t>Procellaria cinerea</t>
  </si>
  <si>
    <t>Grey petrel</t>
  </si>
  <si>
    <t>Puffin Gris</t>
  </si>
  <si>
    <t>Pardela Gris</t>
  </si>
  <si>
    <t>Procellaria conspicillata</t>
  </si>
  <si>
    <t>Spectacled petrel</t>
  </si>
  <si>
    <t>Pétrel à lunettes</t>
  </si>
  <si>
    <t>Petrel mentón blanco</t>
  </si>
  <si>
    <t>Pterodroma arminjoniana</t>
  </si>
  <si>
    <t>Trindade petrel</t>
  </si>
  <si>
    <t>Pétrel de la Trinité du Sud</t>
  </si>
  <si>
    <t>Petrel de la Trinidade</t>
  </si>
  <si>
    <t>Pterodroma cahow</t>
  </si>
  <si>
    <t>Bermuda petrel</t>
  </si>
  <si>
    <t>Pétrel des Bermudes</t>
  </si>
  <si>
    <t>Petrel Cahow</t>
  </si>
  <si>
    <t>Pterodroma hasitata</t>
  </si>
  <si>
    <t>Black-capped petrel</t>
  </si>
  <si>
    <t>Pétrel diablotin</t>
  </si>
  <si>
    <t>Petrel antillano</t>
  </si>
  <si>
    <t>Pterodroma macroptera</t>
  </si>
  <si>
    <t>Great-winged petrel</t>
  </si>
  <si>
    <t>Pétrel Noir</t>
  </si>
  <si>
    <t>Petrel aligrande</t>
  </si>
  <si>
    <t>Puffinus carneipes</t>
  </si>
  <si>
    <t>Flesh-footed shearwater</t>
  </si>
  <si>
    <t>Puffin à pieds pâles</t>
  </si>
  <si>
    <t>Pardela paticlara</t>
  </si>
  <si>
    <t>Puffinus gravis</t>
  </si>
  <si>
    <t>Great shearwater</t>
  </si>
  <si>
    <t>Puffin majeur</t>
  </si>
  <si>
    <t>Pardela capirotada</t>
  </si>
  <si>
    <t>Puffinus griseus</t>
  </si>
  <si>
    <t>Sooty shearwater</t>
  </si>
  <si>
    <t>Puffin fuligineux</t>
  </si>
  <si>
    <t>Pardela sombría</t>
  </si>
  <si>
    <t>Puffinus lherminieri</t>
  </si>
  <si>
    <t>Audubon's shearwater</t>
  </si>
  <si>
    <t>Puffin d'Audubon</t>
  </si>
  <si>
    <t>Pardela de Audubon</t>
  </si>
  <si>
    <t>Puffinus mauretanicus</t>
  </si>
  <si>
    <t>Balearic shearwater</t>
  </si>
  <si>
    <t>Puffin des Baléares</t>
  </si>
  <si>
    <t>Pardela pichoneta balear</t>
  </si>
  <si>
    <t>Puffinus puffinus</t>
  </si>
  <si>
    <t>Manx shearwater</t>
  </si>
  <si>
    <t>Puffin des anglais</t>
  </si>
  <si>
    <t>Pardela pichoneta</t>
  </si>
  <si>
    <t>Puffinus yelkouan</t>
  </si>
  <si>
    <t>Yelkouan shearwater</t>
  </si>
  <si>
    <t>Puffin de Méditerranée</t>
  </si>
  <si>
    <t>Pardela mediterránea</t>
  </si>
  <si>
    <t>Stercorarius skua</t>
  </si>
  <si>
    <t>Great skua</t>
  </si>
  <si>
    <t>Grand Labbe</t>
  </si>
  <si>
    <t>Págalo Grande</t>
  </si>
  <si>
    <t>Thalassarche carteri</t>
  </si>
  <si>
    <t>Indian yellow-nosed albatross</t>
  </si>
  <si>
    <t>Albatros de l'océan indien</t>
  </si>
  <si>
    <t>Albatros índico pico amarillo</t>
  </si>
  <si>
    <t>Thalassarche cauta</t>
  </si>
  <si>
    <t>Shy albatross</t>
  </si>
  <si>
    <t>Albatros timide</t>
  </si>
  <si>
    <t>Albatros Frentiblanco</t>
  </si>
  <si>
    <t>Thalassarche chlororhynchos</t>
  </si>
  <si>
    <t>Atlant. yellow-nosed albatross</t>
  </si>
  <si>
    <t>Albatros à nez jaune</t>
  </si>
  <si>
    <t>Albatros pico amarillo y negro</t>
  </si>
  <si>
    <t>Thalassarche chrysostoma</t>
  </si>
  <si>
    <t>Grey-headed albatross</t>
  </si>
  <si>
    <t>Albatros À Tête Grise</t>
  </si>
  <si>
    <t>Albatros de cabeza gris</t>
  </si>
  <si>
    <t>Thalassarche melanophrys</t>
  </si>
  <si>
    <t>Black-browed albatross</t>
  </si>
  <si>
    <t>Albatros à sourcils noirs</t>
  </si>
  <si>
    <t>Albatros ceja negra</t>
  </si>
  <si>
    <t>Thalassarche steadi</t>
  </si>
  <si>
    <t>White-capped albatross</t>
  </si>
  <si>
    <t>Albatros à cape blanche</t>
  </si>
  <si>
    <t>Albatros de Auckland</t>
  </si>
  <si>
    <t>Diomedeidae</t>
  </si>
  <si>
    <t>Albatrosses nei</t>
  </si>
  <si>
    <t>Albatros nca</t>
  </si>
  <si>
    <t>Albatros nep</t>
  </si>
  <si>
    <t>Otaria flavescens</t>
  </si>
  <si>
    <t>South American sea lion</t>
  </si>
  <si>
    <t>Lion de mer d'Amérique du Sud</t>
  </si>
  <si>
    <t>Lobo común</t>
  </si>
  <si>
    <t>9-Mammals</t>
  </si>
  <si>
    <t>Ziphius cavirostris</t>
  </si>
  <si>
    <t>Cuvier's beaked whale</t>
  </si>
  <si>
    <t>Ziphius</t>
  </si>
  <si>
    <t>Zifio de Cuvier</t>
  </si>
  <si>
    <t>Balaenoptera edeni</t>
  </si>
  <si>
    <t>Bryde's whale</t>
  </si>
  <si>
    <t>Rorqual de Bryde</t>
  </si>
  <si>
    <t>Rorcual tropical</t>
  </si>
  <si>
    <t>Tursiops truncatus</t>
  </si>
  <si>
    <t>Bottlenose dolphin</t>
  </si>
  <si>
    <t>Grand Dauphin</t>
  </si>
  <si>
    <t>Tursion</t>
  </si>
  <si>
    <t>Stenella clymene</t>
  </si>
  <si>
    <t>Clymene dolphin</t>
  </si>
  <si>
    <t>Dauphin de Clyméné</t>
  </si>
  <si>
    <t>Delfín Clymene</t>
  </si>
  <si>
    <t>Delphinus delphis</t>
  </si>
  <si>
    <t>Common dolphin</t>
  </si>
  <si>
    <t>Dauphin commun</t>
  </si>
  <si>
    <t>Delfín común</t>
  </si>
  <si>
    <t>Stenella attenuata</t>
  </si>
  <si>
    <t>Pantropical spotted dolphin</t>
  </si>
  <si>
    <t>Dauphin tacheté pantropical</t>
  </si>
  <si>
    <t>Estenela moteada</t>
  </si>
  <si>
    <t>Grampus griseus</t>
  </si>
  <si>
    <t>Risso's dolphin</t>
  </si>
  <si>
    <t>Grampus</t>
  </si>
  <si>
    <t>Delfín de Risso</t>
  </si>
  <si>
    <t>Stenella frontalis</t>
  </si>
  <si>
    <t>Atlantic spotted dolphin</t>
  </si>
  <si>
    <t>Dauphin tacheté de l'Atlantiq.</t>
  </si>
  <si>
    <t>Delfín pintado</t>
  </si>
  <si>
    <t>Stenella longirostris</t>
  </si>
  <si>
    <t>Spinner dolphin</t>
  </si>
  <si>
    <t>Dauphin longirostre</t>
  </si>
  <si>
    <t>Estenela giradora</t>
  </si>
  <si>
    <t>Stenella coeruleoalba</t>
  </si>
  <si>
    <t>Striped dolphin</t>
  </si>
  <si>
    <t>Dauphin bleu et blanc</t>
  </si>
  <si>
    <t>Estenela listada</t>
  </si>
  <si>
    <t>Lagenorhynchus acutus</t>
  </si>
  <si>
    <t>Atlantic white-sided dolphin</t>
  </si>
  <si>
    <t>Dauphin à flancs blancs Atlan.</t>
  </si>
  <si>
    <t>Delfín de flancos blancos</t>
  </si>
  <si>
    <t>Eubalaena australis</t>
  </si>
  <si>
    <t>Southern right whale</t>
  </si>
  <si>
    <t>Baleine australe</t>
  </si>
  <si>
    <t>Ballena franca austral</t>
  </si>
  <si>
    <t>Eubalaena glacialis</t>
  </si>
  <si>
    <t>Northern right whale</t>
  </si>
  <si>
    <t>Baleine de Biscaye</t>
  </si>
  <si>
    <t>Ballena franca</t>
  </si>
  <si>
    <t>Pseudorca crassidens</t>
  </si>
  <si>
    <t>False killer whale</t>
  </si>
  <si>
    <t>Faux-orque</t>
  </si>
  <si>
    <t>Orca Falsa</t>
  </si>
  <si>
    <t>Balaenoptera physalus</t>
  </si>
  <si>
    <t>Fin whale</t>
  </si>
  <si>
    <t>Rorqual commun</t>
  </si>
  <si>
    <t>Rorcual común</t>
  </si>
  <si>
    <t>Megaptera novaeangliae</t>
  </si>
  <si>
    <t>Humpback whale</t>
  </si>
  <si>
    <t>Baleine à bosse</t>
  </si>
  <si>
    <t>Rorcual jorobado</t>
  </si>
  <si>
    <t>Orcinus orca</t>
  </si>
  <si>
    <t>Killer whale</t>
  </si>
  <si>
    <t>Orque</t>
  </si>
  <si>
    <t>Orca</t>
  </si>
  <si>
    <t>Balaenoptera acutorostrata</t>
  </si>
  <si>
    <t>Minke whale</t>
  </si>
  <si>
    <t>Petit rorqual</t>
  </si>
  <si>
    <t>Rorcual enano</t>
  </si>
  <si>
    <t>Phocoena phocoena</t>
  </si>
  <si>
    <t>Harbour porpoise</t>
  </si>
  <si>
    <t>Marsouin Commun</t>
  </si>
  <si>
    <t>Marsopa Común</t>
  </si>
  <si>
    <t>Globicephala melas</t>
  </si>
  <si>
    <t>Long-finned pilot whale</t>
  </si>
  <si>
    <t>Globicéphale commun</t>
  </si>
  <si>
    <t>Calderón común</t>
  </si>
  <si>
    <t>Kogia breviceps</t>
  </si>
  <si>
    <t>Pygmy sperm whale</t>
  </si>
  <si>
    <t>Cachalot Pygmée</t>
  </si>
  <si>
    <t>Cachalote pigmeo</t>
  </si>
  <si>
    <t>Steno bredanensis</t>
  </si>
  <si>
    <t>Rough-toothed dolphin</t>
  </si>
  <si>
    <t>Sténo</t>
  </si>
  <si>
    <t>Esteno</t>
  </si>
  <si>
    <t>Globicephala macrorhynchus</t>
  </si>
  <si>
    <t>Short-finned pilot whale</t>
  </si>
  <si>
    <t>Globicéphale tropical</t>
  </si>
  <si>
    <t>Calderón de aletas cortas</t>
  </si>
  <si>
    <t>Balaenoptera borealis</t>
  </si>
  <si>
    <t>Sei whale</t>
  </si>
  <si>
    <t>Rorqual de Rudolphi</t>
  </si>
  <si>
    <t>Rorcual del Norte</t>
  </si>
  <si>
    <t>Physeter macrocephalus</t>
  </si>
  <si>
    <t>Sperm whale</t>
  </si>
  <si>
    <t>Cachalot</t>
  </si>
  <si>
    <t>Cachalote</t>
  </si>
  <si>
    <t>Arctocephalus spp</t>
  </si>
  <si>
    <t>Fur seals nei</t>
  </si>
  <si>
    <t>Otaries nca</t>
  </si>
  <si>
    <t>Lobos finos nep</t>
  </si>
  <si>
    <t>Mesoplodon spp</t>
  </si>
  <si>
    <t>Beaked whales nei</t>
  </si>
  <si>
    <t>Delphinidae</t>
  </si>
  <si>
    <t>Dolphins nei</t>
  </si>
  <si>
    <t>Dauphins nca</t>
  </si>
  <si>
    <t>Delfínidos nep</t>
  </si>
  <si>
    <t>Species authorized for harvest in the agreement (Just Major Species included)</t>
  </si>
  <si>
    <t>Species harvested during the Fishing Activity (All Species included)</t>
  </si>
  <si>
    <t>Summary of Activities (Max. 1000 characters)</t>
  </si>
  <si>
    <t>ACCORDS D'ACCÈS AUTORISANT LES NAVIRES SOUS PAVILLON ÉTRANGER À PÊCHER DANS LES EAUX SOUS LEUR JURIDICTION</t>
  </si>
  <si>
    <t>ACUERDOS DE ACCESO QUE PERMITEN A LOS BUQUES DE PABELLÓN EXTRANJERO PESCAR EN LAS AGUAS BAJO SU JURISDICCIÓN</t>
  </si>
  <si>
    <t>Information détaillée sur les accords d'accès (caractéristiques)</t>
  </si>
  <si>
    <t>Información detallada de los acuerdos de acceso (características)</t>
  </si>
  <si>
    <t>Résumé des activités menées dans le cadre de ces accords</t>
  </si>
  <si>
    <t>Resumen de las actividades realizadas con arreglo a estos acuerdos</t>
  </si>
  <si>
    <t>Always use the latest version of this form.</t>
  </si>
  <si>
    <t>Pavillon déclarant auquel l’accès est accordé</t>
  </si>
  <si>
    <t>Pabellón declarante al que se concede acceso</t>
  </si>
  <si>
    <t>Saisir le pavillon de la CPC, NCP (Partie, Entité ou Entité de pêche) à qui l'accès est accordé</t>
  </si>
  <si>
    <t>Introduzca el pabellón de la CPC, NCP (Parte, Entidad o Entidad pesquera) a la que se concede acceso</t>
  </si>
  <si>
    <t>Pavillon déclarant accordant l’accès</t>
  </si>
  <si>
    <t>Pabellón declarante que concede el acceso</t>
  </si>
  <si>
    <t>Saisir le pavillon de la CPC, NCP (Partie, Entité ou Entité de pêche) dans les eaux duquel l'accès a été accordé</t>
  </si>
  <si>
    <t>Introduzca el pabellón de la CPC, NCP (Parte, Entidad o Entidad pesquera) a cuyas aguas se ha concedido el acceso</t>
  </si>
  <si>
    <t>Ou autre (spécifier)</t>
  </si>
  <si>
    <t>u Otros (especificar)</t>
  </si>
  <si>
    <t>Enter the flag of the Non Contracting Party or other entity which is not included in the ICCAT codes and is being granted access</t>
  </si>
  <si>
    <t>Saisir le pavillon de la Partie ou autre entité  non contractante qui ne figure pas dans les codes ICCAT et auquel l'accès est accordé</t>
  </si>
  <si>
    <t>Introduzca el pabellón de la Parte u otra entidad no contratante que no esté incluida en los códigos de ICCAT y a la que se concede acceso</t>
  </si>
  <si>
    <t>Enter the flag of the Non Contracting Party or other entity which is not included in the ICCAT codes and whose waters access has been granted</t>
  </si>
  <si>
    <t>Saisir le pavillon de la Partie ou autre entité  non contractante qui ne figure pas dans les codes ICCAT et dans les eaux duquel l’accès a été accordé</t>
  </si>
  <si>
    <t>Introduzca el pabellón de la Parte u otra entidad no contratante que no esté incluida en los códigos de ICCAT y a cuyas aguas se ha concedido acceso</t>
  </si>
  <si>
    <t>Période couverte par l’accord</t>
  </si>
  <si>
    <t>Periodo de tiempo cubierto por el acuerdo</t>
  </si>
  <si>
    <t>Du</t>
  </si>
  <si>
    <t>Date de début de la période ou périodes couvertes par l'accord </t>
  </si>
  <si>
    <t>Fecha inicial para el periodo o periodos de tiempo cubiertos por este acuerdo.</t>
  </si>
  <si>
    <t>à</t>
  </si>
  <si>
    <t>a</t>
  </si>
  <si>
    <t>Date de fin de la période ou périodes couvertes par l'accord</t>
  </si>
  <si>
    <t>Fecha final para el periodo o periodos de tiempo cubiertos por este acuerdo.</t>
  </si>
  <si>
    <t>Coordonnées de contact</t>
  </si>
  <si>
    <t>Coordenadas de contacto</t>
  </si>
  <si>
    <t>Emetteur de licences ou permis de pêche</t>
  </si>
  <si>
    <t>Expedidor de las licencias o permisos de pesca</t>
  </si>
  <si>
    <t>Coordonnées de l'autorité nationale de l'État côtier responsable de la délivrance des licences ou permis de pêche</t>
  </si>
  <si>
    <t>Coordenadas de contacto de la autoridad nacional para el Estado costero responsable de expedir las licencias o permisos de pesca</t>
  </si>
  <si>
    <t>Responsable des activités MCS</t>
  </si>
  <si>
    <t>Responsable de las actividades de SCV</t>
  </si>
  <si>
    <t>Coordonnées de l'autorité nationale de l'État côtier responsable des activités de suivi, contrôle et surveillance</t>
  </si>
  <si>
    <t>Coordenadas de contacto de la autoridad nacional para el Estado costero responsable de las actividades de seguimiento, control y vigilancia.</t>
  </si>
  <si>
    <t>Accord écrit</t>
  </si>
  <si>
    <t>Acuerdo escrito</t>
  </si>
  <si>
    <t>Nom du fichier</t>
  </si>
  <si>
    <t>Nombre del archivo</t>
  </si>
  <si>
    <t xml:space="preserve">Name of file of the written agreement </t>
  </si>
  <si>
    <t>Nom du dossier de l'accord écrit</t>
  </si>
  <si>
    <t>Nombre del archivo del acuerdo escrito</t>
  </si>
  <si>
    <t>Joint</t>
  </si>
  <si>
    <t>Adjunto</t>
  </si>
  <si>
    <t>Indicate whether the file is attached or not (Yes/No)</t>
  </si>
  <si>
    <t>Indiquer si le fichier est joint ou non (Oui/Non)</t>
  </si>
  <si>
    <t>Indicar si se adjunta o no el documento (Sí/No)</t>
  </si>
  <si>
    <t>Mesures de suivi, contrôle et surveillance requises par la CPC de pavillon et l'Etat côtier concerné (1000 caractères max.)</t>
  </si>
  <si>
    <t>Medidas de seguimiento, control y vigilancia requeridas por la CPC del pabellón y el Estado costero implicado (máx. 1.000 caracteres)</t>
  </si>
  <si>
    <t>Brief description of the monitoring, control, and surveillance measures required by the flag CPC and coastal State involved (e.g. VMS, port inspection, fisheries observers programs...)</t>
  </si>
  <si>
    <t>Brève description des mesures de suivi, contrôle et surveillance requises par la CPC du pavillon et l'État côtier concerné (p. ex., VMS, inspection au port, programmes d'observateurs des pêcheries...)</t>
  </si>
  <si>
    <t>Breve descripción de las medidas de seguimiento, control y vigilancia requeridas por la CPC del pabellón y el Estado costero implicado (por ejemplo, VMS, inspección en puerto, programas de observadores pesqueros…)</t>
  </si>
  <si>
    <t>Obligations de déclaration des données stipulées dans l'accord, entre les Parties concernées et informations qui doivent être fournies à la Commission (1000 caractères max.)</t>
  </si>
  <si>
    <t>Indiquer les obligations de déclaration des données stipulées dans l'accord, y compris celles entre les Parties concernées, ainsi que celles concernant les informations qui doivent être fournies à la Commission (par exemple, PNO, rapports journaliers, licence de pêche, autorisations, zones d'entrée/sortie, transmissions des carnets de pêche...)</t>
  </si>
  <si>
    <t>Indicar las obligaciones de comunicación de datos estipuladas en el acuerdo, incluidas las que existen entre las Partes implicadas, así como las relativas a la información que debe facilitarse a la Comisión (por ejemplo, PNO, informes diarios, licencia de pesca, autorizaciones, zonas de entrada/salida, transmisiones del cuaderno de pesca...)</t>
  </si>
  <si>
    <t>Pour toute note pertinente (non couverte dans les autres champs)</t>
  </si>
  <si>
    <t>Para cualquier nota relevante (no cubierta por los demás campos)</t>
  </si>
  <si>
    <t>Information obligatoire (accords d'accès)</t>
  </si>
  <si>
    <t>Información obligatoria (acuerdos de acceso)</t>
  </si>
  <si>
    <t>Activités de pêche autorisées</t>
  </si>
  <si>
    <t>Actividades pesqueras autorizadas</t>
  </si>
  <si>
    <t>Types d'engins de pêche autorisés dans l'accord</t>
  </si>
  <si>
    <t>Tipos de artes de pesca autorizados en el acuerdo</t>
  </si>
  <si>
    <t>Nombre de navires autorisés dans l'accord</t>
  </si>
  <si>
    <t>Número de buques autorizados en el acuerdo</t>
  </si>
  <si>
    <t>Especies (cód)</t>
  </si>
  <si>
    <t>Espèces dont la capture est autorisée dans l'accord (seules les espèces principales sont incluses)</t>
  </si>
  <si>
    <t>Especies que está autorizado capturar en el marco del acuerdo (solo las especies principales)</t>
  </si>
  <si>
    <t>Volume autorisé (t)</t>
  </si>
  <si>
    <t>Cantidad autorizada (t)</t>
  </si>
  <si>
    <t>Quantité (en t) don’t la capture est autorisée dans l'accord</t>
  </si>
  <si>
    <t>Cantidad (en t) que está autorizado capturar en el marco del acuerdo</t>
  </si>
  <si>
    <t>Quota de la CPC (t)</t>
  </si>
  <si>
    <t>Cuota de la CPC (t)</t>
  </si>
  <si>
    <t>Quota ou limite de capture de la CPC en t à laquelle la capture sera appliquée dans l’accord</t>
  </si>
  <si>
    <t>Cuota o límite de captura en t de la CPC a la que se aplicará la captura en este acuerdo</t>
  </si>
  <si>
    <t>Résumé des activités (1000 caractères  max.)</t>
  </si>
  <si>
    <t>Resumen de actividades (máx. 1.000 caracteres)</t>
  </si>
  <si>
    <t>Informations obligatoires (résumé des activités)</t>
  </si>
  <si>
    <t>Información obligatoria (resumen de actividades)</t>
  </si>
  <si>
    <t>Activités de pêche réalisées</t>
  </si>
  <si>
    <t>Actividades pesqueras realizadas</t>
  </si>
  <si>
    <t>Engin (code)</t>
  </si>
  <si>
    <t>Types d'engins utilisés lors de l'exercice de l'activité de pêche</t>
  </si>
  <si>
    <t>Tipos de artes utilizados al realizar la actvidad pesuera</t>
  </si>
  <si>
    <t>Nº navires</t>
  </si>
  <si>
    <t>Nombre de navires ayant exercé l'activité de pêche</t>
  </si>
  <si>
    <t>Número de buques que realizaron la actividad pesquera</t>
  </si>
  <si>
    <t>Espèces (code)</t>
  </si>
  <si>
    <t>Espèces capturées pendant l'activité de pêche (toutes espèces confondues)</t>
  </si>
  <si>
    <t>Especies capturadas durante la actividad pesquera (todas las especies incluidas)</t>
  </si>
  <si>
    <t>Quantité en tonnes capturée pendant l'activité de pêche</t>
  </si>
  <si>
    <t>Cantidad en toneladas capturada durante la actividad pesquera</t>
  </si>
  <si>
    <t>Quota ou limite de capture en t de la CPC à laquelle la capture sera appliquée après la fin de l'activité de pêche</t>
  </si>
  <si>
    <t>Cuota o límite de captura en t de la CPC a la que se aplicará la captura tras el final de la actividad pesquera</t>
  </si>
  <si>
    <t>Recommendation for users with databases: To paste an entire dataset into the Detail section (it must have the same structure and format) use "Paste special (values)"</t>
  </si>
  <si>
    <t>If no information is collected, leave the fileds "blank"</t>
  </si>
  <si>
    <t>Desde</t>
  </si>
  <si>
    <t>Obligaciones de comunicación de datos estipuladas en el acuerdo, entre las Partes implicadas e información que debe facilitarse a la Comisión (máx. 1.000 caracteres)</t>
  </si>
  <si>
    <t>LL</t>
  </si>
  <si>
    <t>Longline</t>
  </si>
  <si>
    <t>ENG</t>
  </si>
  <si>
    <t>EU-Austria</t>
  </si>
  <si>
    <t>EU-AUT</t>
  </si>
  <si>
    <t>EU-Belgium</t>
  </si>
  <si>
    <t>EU-BEL</t>
  </si>
  <si>
    <t>EU-Bulgaria</t>
  </si>
  <si>
    <t>EU-BGR</t>
  </si>
  <si>
    <t>EU-Croatia</t>
  </si>
  <si>
    <t>EU-HRV</t>
  </si>
  <si>
    <t>EU-Cyprus</t>
  </si>
  <si>
    <t>EU-CYP</t>
  </si>
  <si>
    <t>EU-Czechia</t>
  </si>
  <si>
    <t>EU-CZE</t>
  </si>
  <si>
    <t>EU-Denmark</t>
  </si>
  <si>
    <t>EU-DNK</t>
  </si>
  <si>
    <t>EU-España</t>
  </si>
  <si>
    <t>EU-ESP</t>
  </si>
  <si>
    <t>EU-Estonia</t>
  </si>
  <si>
    <t>EU-EST</t>
  </si>
  <si>
    <t>EU-Finland</t>
  </si>
  <si>
    <t>EU-FIN</t>
  </si>
  <si>
    <t>EU-France</t>
  </si>
  <si>
    <t>EU-FRA</t>
  </si>
  <si>
    <t>EU-Germany</t>
  </si>
  <si>
    <t>EU-DEU</t>
  </si>
  <si>
    <t>EU-Greece</t>
  </si>
  <si>
    <t>EU-GRC</t>
  </si>
  <si>
    <t>EU-Hungary</t>
  </si>
  <si>
    <t>EU-HUN</t>
  </si>
  <si>
    <t>EU-Ireland</t>
  </si>
  <si>
    <t>EU-IRL</t>
  </si>
  <si>
    <t>EU-Italy</t>
  </si>
  <si>
    <t>EU-ITA</t>
  </si>
  <si>
    <t>EU-Latvia</t>
  </si>
  <si>
    <t>EU-LVA</t>
  </si>
  <si>
    <t>EU-Lithuania</t>
  </si>
  <si>
    <t>EU-LTU</t>
  </si>
  <si>
    <t>EU-Luxemburg</t>
  </si>
  <si>
    <t>EU-LUX</t>
  </si>
  <si>
    <t>EU-Malta</t>
  </si>
  <si>
    <t>EU-MLT</t>
  </si>
  <si>
    <t>EU-Netherlands</t>
  </si>
  <si>
    <t>EU-NLD</t>
  </si>
  <si>
    <t>EU-Poland</t>
  </si>
  <si>
    <t>EU-POL</t>
  </si>
  <si>
    <t>EU-Portugal</t>
  </si>
  <si>
    <t>EU-PRT</t>
  </si>
  <si>
    <t>EU-Rumania</t>
  </si>
  <si>
    <t>EU-ROU</t>
  </si>
  <si>
    <t>EU-Slovakia</t>
  </si>
  <si>
    <t>EU-SVK</t>
  </si>
  <si>
    <t>EU-Slovenia</t>
  </si>
  <si>
    <t>EU-SVN</t>
  </si>
  <si>
    <t>EU-Sweden</t>
  </si>
  <si>
    <t>EU-SWE</t>
  </si>
  <si>
    <t>England</t>
  </si>
  <si>
    <t>GB-ENG</t>
  </si>
  <si>
    <t>FR-St Pierre et Miquelon</t>
  </si>
  <si>
    <t>FR-SPM</t>
  </si>
  <si>
    <t>Great Britain</t>
  </si>
  <si>
    <t>GBR</t>
  </si>
  <si>
    <t>Guinée Rep</t>
  </si>
  <si>
    <t>Korea Rep</t>
  </si>
  <si>
    <t>Northern Ireland</t>
  </si>
  <si>
    <t>GB-NIR</t>
  </si>
  <si>
    <t>S Tomé e Príncipe</t>
  </si>
  <si>
    <t>Scotland</t>
  </si>
  <si>
    <t>GB-SCT</t>
  </si>
  <si>
    <t>St Vincent and Grenadines</t>
  </si>
  <si>
    <t>UK-Bermuda</t>
  </si>
  <si>
    <t>UK-BMU</t>
  </si>
  <si>
    <t>UK-British Virgin Islands</t>
  </si>
  <si>
    <t>UK-VGB</t>
  </si>
  <si>
    <t>UK-Sta Helena</t>
  </si>
  <si>
    <t>UK-SHN</t>
  </si>
  <si>
    <t>UK-Turks and Caicos</t>
  </si>
  <si>
    <t>UK-TCA</t>
  </si>
  <si>
    <t>Wales</t>
  </si>
  <si>
    <t>GB-WLS</t>
  </si>
  <si>
    <t>Gibraltar</t>
  </si>
  <si>
    <t>GIB</t>
  </si>
  <si>
    <t>GI</t>
  </si>
  <si>
    <t>North Macedonia Rep</t>
  </si>
  <si>
    <t>San Marino</t>
  </si>
  <si>
    <t>SMR</t>
  </si>
  <si>
    <t>SM</t>
  </si>
  <si>
    <t>Sta Lucia</t>
  </si>
  <si>
    <t>Türkiye</t>
  </si>
  <si>
    <t>European Union</t>
  </si>
  <si>
    <t>EU</t>
  </si>
  <si>
    <t>2025a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</si>
</sst>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00"/>
  </numFmts>
  <fonts count="40" x14ac:knownFonts="1">
    <font>
      <sz val="11"/>
      <color theme="1"/>
      <name val="Calibri"/>
      <family val="2"/>
      <scheme val="minor"/>
    </font>
    <font>
      <u/>
      <sz val="11"/>
      <color theme="10"/>
      <name val="Calibri"/>
      <family val="2"/>
      <scheme val="minor"/>
    </font>
    <font>
      <sz val="9"/>
      <color theme="1"/>
      <name val="Calibri"/>
      <family val="2"/>
      <scheme val="minor"/>
    </font>
    <font>
      <sz val="9"/>
      <name val="Calibri"/>
      <family val="2"/>
      <scheme val="minor"/>
    </font>
    <font>
      <sz val="10"/>
      <color indexed="8"/>
      <name val="Arial"/>
      <family val="2"/>
    </font>
    <font>
      <sz val="10"/>
      <name val="Arial"/>
      <family val="2"/>
    </font>
    <font>
      <b/>
      <sz val="9"/>
      <color theme="1"/>
      <name val="Calibri"/>
      <family val="2"/>
      <scheme val="minor"/>
    </font>
    <font>
      <b/>
      <sz val="9"/>
      <color rgb="FFFF0000"/>
      <name val="Calibri"/>
      <family val="2"/>
      <scheme val="minor"/>
    </font>
    <font>
      <sz val="8"/>
      <color theme="1"/>
      <name val="Calibri"/>
      <family val="2"/>
      <scheme val="minor"/>
    </font>
    <font>
      <sz val="8"/>
      <name val="Calibri"/>
      <family val="2"/>
      <scheme val="minor"/>
    </font>
    <font>
      <u/>
      <sz val="8"/>
      <color theme="10"/>
      <name val="Calibri"/>
      <family val="2"/>
      <scheme val="minor"/>
    </font>
    <font>
      <b/>
      <sz val="8"/>
      <name val="Calibri"/>
      <family val="2"/>
      <scheme val="minor"/>
    </font>
    <font>
      <b/>
      <sz val="8"/>
      <color theme="1"/>
      <name val="Calibri"/>
      <family val="2"/>
      <scheme val="minor"/>
    </font>
    <font>
      <b/>
      <sz val="10"/>
      <name val="Calibri"/>
      <family val="2"/>
      <scheme val="minor"/>
    </font>
    <font>
      <sz val="9"/>
      <color indexed="8"/>
      <name val="Calibri"/>
      <family val="2"/>
      <scheme val="minor"/>
    </font>
    <font>
      <b/>
      <sz val="8"/>
      <color theme="0"/>
      <name val="Calibri"/>
      <family val="2"/>
      <scheme val="minor"/>
    </font>
    <font>
      <sz val="8"/>
      <color rgb="FF000000"/>
      <name val="Calibri"/>
      <family val="2"/>
      <scheme val="minor"/>
    </font>
    <font>
      <b/>
      <sz val="14"/>
      <color theme="0"/>
      <name val="Calibri"/>
      <family val="2"/>
      <scheme val="minor"/>
    </font>
    <font>
      <sz val="8"/>
      <color theme="0" tint="-4.9989318521683403E-2"/>
      <name val="Calibri"/>
      <family val="2"/>
      <scheme val="minor"/>
    </font>
    <font>
      <b/>
      <sz val="9"/>
      <color rgb="FF00B050"/>
      <name val="Calibri"/>
      <family val="2"/>
      <scheme val="minor"/>
    </font>
    <font>
      <b/>
      <u/>
      <sz val="8"/>
      <color theme="1"/>
      <name val="Calibri"/>
      <family val="2"/>
      <scheme val="minor"/>
    </font>
    <font>
      <u/>
      <sz val="8"/>
      <color rgb="FF0000FF"/>
      <name val="Calibri"/>
      <family val="2"/>
      <scheme val="minor"/>
    </font>
    <font>
      <b/>
      <sz val="8"/>
      <color theme="3"/>
      <name val="Calibri"/>
      <family val="2"/>
      <scheme val="minor"/>
    </font>
    <font>
      <sz val="9"/>
      <color rgb="FF0070C0"/>
      <name val="Calibri"/>
      <family val="2"/>
      <scheme val="minor"/>
    </font>
    <font>
      <b/>
      <sz val="9"/>
      <color rgb="FF0000FF"/>
      <name val="Calibri"/>
      <family val="2"/>
      <scheme val="minor"/>
    </font>
    <font>
      <b/>
      <sz val="8"/>
      <color rgb="FF0070C0"/>
      <name val="Calibri"/>
      <family val="2"/>
      <scheme val="minor"/>
    </font>
    <font>
      <b/>
      <u/>
      <sz val="8"/>
      <name val="Calibri"/>
      <family val="2"/>
      <scheme val="minor"/>
    </font>
    <font>
      <u/>
      <sz val="8"/>
      <color theme="1"/>
      <name val="Calibri"/>
      <family val="2"/>
      <scheme val="minor"/>
    </font>
    <font>
      <i/>
      <u/>
      <sz val="8"/>
      <name val="Calibri"/>
      <family val="2"/>
      <scheme val="minor"/>
    </font>
    <font>
      <b/>
      <sz val="8"/>
      <color rgb="FF0000FF"/>
      <name val="Calibri"/>
      <family val="2"/>
      <scheme val="minor"/>
    </font>
    <font>
      <b/>
      <sz val="11"/>
      <name val="Calibri"/>
      <family val="2"/>
      <scheme val="minor"/>
    </font>
    <font>
      <sz val="9"/>
      <name val="Times New Roman"/>
      <family val="1"/>
    </font>
    <font>
      <sz val="9"/>
      <color rgb="FFFF0000"/>
      <name val="Times New Roman"/>
      <family val="1"/>
    </font>
    <font>
      <b/>
      <sz val="9"/>
      <color theme="0"/>
      <name val="Calibri"/>
      <family val="2"/>
      <scheme val="minor"/>
    </font>
    <font>
      <b/>
      <sz val="10"/>
      <color theme="0"/>
      <name val="Calibri"/>
      <family val="2"/>
      <scheme val="minor"/>
    </font>
    <font>
      <b/>
      <sz val="9"/>
      <name val="Calibri"/>
      <family val="2"/>
      <scheme val="minor"/>
    </font>
    <font>
      <u/>
      <sz val="8"/>
      <name val="Calibri"/>
      <family val="2"/>
      <scheme val="minor"/>
    </font>
    <font>
      <sz val="9"/>
      <color rgb="FF00000A"/>
      <name val="Times New Roman"/>
      <family val="1"/>
    </font>
    <font>
      <b/>
      <sz val="15"/>
      <color rgb="FF0070C0"/>
      <name val="Calibri"/>
      <family val="2"/>
      <scheme val="minor"/>
    </font>
    <font>
      <b/>
      <sz val="9"/>
      <color rgb="FF0070C0"/>
      <name val="Calibri"/>
      <family val="2"/>
      <scheme val="minor"/>
    </font>
  </fonts>
  <fills count="14">
    <fill>
      <patternFill patternType="none"/>
    </fill>
    <fill>
      <patternFill patternType="gray125"/>
    </fill>
    <fill>
      <patternFill patternType="solid">
        <fgColor theme="6" tint="0.39997558519241921"/>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3" tint="0.39997558519241921"/>
        <bgColor indexed="64"/>
      </patternFill>
    </fill>
    <fill>
      <patternFill patternType="solid">
        <fgColor theme="6" tint="0.59999389629810485"/>
        <bgColor indexed="0"/>
      </patternFill>
    </fill>
    <fill>
      <patternFill patternType="solid">
        <fgColor rgb="FF00B0F0"/>
        <bgColor indexed="64"/>
      </patternFill>
    </fill>
    <fill>
      <patternFill patternType="solid">
        <fgColor rgb="FFFFFF00"/>
        <bgColor indexed="64"/>
      </patternFill>
    </fill>
    <fill>
      <patternFill patternType="solid">
        <fgColor theme="6" tint="0.79998168889431442"/>
        <bgColor theme="6" tint="0.79998168889431442"/>
      </patternFill>
    </fill>
    <fill>
      <patternFill patternType="solid">
        <fgColor theme="7"/>
        <bgColor theme="7"/>
      </patternFill>
    </fill>
    <fill>
      <patternFill patternType="solid">
        <fgColor theme="6" tint="0.59999389629810485"/>
        <bgColor theme="4" tint="0.79998168889431442"/>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theme="7" tint="0.39997558519241921"/>
      </top>
      <bottom/>
      <diagonal/>
    </border>
    <border>
      <left style="medium">
        <color theme="6" tint="-0.24994659260841701"/>
      </left>
      <right/>
      <top style="medium">
        <color theme="6" tint="-0.24994659260841701"/>
      </top>
      <bottom/>
      <diagonal/>
    </border>
    <border>
      <left/>
      <right/>
      <top style="medium">
        <color theme="6" tint="-0.24994659260841701"/>
      </top>
      <bottom/>
      <diagonal/>
    </border>
    <border>
      <left style="medium">
        <color theme="6" tint="-0.24994659260841701"/>
      </left>
      <right/>
      <top/>
      <bottom/>
      <diagonal/>
    </border>
    <border>
      <left style="medium">
        <color theme="6" tint="-0.24994659260841701"/>
      </left>
      <right/>
      <top/>
      <bottom style="medium">
        <color theme="6" tint="0.79998168889431442"/>
      </bottom>
      <diagonal/>
    </border>
    <border>
      <left/>
      <right/>
      <top/>
      <bottom style="medium">
        <color theme="6" tint="0.79998168889431442"/>
      </bottom>
      <diagonal/>
    </border>
    <border>
      <left/>
      <right/>
      <top style="thin">
        <color theme="7"/>
      </top>
      <bottom/>
      <diagonal/>
    </border>
    <border>
      <left/>
      <right style="thin">
        <color theme="7"/>
      </right>
      <top style="thin">
        <color theme="7"/>
      </top>
      <bottom/>
      <diagonal/>
    </border>
    <border>
      <left style="thin">
        <color theme="7"/>
      </left>
      <right/>
      <top style="thin">
        <color theme="7"/>
      </top>
      <bottom/>
      <diagonal/>
    </border>
    <border>
      <left style="thin">
        <color theme="6"/>
      </left>
      <right/>
      <top style="thin">
        <color theme="6"/>
      </top>
      <bottom/>
      <diagonal/>
    </border>
    <border>
      <left style="thin">
        <color theme="6"/>
      </left>
      <right/>
      <top style="medium">
        <color theme="6"/>
      </top>
      <bottom/>
      <diagonal/>
    </border>
    <border>
      <left style="thin">
        <color theme="7" tint="0.39997558519241921"/>
      </left>
      <right/>
      <top style="thin">
        <color theme="7" tint="0.39997558519241921"/>
      </top>
      <bottom/>
      <diagonal/>
    </border>
    <border>
      <left style="thin">
        <color theme="7"/>
      </left>
      <right/>
      <top style="thin">
        <color theme="7" tint="0.39997558519241921"/>
      </top>
      <bottom/>
      <diagonal/>
    </border>
    <border>
      <left/>
      <right style="thin">
        <color theme="7"/>
      </right>
      <top style="thin">
        <color theme="7" tint="0.39997558519241921"/>
      </top>
      <bottom/>
      <diagonal/>
    </border>
    <border>
      <left/>
      <right style="thin">
        <color theme="7" tint="0.39997558519241921"/>
      </right>
      <top style="thin">
        <color theme="7" tint="0.39997558519241921"/>
      </top>
      <bottom/>
      <diagonal/>
    </border>
    <border>
      <left style="thin">
        <color theme="7"/>
      </left>
      <right/>
      <top style="thin">
        <color theme="7"/>
      </top>
      <bottom style="thin">
        <color theme="7"/>
      </bottom>
      <diagonal/>
    </border>
    <border>
      <left/>
      <right/>
      <top style="thin">
        <color theme="7"/>
      </top>
      <bottom style="thin">
        <color theme="7"/>
      </bottom>
      <diagonal/>
    </border>
    <border>
      <left/>
      <right style="thin">
        <color theme="7"/>
      </right>
      <top style="thin">
        <color theme="7"/>
      </top>
      <bottom style="thin">
        <color theme="7"/>
      </bottom>
      <diagonal/>
    </border>
    <border>
      <left/>
      <right style="medium">
        <color theme="6" tint="0.79995117038483843"/>
      </right>
      <top style="medium">
        <color theme="6" tint="-0.24994659260841701"/>
      </top>
      <bottom/>
      <diagonal/>
    </border>
    <border>
      <left/>
      <right style="medium">
        <color theme="6" tint="0.79995117038483843"/>
      </right>
      <top/>
      <bottom/>
      <diagonal/>
    </border>
    <border>
      <left/>
      <right style="medium">
        <color theme="6" tint="0.79995117038483843"/>
      </right>
      <top/>
      <bottom style="medium">
        <color theme="6" tint="0.79998168889431442"/>
      </bottom>
      <diagonal/>
    </border>
    <border>
      <left/>
      <right/>
      <top style="thin">
        <color theme="6"/>
      </top>
      <bottom/>
      <diagonal/>
    </border>
    <border>
      <left/>
      <right/>
      <top style="medium">
        <color theme="6"/>
      </top>
      <bottom/>
      <diagonal/>
    </border>
    <border>
      <left style="thin">
        <color theme="6"/>
      </left>
      <right/>
      <top/>
      <bottom/>
      <diagonal/>
    </border>
    <border>
      <left style="thin">
        <color theme="6"/>
      </left>
      <right style="thin">
        <color theme="6"/>
      </right>
      <top/>
      <bottom/>
      <diagonal/>
    </border>
  </borders>
  <cellStyleXfs count="4">
    <xf numFmtId="0" fontId="0" fillId="0" borderId="0"/>
    <xf numFmtId="0" fontId="1" fillId="0" borderId="0" applyNumberFormat="0" applyFill="0" applyBorder="0" applyAlignment="0" applyProtection="0"/>
    <xf numFmtId="0" fontId="4" fillId="0" borderId="0"/>
    <xf numFmtId="0" fontId="5" fillId="0" borderId="0"/>
  </cellStyleXfs>
  <cellXfs count="266">
    <xf numFmtId="0" fontId="0" fillId="0" borderId="0" xfId="0"/>
    <xf numFmtId="0" fontId="7" fillId="0" borderId="8" xfId="0" applyFont="1" applyBorder="1" applyAlignment="1" applyProtection="1">
      <alignment horizontal="center" vertical="top"/>
      <protection locked="0"/>
    </xf>
    <xf numFmtId="0" fontId="2" fillId="0" borderId="0" xfId="0" applyFont="1" applyAlignment="1" applyProtection="1">
      <alignment vertical="top"/>
      <protection locked="0"/>
    </xf>
    <xf numFmtId="0" fontId="0" fillId="0" borderId="0" xfId="0" applyAlignment="1" applyProtection="1">
      <alignment vertical="top"/>
      <protection locked="0"/>
    </xf>
    <xf numFmtId="0" fontId="2" fillId="0" borderId="0" xfId="0" applyFont="1" applyAlignment="1" applyProtection="1">
      <alignment vertical="top"/>
      <protection hidden="1"/>
    </xf>
    <xf numFmtId="0" fontId="0" fillId="0" borderId="0" xfId="0" applyAlignment="1" applyProtection="1">
      <alignment vertical="top"/>
      <protection hidden="1"/>
    </xf>
    <xf numFmtId="0" fontId="9" fillId="0" borderId="0" xfId="0" applyFont="1" applyAlignment="1" applyProtection="1">
      <alignment vertical="top" wrapText="1"/>
      <protection hidden="1"/>
    </xf>
    <xf numFmtId="0" fontId="8" fillId="0" borderId="0" xfId="0" applyFont="1" applyAlignment="1" applyProtection="1">
      <alignment vertical="top"/>
      <protection hidden="1"/>
    </xf>
    <xf numFmtId="0" fontId="8" fillId="4" borderId="2" xfId="0" applyFont="1" applyFill="1" applyBorder="1" applyAlignment="1" applyProtection="1">
      <alignment vertical="top"/>
      <protection hidden="1"/>
    </xf>
    <xf numFmtId="0" fontId="8" fillId="4" borderId="6" xfId="0" applyFont="1" applyFill="1" applyBorder="1" applyAlignment="1" applyProtection="1">
      <alignment vertical="top"/>
      <protection hidden="1"/>
    </xf>
    <xf numFmtId="0" fontId="18" fillId="0" borderId="0" xfId="0" applyFont="1" applyAlignment="1" applyProtection="1">
      <alignment vertical="top"/>
      <protection hidden="1"/>
    </xf>
    <xf numFmtId="0" fontId="6" fillId="4" borderId="2" xfId="0" applyFont="1" applyFill="1" applyBorder="1" applyAlignment="1" applyProtection="1">
      <alignment horizontal="center" vertical="top"/>
      <protection hidden="1"/>
    </xf>
    <xf numFmtId="0" fontId="6" fillId="4" borderId="3" xfId="0" applyFont="1" applyFill="1" applyBorder="1" applyAlignment="1" applyProtection="1">
      <alignment horizontal="center" vertical="top"/>
      <protection hidden="1"/>
    </xf>
    <xf numFmtId="0" fontId="19" fillId="4" borderId="7" xfId="0" applyFont="1" applyFill="1" applyBorder="1" applyAlignment="1" applyProtection="1">
      <alignment horizontal="center" vertical="top"/>
      <protection hidden="1"/>
    </xf>
    <xf numFmtId="0" fontId="8" fillId="4" borderId="8" xfId="0" applyFont="1" applyFill="1" applyBorder="1" applyAlignment="1" applyProtection="1">
      <alignment vertical="top"/>
      <protection hidden="1"/>
    </xf>
    <xf numFmtId="0" fontId="8" fillId="4" borderId="7" xfId="0" applyFont="1" applyFill="1" applyBorder="1" applyAlignment="1" applyProtection="1">
      <alignment vertical="top"/>
      <protection hidden="1"/>
    </xf>
    <xf numFmtId="0" fontId="15" fillId="4" borderId="0" xfId="0" applyFont="1" applyFill="1" applyAlignment="1" applyProtection="1">
      <alignment vertical="top"/>
      <protection hidden="1"/>
    </xf>
    <xf numFmtId="0" fontId="2" fillId="0" borderId="0" xfId="0" applyFont="1" applyProtection="1">
      <protection hidden="1"/>
    </xf>
    <xf numFmtId="0" fontId="25" fillId="4" borderId="2" xfId="0" applyFont="1" applyFill="1" applyBorder="1" applyAlignment="1" applyProtection="1">
      <alignment horizontal="center" vertical="top"/>
      <protection hidden="1"/>
    </xf>
    <xf numFmtId="0" fontId="8" fillId="4" borderId="0" xfId="0" applyFont="1" applyFill="1" applyAlignment="1" applyProtection="1">
      <alignment vertical="top" wrapText="1"/>
      <protection hidden="1"/>
    </xf>
    <xf numFmtId="0" fontId="8" fillId="4" borderId="5" xfId="0" applyFont="1" applyFill="1" applyBorder="1" applyAlignment="1" applyProtection="1">
      <alignment vertical="top"/>
      <protection hidden="1"/>
    </xf>
    <xf numFmtId="0" fontId="25" fillId="4" borderId="0" xfId="0" applyFont="1" applyFill="1" applyAlignment="1" applyProtection="1">
      <alignment horizontal="center" vertical="top"/>
      <protection hidden="1"/>
    </xf>
    <xf numFmtId="0" fontId="8" fillId="4" borderId="0" xfId="0" applyFont="1" applyFill="1" applyAlignment="1" applyProtection="1">
      <alignment horizontal="center" vertical="top"/>
      <protection hidden="1"/>
    </xf>
    <xf numFmtId="0" fontId="8" fillId="4" borderId="10" xfId="0" applyFont="1" applyFill="1" applyBorder="1" applyAlignment="1" applyProtection="1">
      <alignment vertical="top" wrapText="1" shrinkToFit="1"/>
      <protection hidden="1"/>
    </xf>
    <xf numFmtId="0" fontId="10" fillId="4" borderId="10" xfId="1" applyFont="1" applyFill="1" applyBorder="1" applyAlignment="1" applyProtection="1">
      <alignment vertical="top" wrapText="1" shrinkToFit="1"/>
      <protection hidden="1"/>
    </xf>
    <xf numFmtId="49" fontId="8" fillId="4" borderId="0" xfId="0" applyNumberFormat="1" applyFont="1" applyFill="1" applyAlignment="1" applyProtection="1">
      <alignment vertical="top"/>
      <protection hidden="1"/>
    </xf>
    <xf numFmtId="0" fontId="8" fillId="4" borderId="7" xfId="0" applyFont="1" applyFill="1" applyBorder="1" applyAlignment="1" applyProtection="1">
      <alignment horizontal="center" vertical="top"/>
      <protection hidden="1"/>
    </xf>
    <xf numFmtId="0" fontId="28" fillId="4" borderId="6" xfId="0" applyFont="1" applyFill="1" applyBorder="1" applyAlignment="1" applyProtection="1">
      <alignment vertical="top"/>
      <protection hidden="1"/>
    </xf>
    <xf numFmtId="0" fontId="9" fillId="0" borderId="0" xfId="0" applyFont="1" applyAlignment="1" applyProtection="1">
      <alignment vertical="top"/>
      <protection locked="0"/>
    </xf>
    <xf numFmtId="0" fontId="8" fillId="0" borderId="0" xfId="0" applyFont="1" applyAlignment="1" applyProtection="1">
      <alignment vertical="top"/>
      <protection locked="0"/>
    </xf>
    <xf numFmtId="0" fontId="10" fillId="4" borderId="19" xfId="1" applyFont="1" applyFill="1" applyBorder="1" applyAlignment="1" applyProtection="1">
      <alignment horizontal="center" vertical="center"/>
      <protection hidden="1"/>
    </xf>
    <xf numFmtId="0" fontId="9" fillId="0" borderId="0" xfId="0" applyFont="1" applyAlignment="1" applyProtection="1">
      <alignment vertical="center" wrapText="1"/>
      <protection hidden="1"/>
    </xf>
    <xf numFmtId="0" fontId="8" fillId="4" borderId="5" xfId="0" applyFont="1" applyFill="1" applyBorder="1" applyAlignment="1" applyProtection="1">
      <alignment vertical="center"/>
      <protection hidden="1"/>
    </xf>
    <xf numFmtId="0" fontId="11" fillId="4" borderId="7" xfId="0" applyFont="1" applyFill="1" applyBorder="1" applyAlignment="1" applyProtection="1">
      <alignment horizontal="center" vertical="top"/>
      <protection hidden="1"/>
    </xf>
    <xf numFmtId="0" fontId="11" fillId="4" borderId="8" xfId="0" applyFont="1" applyFill="1" applyBorder="1" applyAlignment="1" applyProtection="1">
      <alignment horizontal="center" vertical="top"/>
      <protection hidden="1"/>
    </xf>
    <xf numFmtId="0" fontId="26" fillId="0" borderId="0" xfId="0" applyFont="1" applyAlignment="1" applyProtection="1">
      <alignment horizontal="center" vertical="top"/>
      <protection hidden="1"/>
    </xf>
    <xf numFmtId="0" fontId="9" fillId="0" borderId="0" xfId="3" applyFont="1" applyAlignment="1" applyProtection="1">
      <alignment vertical="top"/>
      <protection hidden="1"/>
    </xf>
    <xf numFmtId="0" fontId="9" fillId="0" borderId="0" xfId="3" applyFont="1" applyAlignment="1" applyProtection="1">
      <alignment vertical="top" wrapText="1"/>
      <protection hidden="1"/>
    </xf>
    <xf numFmtId="0" fontId="9" fillId="0" borderId="0" xfId="0" applyFont="1" applyAlignment="1" applyProtection="1">
      <alignment horizontal="center" vertical="top" wrapText="1"/>
      <protection hidden="1"/>
    </xf>
    <xf numFmtId="0" fontId="11" fillId="6" borderId="13" xfId="0" applyFont="1" applyFill="1" applyBorder="1" applyAlignment="1" applyProtection="1">
      <alignment vertical="top" wrapText="1"/>
      <protection hidden="1"/>
    </xf>
    <xf numFmtId="0" fontId="11" fillId="6" borderId="13" xfId="0" applyFont="1" applyFill="1" applyBorder="1" applyAlignment="1" applyProtection="1">
      <alignment horizontal="center" vertical="top" wrapText="1"/>
      <protection hidden="1"/>
    </xf>
    <xf numFmtId="0" fontId="26" fillId="0" borderId="0" xfId="0" applyFont="1" applyAlignment="1" applyProtection="1">
      <alignment horizontal="left" vertical="top"/>
      <protection hidden="1"/>
    </xf>
    <xf numFmtId="0" fontId="9" fillId="0" borderId="0" xfId="0" applyFont="1" applyAlignment="1" applyProtection="1">
      <alignment horizontal="left" vertical="top" wrapText="1"/>
      <protection hidden="1"/>
    </xf>
    <xf numFmtId="0" fontId="11" fillId="6" borderId="13" xfId="0" applyFont="1" applyFill="1" applyBorder="1" applyAlignment="1" applyProtection="1">
      <alignment horizontal="left" vertical="top" wrapText="1"/>
      <protection hidden="1"/>
    </xf>
    <xf numFmtId="0" fontId="9" fillId="0" borderId="11" xfId="0" applyFont="1" applyBorder="1" applyAlignment="1" applyProtection="1">
      <alignment horizontal="left" vertical="top" wrapText="1"/>
      <protection hidden="1"/>
    </xf>
    <xf numFmtId="0" fontId="8" fillId="0" borderId="11" xfId="0" applyFont="1" applyBorder="1" applyAlignment="1" applyProtection="1">
      <alignment horizontal="left" vertical="top" wrapText="1"/>
      <protection hidden="1"/>
    </xf>
    <xf numFmtId="0" fontId="8" fillId="4" borderId="11" xfId="0" applyFont="1" applyFill="1" applyBorder="1" applyAlignment="1" applyProtection="1">
      <alignment horizontal="left" vertical="top" wrapText="1" shrinkToFit="1"/>
      <protection hidden="1"/>
    </xf>
    <xf numFmtId="0" fontId="10" fillId="4" borderId="11" xfId="1" applyFont="1" applyFill="1" applyBorder="1" applyAlignment="1" applyProtection="1">
      <alignment horizontal="left" vertical="top" wrapText="1" shrinkToFit="1"/>
      <protection hidden="1"/>
    </xf>
    <xf numFmtId="0" fontId="8" fillId="0" borderId="0" xfId="0" applyFont="1" applyAlignment="1" applyProtection="1">
      <alignment horizontal="center" vertical="top"/>
      <protection hidden="1"/>
    </xf>
    <xf numFmtId="164" fontId="9" fillId="4" borderId="0" xfId="0" applyNumberFormat="1" applyFont="1" applyFill="1" applyAlignment="1" applyProtection="1">
      <alignment vertical="center"/>
      <protection hidden="1"/>
    </xf>
    <xf numFmtId="164" fontId="9" fillId="4" borderId="8" xfId="0" applyNumberFormat="1" applyFont="1" applyFill="1" applyBorder="1" applyAlignment="1" applyProtection="1">
      <alignment vertical="center"/>
      <protection hidden="1"/>
    </xf>
    <xf numFmtId="0" fontId="8" fillId="4" borderId="5" xfId="0" applyFont="1" applyFill="1" applyBorder="1" applyAlignment="1" applyProtection="1">
      <alignment vertical="top" wrapText="1"/>
      <protection hidden="1"/>
    </xf>
    <xf numFmtId="0" fontId="2" fillId="0" borderId="0" xfId="0" applyFont="1" applyAlignment="1">
      <alignment vertical="top" wrapText="1"/>
    </xf>
    <xf numFmtId="0" fontId="3" fillId="0" borderId="0" xfId="0" applyFont="1" applyAlignment="1" applyProtection="1">
      <alignment vertical="top"/>
      <protection hidden="1"/>
    </xf>
    <xf numFmtId="0" fontId="31" fillId="0" borderId="0" xfId="3" applyFont="1" applyAlignment="1" applyProtection="1">
      <alignment vertical="top"/>
      <protection hidden="1"/>
    </xf>
    <xf numFmtId="0" fontId="32" fillId="0" borderId="0" xfId="3" applyFont="1" applyAlignment="1" applyProtection="1">
      <alignment vertical="top"/>
      <protection hidden="1"/>
    </xf>
    <xf numFmtId="0" fontId="33" fillId="0" borderId="0" xfId="0" applyFont="1" applyAlignment="1" applyProtection="1">
      <alignment vertical="top" wrapText="1"/>
      <protection hidden="1"/>
    </xf>
    <xf numFmtId="0" fontId="8" fillId="0" borderId="1" xfId="0" applyFont="1" applyBorder="1" applyAlignment="1" applyProtection="1">
      <alignment horizontal="left" vertical="top" wrapText="1"/>
      <protection hidden="1"/>
    </xf>
    <xf numFmtId="0" fontId="27" fillId="4" borderId="13" xfId="0" applyFont="1" applyFill="1" applyBorder="1" applyAlignment="1" applyProtection="1">
      <alignment horizontal="center" vertical="top"/>
      <protection hidden="1"/>
    </xf>
    <xf numFmtId="0" fontId="8" fillId="0" borderId="22" xfId="0" applyFont="1" applyBorder="1" applyAlignment="1">
      <alignment vertical="top" wrapText="1"/>
    </xf>
    <xf numFmtId="164" fontId="9" fillId="4" borderId="15" xfId="0" applyNumberFormat="1" applyFont="1" applyFill="1" applyBorder="1" applyAlignment="1" applyProtection="1">
      <alignment horizontal="center" vertical="center"/>
      <protection hidden="1"/>
    </xf>
    <xf numFmtId="0" fontId="8" fillId="3" borderId="0" xfId="0" applyFont="1" applyFill="1" applyAlignment="1" applyProtection="1">
      <alignment vertical="top"/>
      <protection locked="0"/>
    </xf>
    <xf numFmtId="0" fontId="14" fillId="8" borderId="1" xfId="2" applyFont="1" applyFill="1" applyBorder="1" applyProtection="1">
      <protection hidden="1"/>
    </xf>
    <xf numFmtId="0" fontId="14" fillId="8" borderId="2" xfId="2" applyFont="1" applyFill="1" applyBorder="1" applyProtection="1">
      <protection hidden="1"/>
    </xf>
    <xf numFmtId="0" fontId="14" fillId="8" borderId="3" xfId="2" applyFont="1" applyFill="1" applyBorder="1" applyProtection="1">
      <protection hidden="1"/>
    </xf>
    <xf numFmtId="0" fontId="2" fillId="0" borderId="4" xfId="0" applyFont="1" applyBorder="1" applyProtection="1">
      <protection hidden="1"/>
    </xf>
    <xf numFmtId="0" fontId="2" fillId="0" borderId="5" xfId="0" applyFont="1" applyBorder="1" applyProtection="1">
      <protection hidden="1"/>
    </xf>
    <xf numFmtId="0" fontId="2" fillId="0" borderId="6" xfId="0" applyFont="1" applyBorder="1" applyProtection="1">
      <protection hidden="1"/>
    </xf>
    <xf numFmtId="0" fontId="2" fillId="0" borderId="8" xfId="0" applyFont="1" applyBorder="1" applyProtection="1">
      <protection hidden="1"/>
    </xf>
    <xf numFmtId="0" fontId="3" fillId="4" borderId="1" xfId="0" applyFont="1" applyFill="1" applyBorder="1" applyAlignment="1" applyProtection="1">
      <alignment vertical="top"/>
      <protection hidden="1"/>
    </xf>
    <xf numFmtId="0" fontId="3" fillId="4" borderId="2" xfId="0" applyFont="1" applyFill="1" applyBorder="1" applyAlignment="1" applyProtection="1">
      <alignment vertical="top"/>
      <protection hidden="1"/>
    </xf>
    <xf numFmtId="0" fontId="3" fillId="4" borderId="3" xfId="0" applyFont="1" applyFill="1" applyBorder="1" applyAlignment="1" applyProtection="1">
      <alignment vertical="top"/>
      <protection hidden="1"/>
    </xf>
    <xf numFmtId="0" fontId="3" fillId="0" borderId="6" xfId="0" applyFont="1" applyBorder="1" applyProtection="1">
      <protection hidden="1"/>
    </xf>
    <xf numFmtId="0" fontId="3" fillId="0" borderId="0" xfId="0" applyFont="1" applyProtection="1">
      <protection hidden="1"/>
    </xf>
    <xf numFmtId="0" fontId="15" fillId="12" borderId="24" xfId="0" applyFont="1" applyFill="1" applyBorder="1" applyAlignment="1">
      <alignment vertical="top" wrapText="1"/>
    </xf>
    <xf numFmtId="0" fontId="15" fillId="12" borderId="22" xfId="0" applyFont="1" applyFill="1" applyBorder="1" applyAlignment="1">
      <alignment vertical="top" wrapText="1"/>
    </xf>
    <xf numFmtId="0" fontId="15" fillId="12" borderId="16" xfId="0" applyFont="1" applyFill="1" applyBorder="1" applyAlignment="1">
      <alignment vertical="top" wrapText="1"/>
    </xf>
    <xf numFmtId="0" fontId="15" fillId="12" borderId="23" xfId="0" applyFont="1" applyFill="1" applyBorder="1" applyAlignment="1">
      <alignment vertical="top" wrapText="1"/>
    </xf>
    <xf numFmtId="0" fontId="8" fillId="0" borderId="24" xfId="0" applyFont="1" applyBorder="1" applyAlignment="1">
      <alignment vertical="top" wrapText="1"/>
    </xf>
    <xf numFmtId="0" fontId="9" fillId="0" borderId="24" xfId="0" applyFont="1" applyBorder="1" applyAlignment="1">
      <alignment vertical="top" wrapText="1"/>
    </xf>
    <xf numFmtId="0" fontId="9" fillId="0" borderId="22" xfId="0" applyFont="1" applyBorder="1" applyAlignment="1">
      <alignment vertical="top" wrapText="1"/>
    </xf>
    <xf numFmtId="0" fontId="9" fillId="0" borderId="24" xfId="0" applyFont="1" applyBorder="1" applyAlignment="1">
      <alignment vertical="top" wrapText="1" shrinkToFit="1"/>
    </xf>
    <xf numFmtId="0" fontId="8" fillId="0" borderId="27" xfId="0" applyFont="1" applyBorder="1" applyAlignment="1">
      <alignment vertical="top" wrapText="1" shrinkToFit="1"/>
    </xf>
    <xf numFmtId="0" fontId="8" fillId="0" borderId="16" xfId="0" applyFont="1" applyBorder="1" applyAlignment="1">
      <alignment vertical="top" wrapText="1"/>
    </xf>
    <xf numFmtId="0" fontId="9" fillId="0" borderId="28" xfId="0" applyFont="1" applyBorder="1" applyAlignment="1">
      <alignment vertical="top" wrapText="1" shrinkToFit="1"/>
    </xf>
    <xf numFmtId="0" fontId="9" fillId="0" borderId="16" xfId="0" applyFont="1" applyBorder="1" applyAlignment="1">
      <alignment vertical="top" wrapText="1"/>
    </xf>
    <xf numFmtId="0" fontId="8" fillId="0" borderId="28" xfId="0" applyFont="1" applyBorder="1" applyAlignment="1">
      <alignment vertical="top" wrapText="1"/>
    </xf>
    <xf numFmtId="0" fontId="8" fillId="0" borderId="23" xfId="0" applyFont="1" applyBorder="1" applyAlignment="1">
      <alignment vertical="top" wrapText="1"/>
    </xf>
    <xf numFmtId="0" fontId="8" fillId="0" borderId="27" xfId="0" applyFont="1" applyBorder="1" applyAlignment="1">
      <alignment vertical="top" wrapText="1"/>
    </xf>
    <xf numFmtId="0" fontId="8" fillId="0" borderId="31" xfId="0" applyFont="1" applyBorder="1" applyAlignment="1">
      <alignment vertical="top" wrapText="1"/>
    </xf>
    <xf numFmtId="0" fontId="8" fillId="0" borderId="32" xfId="0" applyFont="1" applyBorder="1" applyAlignment="1">
      <alignment vertical="top" wrapText="1"/>
    </xf>
    <xf numFmtId="0" fontId="8" fillId="0" borderId="33" xfId="0" applyFont="1" applyBorder="1" applyAlignment="1">
      <alignment vertical="top" wrapText="1"/>
    </xf>
    <xf numFmtId="0" fontId="27" fillId="4" borderId="0" xfId="0" applyFont="1" applyFill="1" applyProtection="1">
      <protection hidden="1"/>
    </xf>
    <xf numFmtId="0" fontId="8" fillId="0" borderId="4" xfId="0" applyFont="1" applyBorder="1" applyAlignment="1" applyProtection="1">
      <alignment vertical="top"/>
      <protection hidden="1"/>
    </xf>
    <xf numFmtId="0" fontId="8" fillId="0" borderId="5" xfId="0" applyFont="1" applyBorder="1" applyAlignment="1" applyProtection="1">
      <alignment vertical="top"/>
      <protection hidden="1"/>
    </xf>
    <xf numFmtId="0" fontId="27" fillId="4" borderId="4" xfId="0" applyFont="1" applyFill="1" applyBorder="1" applyProtection="1">
      <protection hidden="1"/>
    </xf>
    <xf numFmtId="14" fontId="8" fillId="0" borderId="0" xfId="0" applyNumberFormat="1" applyFont="1" applyAlignment="1" applyProtection="1">
      <alignment horizontal="left" vertical="top"/>
      <protection locked="0"/>
    </xf>
    <xf numFmtId="14" fontId="11" fillId="4" borderId="0" xfId="0" applyNumberFormat="1" applyFont="1" applyFill="1" applyAlignment="1" applyProtection="1">
      <alignment horizontal="left" vertical="top"/>
      <protection hidden="1"/>
    </xf>
    <xf numFmtId="0" fontId="8" fillId="4" borderId="20" xfId="0" applyFont="1" applyFill="1" applyBorder="1" applyAlignment="1" applyProtection="1">
      <alignment vertical="top" wrapText="1"/>
      <protection hidden="1"/>
    </xf>
    <xf numFmtId="0" fontId="11" fillId="4" borderId="0" xfId="0" applyFont="1" applyFill="1" applyAlignment="1" applyProtection="1">
      <alignment vertical="top" wrapText="1"/>
      <protection hidden="1"/>
    </xf>
    <xf numFmtId="0" fontId="11" fillId="4" borderId="5" xfId="0" applyFont="1" applyFill="1" applyBorder="1" applyAlignment="1" applyProtection="1">
      <alignment vertical="top" wrapText="1"/>
      <protection hidden="1"/>
    </xf>
    <xf numFmtId="0" fontId="8" fillId="0" borderId="10" xfId="0" applyFont="1" applyBorder="1" applyAlignment="1" applyProtection="1">
      <alignment horizontal="left" vertical="top" wrapText="1"/>
      <protection hidden="1"/>
    </xf>
    <xf numFmtId="0" fontId="8" fillId="0" borderId="10" xfId="0" applyFont="1" applyBorder="1" applyAlignment="1" applyProtection="1">
      <alignment horizontal="center" vertical="top" wrapText="1"/>
      <protection hidden="1"/>
    </xf>
    <xf numFmtId="0" fontId="8" fillId="0" borderId="10" xfId="0" applyFont="1" applyBorder="1" applyAlignment="1" applyProtection="1">
      <alignment vertical="top" wrapText="1"/>
      <protection hidden="1"/>
    </xf>
    <xf numFmtId="0" fontId="12" fillId="4" borderId="0" xfId="0" applyFont="1" applyFill="1" applyProtection="1">
      <protection hidden="1"/>
    </xf>
    <xf numFmtId="0" fontId="9" fillId="0" borderId="10" xfId="0" applyFont="1" applyBorder="1" applyAlignment="1" applyProtection="1">
      <alignment horizontal="center" vertical="top" wrapText="1"/>
      <protection hidden="1"/>
    </xf>
    <xf numFmtId="0" fontId="8" fillId="4" borderId="4" xfId="0" applyFont="1" applyFill="1" applyBorder="1" applyAlignment="1" applyProtection="1">
      <alignment horizontal="right" vertical="top"/>
      <protection hidden="1"/>
    </xf>
    <xf numFmtId="0" fontId="8" fillId="4" borderId="0" xfId="0" applyFont="1" applyFill="1" applyAlignment="1" applyProtection="1">
      <alignment horizontal="right" vertical="top"/>
      <protection hidden="1"/>
    </xf>
    <xf numFmtId="0" fontId="8" fillId="4" borderId="0" xfId="0" applyFont="1" applyFill="1" applyAlignment="1" applyProtection="1">
      <alignment vertical="top"/>
      <protection hidden="1"/>
    </xf>
    <xf numFmtId="49" fontId="8" fillId="0" borderId="0" xfId="0" applyNumberFormat="1" applyFont="1" applyAlignment="1" applyProtection="1">
      <alignment horizontal="left" vertical="top"/>
      <protection locked="0"/>
    </xf>
    <xf numFmtId="0" fontId="20" fillId="4" borderId="1" xfId="0" applyFont="1" applyFill="1" applyBorder="1" applyAlignment="1" applyProtection="1">
      <alignment vertical="top"/>
      <protection hidden="1"/>
    </xf>
    <xf numFmtId="0" fontId="11" fillId="4" borderId="0" xfId="0" applyFont="1" applyFill="1" applyAlignment="1" applyProtection="1">
      <alignment horizontal="left" vertical="top"/>
      <protection hidden="1"/>
    </xf>
    <xf numFmtId="0" fontId="3" fillId="13" borderId="1" xfId="0" applyFont="1" applyFill="1" applyBorder="1" applyProtection="1">
      <protection hidden="1"/>
    </xf>
    <xf numFmtId="0" fontId="3" fillId="13" borderId="2" xfId="0" applyFont="1" applyFill="1" applyBorder="1" applyProtection="1">
      <protection hidden="1"/>
    </xf>
    <xf numFmtId="0" fontId="3" fillId="13" borderId="3" xfId="0" applyFont="1" applyFill="1" applyBorder="1" applyProtection="1">
      <protection hidden="1"/>
    </xf>
    <xf numFmtId="0" fontId="3" fillId="0" borderId="4" xfId="0" applyFont="1" applyBorder="1" applyProtection="1">
      <protection hidden="1"/>
    </xf>
    <xf numFmtId="0" fontId="3" fillId="0" borderId="5" xfId="0" applyFont="1" applyBorder="1" applyProtection="1">
      <protection hidden="1"/>
    </xf>
    <xf numFmtId="0" fontId="3" fillId="0" borderId="7" xfId="0" applyFont="1" applyBorder="1" applyProtection="1">
      <protection hidden="1"/>
    </xf>
    <xf numFmtId="0" fontId="3" fillId="0" borderId="8" xfId="0" applyFont="1" applyBorder="1" applyProtection="1">
      <protection hidden="1"/>
    </xf>
    <xf numFmtId="0" fontId="3" fillId="5" borderId="5" xfId="0" applyFont="1" applyFill="1" applyBorder="1" applyProtection="1">
      <protection hidden="1"/>
    </xf>
    <xf numFmtId="0" fontId="3" fillId="0" borderId="2" xfId="0" applyFont="1" applyBorder="1" applyProtection="1">
      <protection hidden="1"/>
    </xf>
    <xf numFmtId="0" fontId="3" fillId="0" borderId="3" xfId="0" applyFont="1" applyBorder="1" applyProtection="1">
      <protection hidden="1"/>
    </xf>
    <xf numFmtId="0" fontId="2" fillId="0" borderId="7" xfId="0" applyFont="1" applyBorder="1" applyProtection="1">
      <protection hidden="1"/>
    </xf>
    <xf numFmtId="0" fontId="3" fillId="5" borderId="8" xfId="0" applyFont="1" applyFill="1" applyBorder="1" applyProtection="1">
      <protection hidden="1"/>
    </xf>
    <xf numFmtId="0" fontId="2" fillId="5" borderId="5" xfId="0" applyFont="1" applyFill="1" applyBorder="1" applyProtection="1">
      <protection hidden="1"/>
    </xf>
    <xf numFmtId="0" fontId="9" fillId="0" borderId="10" xfId="0" applyFont="1" applyBorder="1" applyAlignment="1" applyProtection="1">
      <alignment vertical="top" wrapText="1"/>
      <protection hidden="1"/>
    </xf>
    <xf numFmtId="0" fontId="9" fillId="4" borderId="0" xfId="0" applyFont="1" applyFill="1" applyAlignment="1" applyProtection="1">
      <alignment vertical="top"/>
      <protection hidden="1"/>
    </xf>
    <xf numFmtId="0" fontId="9" fillId="4" borderId="0" xfId="0" applyFont="1" applyFill="1" applyAlignment="1" applyProtection="1">
      <alignment horizontal="center" vertical="top"/>
      <protection hidden="1"/>
    </xf>
    <xf numFmtId="0" fontId="9" fillId="4" borderId="0" xfId="0" applyFont="1" applyFill="1" applyProtection="1">
      <protection hidden="1"/>
    </xf>
    <xf numFmtId="0" fontId="9" fillId="4" borderId="4" xfId="0" applyFont="1" applyFill="1" applyBorder="1" applyAlignment="1" applyProtection="1">
      <alignment horizontal="right" vertical="top"/>
      <protection hidden="1"/>
    </xf>
    <xf numFmtId="0" fontId="9" fillId="4" borderId="0" xfId="0" applyFont="1" applyFill="1" applyAlignment="1" applyProtection="1">
      <alignment horizontal="right" vertical="top"/>
      <protection hidden="1"/>
    </xf>
    <xf numFmtId="49" fontId="9" fillId="11" borderId="26" xfId="0" applyNumberFormat="1" applyFont="1" applyFill="1" applyBorder="1" applyAlignment="1" applyProtection="1">
      <alignment vertical="top" shrinkToFit="1"/>
      <protection locked="0"/>
    </xf>
    <xf numFmtId="1" fontId="9" fillId="11" borderId="26" xfId="0" applyNumberFormat="1" applyFont="1" applyFill="1" applyBorder="1" applyAlignment="1" applyProtection="1">
      <alignment vertical="top" shrinkToFit="1"/>
      <protection locked="0"/>
    </xf>
    <xf numFmtId="165" fontId="9" fillId="11" borderId="26" xfId="0" applyNumberFormat="1" applyFont="1" applyFill="1" applyBorder="1" applyAlignment="1" applyProtection="1">
      <alignment vertical="top" shrinkToFit="1"/>
      <protection locked="0"/>
    </xf>
    <xf numFmtId="49" fontId="9" fillId="0" borderId="25" xfId="0" applyNumberFormat="1" applyFont="1" applyBorder="1" applyAlignment="1" applyProtection="1">
      <alignment vertical="top" shrinkToFit="1"/>
      <protection locked="0"/>
    </xf>
    <xf numFmtId="1" fontId="9" fillId="0" borderId="25" xfId="0" applyNumberFormat="1" applyFont="1" applyBorder="1" applyAlignment="1" applyProtection="1">
      <alignment vertical="top" shrinkToFit="1"/>
      <protection locked="0"/>
    </xf>
    <xf numFmtId="165" fontId="9" fillId="0" borderId="25" xfId="0" applyNumberFormat="1" applyFont="1" applyBorder="1" applyAlignment="1" applyProtection="1">
      <alignment vertical="top" shrinkToFit="1"/>
      <protection locked="0"/>
    </xf>
    <xf numFmtId="49" fontId="9" fillId="11" borderId="25" xfId="0" applyNumberFormat="1" applyFont="1" applyFill="1" applyBorder="1" applyAlignment="1" applyProtection="1">
      <alignment vertical="top" shrinkToFit="1"/>
      <protection locked="0"/>
    </xf>
    <xf numFmtId="1" fontId="9" fillId="11" borderId="25" xfId="0" applyNumberFormat="1" applyFont="1" applyFill="1" applyBorder="1" applyAlignment="1" applyProtection="1">
      <alignment vertical="top" shrinkToFit="1"/>
      <protection locked="0"/>
    </xf>
    <xf numFmtId="165" fontId="9" fillId="11" borderId="25" xfId="0" applyNumberFormat="1" applyFont="1" applyFill="1" applyBorder="1" applyAlignment="1" applyProtection="1">
      <alignment vertical="top" shrinkToFit="1"/>
      <protection locked="0"/>
    </xf>
    <xf numFmtId="49" fontId="9" fillId="11" borderId="38" xfId="0" applyNumberFormat="1" applyFont="1" applyFill="1" applyBorder="1" applyAlignment="1" applyProtection="1">
      <alignment vertical="top" shrinkToFit="1"/>
      <protection locked="0"/>
    </xf>
    <xf numFmtId="49" fontId="9" fillId="0" borderId="37" xfId="0" applyNumberFormat="1" applyFont="1" applyBorder="1" applyAlignment="1" applyProtection="1">
      <alignment vertical="top" shrinkToFit="1"/>
      <protection locked="0"/>
    </xf>
    <xf numFmtId="49" fontId="9" fillId="11" borderId="37" xfId="0" applyNumberFormat="1" applyFont="1" applyFill="1" applyBorder="1" applyAlignment="1" applyProtection="1">
      <alignment vertical="top" shrinkToFit="1"/>
      <protection locked="0"/>
    </xf>
    <xf numFmtId="0" fontId="11" fillId="4" borderId="0" xfId="0" applyFont="1" applyFill="1" applyAlignment="1" applyProtection="1">
      <alignment vertical="top"/>
      <protection hidden="1"/>
    </xf>
    <xf numFmtId="0" fontId="11" fillId="4" borderId="39" xfId="0" applyFont="1" applyFill="1" applyBorder="1" applyAlignment="1" applyProtection="1">
      <alignment vertical="top"/>
      <protection hidden="1"/>
    </xf>
    <xf numFmtId="49" fontId="9" fillId="0" borderId="39" xfId="0" applyNumberFormat="1" applyFont="1" applyBorder="1" applyAlignment="1" applyProtection="1">
      <alignment vertical="top" shrinkToFit="1"/>
      <protection locked="0"/>
    </xf>
    <xf numFmtId="49" fontId="9" fillId="0" borderId="40" xfId="0" applyNumberFormat="1" applyFont="1" applyBorder="1" applyAlignment="1" applyProtection="1">
      <alignment vertical="top" shrinkToFit="1"/>
      <protection locked="0"/>
    </xf>
    <xf numFmtId="0" fontId="8" fillId="0" borderId="0" xfId="0" applyFont="1" applyProtection="1">
      <protection hidden="1"/>
    </xf>
    <xf numFmtId="0" fontId="8" fillId="0" borderId="3" xfId="0" applyFont="1" applyBorder="1" applyAlignment="1" applyProtection="1">
      <alignment horizontal="center" vertical="center" wrapText="1"/>
      <protection hidden="1"/>
    </xf>
    <xf numFmtId="0" fontId="8" fillId="0" borderId="5" xfId="0" applyFont="1" applyBorder="1" applyAlignment="1" applyProtection="1">
      <alignment horizontal="center" vertical="center" wrapText="1"/>
      <protection hidden="1"/>
    </xf>
    <xf numFmtId="0" fontId="8" fillId="0" borderId="8" xfId="0" applyFont="1" applyBorder="1" applyAlignment="1" applyProtection="1">
      <alignment horizontal="center" vertical="center" wrapText="1"/>
      <protection hidden="1"/>
    </xf>
    <xf numFmtId="0" fontId="12" fillId="9" borderId="12" xfId="0" applyFont="1" applyFill="1" applyBorder="1" applyAlignment="1" applyProtection="1">
      <alignment vertical="center" wrapText="1"/>
      <protection hidden="1"/>
    </xf>
    <xf numFmtId="0" fontId="8" fillId="9" borderId="12" xfId="0" applyFont="1" applyFill="1" applyBorder="1" applyAlignment="1" applyProtection="1">
      <alignment horizontal="center" vertical="top" wrapText="1"/>
      <protection hidden="1"/>
    </xf>
    <xf numFmtId="0" fontId="8" fillId="9" borderId="3" xfId="0" applyFont="1" applyFill="1" applyBorder="1" applyAlignment="1" applyProtection="1">
      <alignment vertical="top" wrapText="1"/>
      <protection hidden="1"/>
    </xf>
    <xf numFmtId="0" fontId="8" fillId="0" borderId="0" xfId="0" applyFont="1" applyAlignment="1" applyProtection="1">
      <alignment horizontal="left"/>
      <protection hidden="1"/>
    </xf>
    <xf numFmtId="0" fontId="9" fillId="0" borderId="23" xfId="0" applyFont="1" applyBorder="1" applyAlignment="1">
      <alignment vertical="top" wrapText="1"/>
    </xf>
    <xf numFmtId="0" fontId="8" fillId="0" borderId="22" xfId="0" applyFont="1" applyBorder="1" applyAlignment="1">
      <alignment wrapText="1"/>
    </xf>
    <xf numFmtId="0" fontId="8" fillId="0" borderId="23" xfId="0" applyFont="1" applyBorder="1" applyAlignment="1">
      <alignment wrapText="1"/>
    </xf>
    <xf numFmtId="0" fontId="8" fillId="0" borderId="29" xfId="0" applyFont="1" applyBorder="1" applyAlignment="1">
      <alignment vertical="top" wrapText="1"/>
    </xf>
    <xf numFmtId="0" fontId="9" fillId="0" borderId="29" xfId="0" applyFont="1" applyBorder="1" applyAlignment="1">
      <alignment vertical="top" wrapText="1"/>
    </xf>
    <xf numFmtId="0" fontId="8" fillId="0" borderId="30" xfId="0" applyFont="1" applyBorder="1" applyAlignment="1">
      <alignment vertical="top" wrapText="1"/>
    </xf>
    <xf numFmtId="0" fontId="16" fillId="0" borderId="22" xfId="0" applyFont="1" applyBorder="1" applyAlignment="1">
      <alignment vertical="top" wrapText="1"/>
    </xf>
    <xf numFmtId="0" fontId="16" fillId="0" borderId="23" xfId="0" applyFont="1" applyBorder="1" applyAlignment="1">
      <alignment vertical="top" wrapText="1"/>
    </xf>
    <xf numFmtId="0" fontId="3" fillId="0" borderId="4" xfId="0" applyFont="1" applyBorder="1" applyAlignment="1" applyProtection="1">
      <alignment vertical="top"/>
      <protection hidden="1"/>
    </xf>
    <xf numFmtId="0" fontId="3" fillId="0" borderId="5" xfId="0" applyFont="1" applyBorder="1" applyAlignment="1" applyProtection="1">
      <alignment vertical="top"/>
      <protection hidden="1"/>
    </xf>
    <xf numFmtId="0" fontId="39" fillId="0" borderId="0" xfId="0" applyFont="1" applyProtection="1">
      <protection hidden="1"/>
    </xf>
    <xf numFmtId="0" fontId="2" fillId="0" borderId="1" xfId="0" applyFont="1" applyBorder="1" applyProtection="1">
      <protection hidden="1"/>
    </xf>
    <xf numFmtId="0" fontId="2" fillId="0" borderId="2" xfId="0" applyFont="1" applyBorder="1" applyProtection="1">
      <protection hidden="1"/>
    </xf>
    <xf numFmtId="0" fontId="23" fillId="0" borderId="2" xfId="0" applyFont="1" applyBorder="1" applyProtection="1">
      <protection hidden="1"/>
    </xf>
    <xf numFmtId="0" fontId="2" fillId="0" borderId="3" xfId="0" applyFont="1" applyBorder="1" applyProtection="1">
      <protection hidden="1"/>
    </xf>
    <xf numFmtId="0" fontId="23" fillId="0" borderId="0" xfId="0" applyFont="1" applyProtection="1">
      <protection hidden="1"/>
    </xf>
    <xf numFmtId="0" fontId="23" fillId="0" borderId="7" xfId="0" applyFont="1" applyBorder="1" applyProtection="1">
      <protection hidden="1"/>
    </xf>
    <xf numFmtId="0" fontId="20" fillId="4" borderId="1" xfId="0" applyFont="1" applyFill="1" applyBorder="1" applyAlignment="1" applyProtection="1">
      <alignment horizontal="left" vertical="top"/>
      <protection hidden="1"/>
    </xf>
    <xf numFmtId="0" fontId="20" fillId="4" borderId="2" xfId="0" applyFont="1" applyFill="1" applyBorder="1" applyAlignment="1" applyProtection="1">
      <alignment horizontal="left" vertical="top"/>
      <protection hidden="1"/>
    </xf>
    <xf numFmtId="0" fontId="8" fillId="4" borderId="4" xfId="0" applyFont="1" applyFill="1" applyBorder="1" applyAlignment="1" applyProtection="1">
      <alignment horizontal="right" vertical="top"/>
      <protection hidden="1"/>
    </xf>
    <xf numFmtId="0" fontId="8" fillId="4" borderId="0" xfId="0" applyFont="1" applyFill="1" applyAlignment="1" applyProtection="1">
      <alignment horizontal="right" vertical="top"/>
      <protection hidden="1"/>
    </xf>
    <xf numFmtId="0" fontId="11" fillId="4" borderId="11" xfId="0" applyFont="1" applyFill="1" applyBorder="1" applyAlignment="1" applyProtection="1">
      <alignment horizontal="left" vertical="top"/>
      <protection hidden="1"/>
    </xf>
    <xf numFmtId="0" fontId="11" fillId="4" borderId="12" xfId="0" applyFont="1" applyFill="1" applyBorder="1" applyAlignment="1" applyProtection="1">
      <alignment horizontal="left" vertical="top"/>
      <protection hidden="1"/>
    </xf>
    <xf numFmtId="0" fontId="11" fillId="4" borderId="9" xfId="0" applyFont="1" applyFill="1" applyBorder="1" applyAlignment="1" applyProtection="1">
      <alignment horizontal="left" vertical="top"/>
      <protection hidden="1"/>
    </xf>
    <xf numFmtId="0" fontId="8" fillId="4" borderId="11" xfId="0" applyFont="1" applyFill="1" applyBorder="1" applyAlignment="1" applyProtection="1">
      <alignment horizontal="left" vertical="top"/>
      <protection hidden="1"/>
    </xf>
    <xf numFmtId="0" fontId="8" fillId="4" borderId="12" xfId="0" applyFont="1" applyFill="1" applyBorder="1" applyAlignment="1" applyProtection="1">
      <alignment horizontal="left" vertical="top"/>
      <protection hidden="1"/>
    </xf>
    <xf numFmtId="0" fontId="8" fillId="4" borderId="9" xfId="0" applyFont="1" applyFill="1" applyBorder="1" applyAlignment="1" applyProtection="1">
      <alignment horizontal="left" vertical="top"/>
      <protection hidden="1"/>
    </xf>
    <xf numFmtId="0" fontId="34" fillId="7" borderId="11" xfId="0" applyFont="1" applyFill="1" applyBorder="1" applyAlignment="1" applyProtection="1">
      <alignment horizontal="left" vertical="top"/>
      <protection hidden="1"/>
    </xf>
    <xf numFmtId="0" fontId="34" fillId="7" borderId="12" xfId="0" applyFont="1" applyFill="1" applyBorder="1" applyAlignment="1" applyProtection="1">
      <alignment horizontal="left" vertical="top"/>
      <protection hidden="1"/>
    </xf>
    <xf numFmtId="0" fontId="34" fillId="7" borderId="9" xfId="0" applyFont="1" applyFill="1" applyBorder="1" applyAlignment="1" applyProtection="1">
      <alignment horizontal="left" vertical="top"/>
      <protection hidden="1"/>
    </xf>
    <xf numFmtId="0" fontId="10" fillId="4" borderId="4" xfId="1" applyFont="1" applyFill="1" applyBorder="1" applyAlignment="1" applyProtection="1">
      <alignment horizontal="right" vertical="top"/>
      <protection hidden="1"/>
    </xf>
    <xf numFmtId="0" fontId="10" fillId="4" borderId="0" xfId="1" applyFont="1" applyFill="1" applyBorder="1" applyAlignment="1" applyProtection="1">
      <alignment horizontal="right" vertical="top"/>
      <protection hidden="1"/>
    </xf>
    <xf numFmtId="0" fontId="27" fillId="4" borderId="4" xfId="0" applyFont="1" applyFill="1" applyBorder="1" applyAlignment="1" applyProtection="1">
      <alignment horizontal="left"/>
      <protection hidden="1"/>
    </xf>
    <xf numFmtId="0" fontId="27" fillId="4" borderId="0" xfId="0" applyFont="1" applyFill="1" applyAlignment="1" applyProtection="1">
      <alignment horizontal="left"/>
      <protection hidden="1"/>
    </xf>
    <xf numFmtId="49" fontId="8" fillId="0" borderId="4" xfId="0" applyNumberFormat="1" applyFont="1" applyBorder="1" applyAlignment="1" applyProtection="1">
      <alignment horizontal="left" vertical="top" wrapText="1"/>
      <protection locked="0"/>
    </xf>
    <xf numFmtId="49" fontId="8" fillId="0" borderId="0" xfId="0" applyNumberFormat="1" applyFont="1" applyAlignment="1" applyProtection="1">
      <alignment horizontal="left" vertical="top" wrapText="1"/>
      <protection locked="0"/>
    </xf>
    <xf numFmtId="164" fontId="9" fillId="4" borderId="14" xfId="0" applyNumberFormat="1" applyFont="1" applyFill="1" applyBorder="1" applyAlignment="1" applyProtection="1">
      <alignment horizontal="center" vertical="center"/>
      <protection hidden="1"/>
    </xf>
    <xf numFmtId="0" fontId="8" fillId="4" borderId="4" xfId="0" applyFont="1" applyFill="1" applyBorder="1" applyAlignment="1" applyProtection="1">
      <alignment vertical="top"/>
      <protection hidden="1"/>
    </xf>
    <xf numFmtId="0" fontId="8" fillId="4" borderId="0" xfId="0" applyFont="1" applyFill="1" applyAlignment="1" applyProtection="1">
      <alignment vertical="top"/>
      <protection hidden="1"/>
    </xf>
    <xf numFmtId="0" fontId="22" fillId="2" borderId="6" xfId="0" applyFont="1" applyFill="1" applyBorder="1" applyAlignment="1" applyProtection="1">
      <alignment horizontal="center" vertical="top"/>
      <protection hidden="1"/>
    </xf>
    <xf numFmtId="0" fontId="22" fillId="2" borderId="7" xfId="0" applyFont="1" applyFill="1" applyBorder="1" applyAlignment="1" applyProtection="1">
      <alignment horizontal="center" vertical="top"/>
      <protection hidden="1"/>
    </xf>
    <xf numFmtId="0" fontId="17" fillId="7" borderId="1" xfId="0" applyFont="1" applyFill="1" applyBorder="1" applyAlignment="1" applyProtection="1">
      <alignment horizontal="center" vertical="center"/>
      <protection hidden="1"/>
    </xf>
    <xf numFmtId="0" fontId="17" fillId="7" borderId="6" xfId="0" applyFont="1" applyFill="1" applyBorder="1" applyAlignment="1" applyProtection="1">
      <alignment horizontal="center" vertical="center"/>
      <protection hidden="1"/>
    </xf>
    <xf numFmtId="49" fontId="8" fillId="0" borderId="0" xfId="0" applyNumberFormat="1" applyFont="1" applyAlignment="1" applyProtection="1">
      <alignment horizontal="left" vertical="top"/>
      <protection locked="0"/>
    </xf>
    <xf numFmtId="0" fontId="8" fillId="3" borderId="0" xfId="0" applyFont="1" applyFill="1" applyAlignment="1" applyProtection="1">
      <alignment horizontal="center" vertical="top"/>
      <protection locked="0"/>
    </xf>
    <xf numFmtId="0" fontId="26" fillId="4" borderId="1" xfId="0" applyFont="1" applyFill="1" applyBorder="1" applyAlignment="1" applyProtection="1">
      <alignment horizontal="left" vertical="top"/>
      <protection hidden="1"/>
    </xf>
    <xf numFmtId="0" fontId="26" fillId="4" borderId="2" xfId="0" applyFont="1" applyFill="1" applyBorder="1" applyAlignment="1" applyProtection="1">
      <alignment horizontal="left" vertical="top"/>
      <protection hidden="1"/>
    </xf>
    <xf numFmtId="0" fontId="38" fillId="4" borderId="2" xfId="0" applyFont="1" applyFill="1" applyBorder="1" applyAlignment="1" applyProtection="1">
      <alignment horizontal="center" vertical="top"/>
      <protection hidden="1"/>
    </xf>
    <xf numFmtId="0" fontId="24" fillId="4" borderId="7" xfId="0" applyFont="1" applyFill="1" applyBorder="1" applyAlignment="1" applyProtection="1">
      <alignment horizontal="center" vertical="top"/>
      <protection hidden="1"/>
    </xf>
    <xf numFmtId="49" fontId="21" fillId="0" borderId="0" xfId="0" applyNumberFormat="1" applyFont="1" applyAlignment="1" applyProtection="1">
      <alignment horizontal="left" vertical="top"/>
      <protection locked="0"/>
    </xf>
    <xf numFmtId="14" fontId="8" fillId="3" borderId="0" xfId="0" applyNumberFormat="1" applyFont="1" applyFill="1" applyAlignment="1" applyProtection="1">
      <alignment horizontal="center" vertical="top"/>
      <protection locked="0"/>
    </xf>
    <xf numFmtId="0" fontId="20" fillId="4" borderId="1" xfId="0" applyFont="1" applyFill="1" applyBorder="1" applyAlignment="1" applyProtection="1">
      <alignment vertical="top"/>
      <protection hidden="1"/>
    </xf>
    <xf numFmtId="0" fontId="20" fillId="4" borderId="2" xfId="0" applyFont="1" applyFill="1" applyBorder="1" applyAlignment="1" applyProtection="1">
      <alignment vertical="top"/>
      <protection hidden="1"/>
    </xf>
    <xf numFmtId="49" fontId="8" fillId="0" borderId="0" xfId="0" applyNumberFormat="1" applyFont="1" applyAlignment="1" applyProtection="1">
      <alignment horizontal="center" vertical="top" wrapText="1"/>
      <protection locked="0"/>
    </xf>
    <xf numFmtId="49" fontId="8" fillId="0" borderId="5" xfId="0" applyNumberFormat="1" applyFont="1" applyBorder="1" applyAlignment="1" applyProtection="1">
      <alignment horizontal="center" vertical="top" wrapText="1"/>
      <protection locked="0"/>
    </xf>
    <xf numFmtId="0" fontId="8" fillId="4" borderId="0" xfId="0" applyFont="1" applyFill="1" applyAlignment="1" applyProtection="1">
      <alignment horizontal="left" vertical="top" wrapText="1"/>
      <protection hidden="1"/>
    </xf>
    <xf numFmtId="0" fontId="8" fillId="4" borderId="35" xfId="0" applyFont="1" applyFill="1" applyBorder="1" applyAlignment="1" applyProtection="1">
      <alignment horizontal="left" vertical="top" wrapText="1"/>
      <protection hidden="1"/>
    </xf>
    <xf numFmtId="0" fontId="8" fillId="4" borderId="21" xfId="0" applyFont="1" applyFill="1" applyBorder="1" applyAlignment="1" applyProtection="1">
      <alignment horizontal="left" vertical="top" wrapText="1"/>
      <protection hidden="1"/>
    </xf>
    <xf numFmtId="0" fontId="8" fillId="4" borderId="36" xfId="0" applyFont="1" applyFill="1" applyBorder="1" applyAlignment="1" applyProtection="1">
      <alignment horizontal="left" vertical="top" wrapText="1"/>
      <protection hidden="1"/>
    </xf>
    <xf numFmtId="0" fontId="12" fillId="4" borderId="4" xfId="0" applyFont="1" applyFill="1" applyBorder="1" applyAlignment="1" applyProtection="1">
      <alignment horizontal="left" wrapText="1"/>
      <protection hidden="1"/>
    </xf>
    <xf numFmtId="0" fontId="12" fillId="4" borderId="0" xfId="0" applyFont="1" applyFill="1" applyAlignment="1" applyProtection="1">
      <alignment horizontal="left" wrapText="1"/>
      <protection hidden="1"/>
    </xf>
    <xf numFmtId="0" fontId="9" fillId="4" borderId="17" xfId="0" applyFont="1" applyFill="1" applyBorder="1" applyAlignment="1" applyProtection="1">
      <alignment horizontal="center" vertical="top"/>
      <protection hidden="1"/>
    </xf>
    <xf numFmtId="0" fontId="9" fillId="4" borderId="18" xfId="0" applyFont="1" applyFill="1" applyBorder="1" applyAlignment="1" applyProtection="1">
      <alignment horizontal="center" vertical="top"/>
      <protection hidden="1"/>
    </xf>
    <xf numFmtId="0" fontId="9" fillId="4" borderId="34" xfId="0" applyFont="1" applyFill="1" applyBorder="1" applyAlignment="1" applyProtection="1">
      <alignment horizontal="center" vertical="top"/>
      <protection hidden="1"/>
    </xf>
    <xf numFmtId="0" fontId="8" fillId="4" borderId="0" xfId="0" applyFont="1" applyFill="1" applyAlignment="1" applyProtection="1">
      <alignment horizontal="center" vertical="top" wrapText="1"/>
      <protection hidden="1"/>
    </xf>
    <xf numFmtId="0" fontId="9" fillId="4" borderId="4" xfId="0" applyFont="1" applyFill="1" applyBorder="1" applyAlignment="1" applyProtection="1">
      <alignment horizontal="right"/>
      <protection hidden="1"/>
    </xf>
    <xf numFmtId="0" fontId="9" fillId="4" borderId="0" xfId="0" applyFont="1" applyFill="1" applyAlignment="1" applyProtection="1">
      <alignment horizontal="right"/>
      <protection hidden="1"/>
    </xf>
    <xf numFmtId="0" fontId="36" fillId="4" borderId="4" xfId="0" applyFont="1" applyFill="1" applyBorder="1" applyAlignment="1" applyProtection="1">
      <alignment horizontal="left"/>
      <protection hidden="1"/>
    </xf>
    <xf numFmtId="0" fontId="36" fillId="4" borderId="0" xfId="0" applyFont="1" applyFill="1" applyAlignment="1" applyProtection="1">
      <alignment horizontal="left"/>
      <protection hidden="1"/>
    </xf>
    <xf numFmtId="0" fontId="11" fillId="4" borderId="0" xfId="0" applyFont="1" applyFill="1" applyAlignment="1" applyProtection="1">
      <alignment horizontal="left" vertical="top"/>
      <protection hidden="1"/>
    </xf>
    <xf numFmtId="0" fontId="8" fillId="4" borderId="2" xfId="0" applyFont="1" applyFill="1" applyBorder="1" applyAlignment="1" applyProtection="1">
      <alignment horizontal="left" wrapText="1"/>
      <protection hidden="1"/>
    </xf>
    <xf numFmtId="0" fontId="8" fillId="4" borderId="3" xfId="0" applyFont="1" applyFill="1" applyBorder="1" applyAlignment="1" applyProtection="1">
      <alignment horizontal="left" wrapText="1"/>
      <protection hidden="1"/>
    </xf>
    <xf numFmtId="0" fontId="11" fillId="4" borderId="0" xfId="0" applyFont="1" applyFill="1" applyAlignment="1" applyProtection="1">
      <alignment horizontal="left" vertical="top" wrapText="1"/>
      <protection hidden="1"/>
    </xf>
    <xf numFmtId="0" fontId="11" fillId="4" borderId="5" xfId="0" applyFont="1" applyFill="1" applyBorder="1" applyAlignment="1" applyProtection="1">
      <alignment horizontal="left" vertical="top" wrapText="1"/>
      <protection hidden="1"/>
    </xf>
    <xf numFmtId="0" fontId="9" fillId="4" borderId="0" xfId="0" applyFont="1" applyFill="1" applyAlignment="1" applyProtection="1">
      <alignment horizontal="left" vertical="top" wrapText="1"/>
      <protection hidden="1"/>
    </xf>
    <xf numFmtId="0" fontId="9" fillId="4" borderId="5" xfId="0" applyFont="1" applyFill="1" applyBorder="1" applyAlignment="1" applyProtection="1">
      <alignment horizontal="left" vertical="top" wrapText="1"/>
      <protection hidden="1"/>
    </xf>
    <xf numFmtId="0" fontId="29" fillId="4" borderId="7" xfId="0" applyFont="1" applyFill="1" applyBorder="1" applyAlignment="1" applyProtection="1">
      <alignment horizontal="center" vertical="top"/>
      <protection hidden="1"/>
    </xf>
    <xf numFmtId="0" fontId="34" fillId="7" borderId="0" xfId="0" applyFont="1" applyFill="1" applyAlignment="1" applyProtection="1">
      <alignment vertical="top"/>
      <protection hidden="1"/>
    </xf>
    <xf numFmtId="0" fontId="9" fillId="4" borderId="4" xfId="0" applyFont="1" applyFill="1" applyBorder="1" applyAlignment="1" applyProtection="1">
      <alignment horizontal="right" vertical="top"/>
      <protection hidden="1"/>
    </xf>
    <xf numFmtId="0" fontId="9" fillId="4" borderId="0" xfId="0" applyFont="1" applyFill="1" applyAlignment="1" applyProtection="1">
      <alignment horizontal="right" vertical="top"/>
      <protection hidden="1"/>
    </xf>
    <xf numFmtId="0" fontId="6" fillId="0" borderId="0" xfId="0" applyFont="1" applyAlignment="1" applyProtection="1">
      <alignment horizontal="left"/>
      <protection hidden="1"/>
    </xf>
    <xf numFmtId="0" fontId="35" fillId="0" borderId="0" xfId="0" applyFont="1" applyAlignment="1" applyProtection="1">
      <alignment vertical="top"/>
      <protection hidden="1"/>
    </xf>
    <xf numFmtId="0" fontId="35" fillId="0" borderId="0" xfId="0" applyFont="1" applyProtection="1">
      <protection hidden="1"/>
    </xf>
    <xf numFmtId="0" fontId="2" fillId="10" borderId="7" xfId="0" applyFont="1" applyFill="1" applyBorder="1" applyAlignment="1" applyProtection="1">
      <alignment horizontal="center"/>
      <protection hidden="1"/>
    </xf>
    <xf numFmtId="0" fontId="2" fillId="10" borderId="8" xfId="0" applyFont="1" applyFill="1" applyBorder="1" applyAlignment="1" applyProtection="1">
      <alignment horizontal="center"/>
      <protection hidden="1"/>
    </xf>
    <xf numFmtId="0" fontId="6" fillId="0" borderId="0" xfId="0" applyFont="1" applyProtection="1">
      <protection hidden="1"/>
    </xf>
    <xf numFmtId="0" fontId="12" fillId="9" borderId="1" xfId="0" applyFont="1" applyFill="1" applyBorder="1" applyAlignment="1" applyProtection="1">
      <alignment horizontal="center" vertical="center" wrapText="1"/>
      <protection hidden="1"/>
    </xf>
    <xf numFmtId="0" fontId="12" fillId="9" borderId="2" xfId="0" applyFont="1" applyFill="1" applyBorder="1" applyAlignment="1" applyProtection="1">
      <alignment horizontal="center" vertical="center" wrapText="1"/>
      <protection hidden="1"/>
    </xf>
    <xf numFmtId="0" fontId="12" fillId="9" borderId="6" xfId="0" applyFont="1" applyFill="1" applyBorder="1" applyAlignment="1" applyProtection="1">
      <alignment horizontal="center" vertical="center" wrapText="1"/>
      <protection hidden="1"/>
    </xf>
    <xf numFmtId="0" fontId="12" fillId="9" borderId="7" xfId="0" applyFont="1" applyFill="1" applyBorder="1" applyAlignment="1" applyProtection="1">
      <alignment horizontal="center" vertical="center" wrapText="1"/>
      <protection hidden="1"/>
    </xf>
    <xf numFmtId="0" fontId="12" fillId="0" borderId="10" xfId="0" applyFont="1" applyBorder="1" applyAlignment="1" applyProtection="1">
      <alignment horizontal="center" vertical="center" textRotation="90" wrapText="1"/>
      <protection hidden="1"/>
    </xf>
    <xf numFmtId="0" fontId="9" fillId="4" borderId="10" xfId="0" applyFont="1" applyFill="1" applyBorder="1" applyAlignment="1" applyProtection="1">
      <alignment horizontal="center" vertical="center" wrapText="1"/>
      <protection hidden="1"/>
    </xf>
    <xf numFmtId="0" fontId="8" fillId="4" borderId="10" xfId="0" applyFont="1" applyFill="1" applyBorder="1" applyAlignment="1" applyProtection="1">
      <alignment horizontal="center" vertical="center" wrapText="1"/>
      <protection hidden="1"/>
    </xf>
    <xf numFmtId="0" fontId="9" fillId="0" borderId="0" xfId="0" applyFont="1" applyAlignment="1" applyProtection="1">
      <alignment vertical="top"/>
      <protection hidden="1"/>
    </xf>
    <xf numFmtId="0" fontId="12" fillId="0" borderId="11" xfId="0" applyFont="1" applyBorder="1" applyAlignment="1" applyProtection="1">
      <alignment horizontal="center" vertical="center" textRotation="90" wrapText="1"/>
      <protection hidden="1"/>
    </xf>
    <xf numFmtId="0" fontId="8" fillId="0" borderId="10" xfId="0" applyFont="1" applyBorder="1" applyAlignment="1" applyProtection="1">
      <alignment horizontal="center" vertical="center" wrapText="1"/>
      <protection hidden="1"/>
    </xf>
    <xf numFmtId="0" fontId="8" fillId="0" borderId="13" xfId="0" applyFont="1" applyBorder="1" applyAlignment="1" applyProtection="1">
      <alignment horizontal="center" vertical="center" wrapText="1"/>
      <protection hidden="1"/>
    </xf>
    <xf numFmtId="0" fontId="8" fillId="0" borderId="15" xfId="0" applyFont="1" applyBorder="1" applyAlignment="1" applyProtection="1">
      <alignment horizontal="center" vertical="center" wrapText="1"/>
      <protection hidden="1"/>
    </xf>
    <xf numFmtId="0" fontId="13" fillId="0" borderId="7" xfId="0" applyFont="1" applyBorder="1" applyAlignment="1" applyProtection="1">
      <alignment vertical="top" wrapText="1"/>
      <protection hidden="1"/>
    </xf>
    <xf numFmtId="0" fontId="11" fillId="0" borderId="1" xfId="0" applyFont="1" applyBorder="1" applyAlignment="1" applyProtection="1">
      <alignment horizontal="center" vertical="center" wrapText="1"/>
      <protection hidden="1"/>
    </xf>
    <xf numFmtId="0" fontId="11" fillId="0" borderId="2" xfId="0" applyFont="1" applyBorder="1" applyAlignment="1" applyProtection="1">
      <alignment horizontal="center" vertical="center" wrapText="1"/>
      <protection hidden="1"/>
    </xf>
    <xf numFmtId="0" fontId="11" fillId="0" borderId="3" xfId="0" applyFont="1" applyBorder="1" applyAlignment="1" applyProtection="1">
      <alignment horizontal="center" vertical="center" wrapText="1"/>
      <protection hidden="1"/>
    </xf>
    <xf numFmtId="0" fontId="11" fillId="0" borderId="6" xfId="0" applyFont="1" applyBorder="1" applyAlignment="1" applyProtection="1">
      <alignment horizontal="center" vertical="center" wrapText="1"/>
      <protection hidden="1"/>
    </xf>
    <xf numFmtId="0" fontId="11" fillId="0" borderId="7" xfId="0" applyFont="1" applyBorder="1" applyAlignment="1" applyProtection="1">
      <alignment horizontal="center" vertical="center" wrapText="1"/>
      <protection hidden="1"/>
    </xf>
    <xf numFmtId="0" fontId="11" fillId="0" borderId="8"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0" fontId="8" fillId="0" borderId="4" xfId="0" applyFont="1" applyBorder="1" applyAlignment="1" applyProtection="1">
      <alignment horizontal="center" vertical="center" wrapText="1"/>
      <protection hidden="1"/>
    </xf>
    <xf numFmtId="0" fontId="8" fillId="0" borderId="6" xfId="0" applyFont="1" applyBorder="1" applyAlignment="1" applyProtection="1">
      <alignment horizontal="center" vertical="center" wrapText="1"/>
      <protection hidden="1"/>
    </xf>
    <xf numFmtId="0" fontId="30" fillId="6" borderId="0" xfId="0" applyFont="1" applyFill="1" applyAlignment="1" applyProtection="1">
      <alignment vertical="top"/>
      <protection hidden="1"/>
    </xf>
    <xf numFmtId="0" fontId="13" fillId="0" borderId="0" xfId="0" applyFont="1" applyAlignment="1" applyProtection="1">
      <alignment vertical="top"/>
      <protection hidden="1"/>
    </xf>
    <xf numFmtId="0" fontId="13" fillId="5" borderId="0" xfId="0" applyFont="1" applyFill="1" applyAlignment="1" applyProtection="1">
      <alignment vertical="top"/>
      <protection hidden="1"/>
    </xf>
  </cellXfs>
  <cellStyles count="4">
    <cellStyle name="Hyperlink" xfId="1" builtinId="8"/>
    <cellStyle name="Normal" xfId="0" builtinId="0"/>
    <cellStyle name="Normal 2" xfId="3" xr:uid="{00000000-0005-0000-0000-000002000000}"/>
    <cellStyle name="Normal_codes" xfId="2" xr:uid="{00000000-0005-0000-0000-000003000000}"/>
  </cellStyles>
  <dxfs count="30">
    <dxf>
      <font>
        <b val="0"/>
        <i val="0"/>
        <strike val="0"/>
        <condense val="0"/>
        <extend val="0"/>
        <outline val="0"/>
        <shadow val="0"/>
        <u val="none"/>
        <vertAlign val="baseline"/>
        <sz val="8"/>
        <color theme="1"/>
        <name val="Calibri"/>
        <family val="2"/>
        <scheme val="minor"/>
      </font>
      <alignment horizontal="general" vertical="top" textRotation="0" wrapText="1" indent="0" justifyLastLine="0" shrinkToFit="0" readingOrder="0"/>
      <border diagonalUp="0" diagonalDown="0">
        <left/>
        <right style="thin">
          <color theme="7"/>
        </right>
        <top style="thin">
          <color theme="7"/>
        </top>
        <bottom/>
        <vertical/>
        <horizontal/>
      </border>
    </dxf>
    <dxf>
      <font>
        <b val="0"/>
        <i val="0"/>
        <strike val="0"/>
        <condense val="0"/>
        <extend val="0"/>
        <outline val="0"/>
        <shadow val="0"/>
        <u val="none"/>
        <vertAlign val="baseline"/>
        <sz val="8"/>
        <color theme="1"/>
        <name val="Calibri"/>
        <family val="2"/>
        <scheme val="minor"/>
      </font>
      <alignment horizontal="general" vertical="top" textRotation="0" wrapText="1" indent="0" justifyLastLine="0" shrinkToFit="0" readingOrder="0"/>
      <border diagonalUp="0" diagonalDown="0">
        <left/>
        <right/>
        <top style="thin">
          <color theme="7"/>
        </top>
        <bottom/>
        <vertical/>
        <horizontal/>
      </border>
    </dxf>
    <dxf>
      <font>
        <b val="0"/>
        <i val="0"/>
        <strike val="0"/>
        <condense val="0"/>
        <extend val="0"/>
        <outline val="0"/>
        <shadow val="0"/>
        <u val="none"/>
        <vertAlign val="baseline"/>
        <sz val="8"/>
        <color theme="1"/>
        <name val="Calibri"/>
        <family val="2"/>
        <scheme val="minor"/>
      </font>
      <alignment horizontal="general" vertical="top" textRotation="0" wrapText="1" indent="0" justifyLastLine="0" shrinkToFit="0" readingOrder="0"/>
      <border diagonalUp="0" diagonalDown="0">
        <left/>
        <right/>
        <top style="thin">
          <color theme="7"/>
        </top>
        <bottom/>
        <vertical/>
        <horizontal/>
      </border>
    </dxf>
    <dxf>
      <font>
        <b val="0"/>
        <i val="0"/>
        <strike val="0"/>
        <condense val="0"/>
        <extend val="0"/>
        <outline val="0"/>
        <shadow val="0"/>
        <u val="none"/>
        <vertAlign val="baseline"/>
        <sz val="8"/>
        <color theme="1"/>
        <name val="Calibri"/>
        <family val="2"/>
        <scheme val="minor"/>
      </font>
      <alignment horizontal="general" vertical="top" textRotation="0" wrapText="1" indent="0" justifyLastLine="0" shrinkToFit="0" readingOrder="0"/>
      <border diagonalUp="0" diagonalDown="0">
        <left/>
        <right/>
        <top style="thin">
          <color theme="7"/>
        </top>
        <bottom/>
        <vertical/>
        <horizontal/>
      </border>
    </dxf>
    <dxf>
      <font>
        <b val="0"/>
        <i val="0"/>
        <strike val="0"/>
        <condense val="0"/>
        <extend val="0"/>
        <outline val="0"/>
        <shadow val="0"/>
        <u val="none"/>
        <vertAlign val="baseline"/>
        <sz val="8"/>
        <color theme="1"/>
        <name val="Calibri"/>
        <family val="2"/>
        <scheme val="minor"/>
      </font>
      <alignment horizontal="general" vertical="top" textRotation="0" wrapText="1" indent="0" justifyLastLine="0" shrinkToFit="0" readingOrder="0"/>
      <border diagonalUp="0" diagonalDown="0">
        <left/>
        <right/>
        <top style="thin">
          <color theme="7"/>
        </top>
        <bottom/>
        <vertical/>
        <horizontal/>
      </border>
    </dxf>
    <dxf>
      <font>
        <b val="0"/>
        <i val="0"/>
        <strike val="0"/>
        <condense val="0"/>
        <extend val="0"/>
        <outline val="0"/>
        <shadow val="0"/>
        <u val="none"/>
        <vertAlign val="baseline"/>
        <sz val="8"/>
        <color theme="1"/>
        <name val="Calibri"/>
        <family val="2"/>
        <scheme val="minor"/>
      </font>
      <alignment horizontal="general" vertical="top" textRotation="0" wrapText="1" indent="0" justifyLastLine="0" shrinkToFit="0" readingOrder="0"/>
      <border diagonalUp="0" diagonalDown="0">
        <left/>
        <right/>
        <top style="thin">
          <color theme="7"/>
        </top>
        <bottom/>
        <vertical/>
        <horizontal/>
      </border>
    </dxf>
    <dxf>
      <font>
        <b val="0"/>
        <i val="0"/>
        <strike val="0"/>
        <condense val="0"/>
        <extend val="0"/>
        <outline val="0"/>
        <shadow val="0"/>
        <u val="none"/>
        <vertAlign val="baseline"/>
        <sz val="8"/>
        <color theme="1"/>
        <name val="Calibri"/>
        <family val="2"/>
        <scheme val="minor"/>
      </font>
      <alignment horizontal="general" vertical="top" textRotation="0" wrapText="1" indent="0" justifyLastLine="0" shrinkToFit="0" readingOrder="0"/>
      <border diagonalUp="0" diagonalDown="0">
        <left/>
        <right/>
        <top style="thin">
          <color theme="7"/>
        </top>
        <bottom/>
        <vertical/>
        <horizontal/>
      </border>
    </dxf>
    <dxf>
      <font>
        <b val="0"/>
        <i val="0"/>
        <strike val="0"/>
        <condense val="0"/>
        <extend val="0"/>
        <outline val="0"/>
        <shadow val="0"/>
        <u val="none"/>
        <vertAlign val="baseline"/>
        <sz val="8"/>
        <color theme="1"/>
        <name val="Calibri"/>
        <family val="2"/>
        <scheme val="minor"/>
      </font>
      <alignment horizontal="general" vertical="top" textRotation="0" wrapText="1" indent="0" justifyLastLine="0" shrinkToFit="0" readingOrder="0"/>
      <border diagonalUp="0" diagonalDown="0">
        <left/>
        <right/>
        <top style="thin">
          <color theme="7"/>
        </top>
        <bottom/>
        <vertical/>
        <horizontal/>
      </border>
    </dxf>
    <dxf>
      <font>
        <b val="0"/>
        <i val="0"/>
        <strike val="0"/>
        <condense val="0"/>
        <extend val="0"/>
        <outline val="0"/>
        <shadow val="0"/>
        <u val="none"/>
        <vertAlign val="baseline"/>
        <sz val="8"/>
        <color theme="1"/>
        <name val="Calibri"/>
        <family val="2"/>
        <scheme val="minor"/>
      </font>
      <alignment horizontal="general" vertical="top" textRotation="0" wrapText="1" indent="0" justifyLastLine="0" shrinkToFit="0" readingOrder="0"/>
      <border diagonalUp="0" diagonalDown="0">
        <left/>
        <right/>
        <top style="thin">
          <color theme="7"/>
        </top>
        <bottom/>
        <vertical/>
        <horizontal/>
      </border>
    </dxf>
    <dxf>
      <font>
        <b val="0"/>
        <i val="0"/>
        <strike val="0"/>
        <condense val="0"/>
        <extend val="0"/>
        <outline val="0"/>
        <shadow val="0"/>
        <u val="none"/>
        <vertAlign val="baseline"/>
        <sz val="8"/>
        <color theme="1"/>
        <name val="Calibri"/>
        <family val="2"/>
        <scheme val="minor"/>
      </font>
      <alignment horizontal="general" vertical="top" textRotation="0" wrapText="1" indent="0" justifyLastLine="0" shrinkToFit="0" readingOrder="0"/>
      <border diagonalUp="0" diagonalDown="0">
        <left/>
        <right/>
        <top style="thin">
          <color theme="7"/>
        </top>
        <bottom/>
        <vertical/>
        <horizontal/>
      </border>
    </dxf>
    <dxf>
      <font>
        <b val="0"/>
        <i val="0"/>
        <strike val="0"/>
        <condense val="0"/>
        <extend val="0"/>
        <outline val="0"/>
        <shadow val="0"/>
        <u val="none"/>
        <vertAlign val="baseline"/>
        <sz val="8"/>
        <color theme="1"/>
        <name val="Calibri"/>
        <family val="2"/>
        <scheme val="minor"/>
      </font>
      <alignment horizontal="general" vertical="top" textRotation="0" wrapText="1" indent="0" justifyLastLine="0" shrinkToFit="0" readingOrder="0"/>
      <border diagonalUp="0" diagonalDown="0">
        <left/>
        <right/>
        <top style="thin">
          <color theme="7"/>
        </top>
        <bottom/>
        <vertical/>
        <horizontal/>
      </border>
    </dxf>
    <dxf>
      <font>
        <b val="0"/>
        <i val="0"/>
        <strike val="0"/>
        <condense val="0"/>
        <extend val="0"/>
        <outline val="0"/>
        <shadow val="0"/>
        <u val="none"/>
        <vertAlign val="baseline"/>
        <sz val="8"/>
        <color theme="1"/>
        <name val="Calibri"/>
        <family val="2"/>
        <scheme val="minor"/>
      </font>
      <alignment horizontal="general" vertical="top" textRotation="0" wrapText="1" indent="0" justifyLastLine="0" shrinkToFit="0" readingOrder="0"/>
      <border diagonalUp="0" diagonalDown="0">
        <left style="thin">
          <color theme="7"/>
        </left>
        <right/>
        <top style="thin">
          <color theme="7"/>
        </top>
        <bottom/>
        <vertical/>
        <horizontal/>
      </border>
    </dxf>
    <dxf>
      <font>
        <b val="0"/>
        <i val="0"/>
        <strike val="0"/>
        <condense val="0"/>
        <extend val="0"/>
        <outline val="0"/>
        <shadow val="0"/>
        <u val="none"/>
        <vertAlign val="baseline"/>
        <sz val="8"/>
        <color theme="1"/>
        <name val="Calibri"/>
        <family val="2"/>
        <scheme val="minor"/>
      </font>
      <alignment horizontal="general" vertical="top" textRotation="0" wrapText="1" indent="0" justifyLastLine="0" shrinkToFit="0" readingOrder="0"/>
    </dxf>
    <dxf>
      <font>
        <b/>
        <i val="0"/>
        <strike val="0"/>
        <condense val="0"/>
        <extend val="0"/>
        <outline val="0"/>
        <shadow val="0"/>
        <u val="none"/>
        <vertAlign val="baseline"/>
        <sz val="8"/>
        <color theme="0"/>
        <name val="Calibri"/>
        <family val="2"/>
        <scheme val="minor"/>
      </font>
      <fill>
        <patternFill patternType="solid">
          <fgColor theme="7"/>
          <bgColor theme="7"/>
        </patternFill>
      </fill>
      <alignment horizontal="general" vertical="top" textRotation="0" wrapText="1" indent="0" justifyLastLine="0" shrinkToFit="0" readingOrder="0"/>
    </dxf>
    <dxf>
      <font>
        <b val="0"/>
        <i val="0"/>
        <strike val="0"/>
        <condense val="0"/>
        <extend val="0"/>
        <outline val="0"/>
        <shadow val="0"/>
        <u val="none"/>
        <vertAlign val="baseline"/>
        <sz val="8"/>
        <color auto="1"/>
        <name val="Calibri"/>
        <family val="2"/>
        <scheme val="minor"/>
      </font>
      <numFmt numFmtId="30" formatCode="@"/>
      <fill>
        <patternFill patternType="solid">
          <fgColor theme="6" tint="0.79998168889431442"/>
          <bgColor theme="6" tint="0.79998168889431442"/>
        </patternFill>
      </fill>
      <alignment horizontal="general" vertical="top" textRotation="0" wrapText="0" indent="0" justifyLastLine="0" shrinkToFit="1" readingOrder="0"/>
      <border diagonalUp="0" diagonalDown="0">
        <left style="thin">
          <color theme="6"/>
        </left>
        <right/>
        <top style="thin">
          <color theme="6"/>
        </top>
        <bottom/>
        <vertical/>
        <horizontal/>
      </border>
      <protection locked="0" hidden="0"/>
    </dxf>
    <dxf>
      <font>
        <b val="0"/>
        <i val="0"/>
        <strike val="0"/>
        <condense val="0"/>
        <extend val="0"/>
        <outline val="0"/>
        <shadow val="0"/>
        <u val="none"/>
        <vertAlign val="baseline"/>
        <sz val="8"/>
        <color auto="1"/>
        <name val="Calibri"/>
        <family val="2"/>
        <scheme val="minor"/>
      </font>
      <numFmt numFmtId="30" formatCode="@"/>
      <fill>
        <patternFill patternType="solid">
          <fgColor theme="6" tint="0.79998168889431442"/>
          <bgColor theme="6" tint="0.79998168889431442"/>
        </patternFill>
      </fill>
      <alignment horizontal="general" vertical="top" textRotation="0" wrapText="0" indent="0" justifyLastLine="0" shrinkToFit="1" readingOrder="0"/>
      <border diagonalUp="0" diagonalDown="0">
        <left style="thin">
          <color theme="6"/>
        </left>
        <right/>
        <top style="thin">
          <color theme="6"/>
        </top>
        <bottom/>
        <vertical/>
        <horizontal/>
      </border>
      <protection locked="0" hidden="0"/>
    </dxf>
    <dxf>
      <font>
        <b val="0"/>
        <i val="0"/>
        <strike val="0"/>
        <condense val="0"/>
        <extend val="0"/>
        <outline val="0"/>
        <shadow val="0"/>
        <u val="none"/>
        <vertAlign val="baseline"/>
        <sz val="8"/>
        <color auto="1"/>
        <name val="Calibri"/>
        <family val="2"/>
        <scheme val="minor"/>
      </font>
      <numFmt numFmtId="30" formatCode="@"/>
      <fill>
        <patternFill patternType="solid">
          <fgColor theme="6" tint="0.79998168889431442"/>
          <bgColor theme="6" tint="0.79998168889431442"/>
        </patternFill>
      </fill>
      <alignment horizontal="general" vertical="top" textRotation="0" wrapText="0" indent="0" justifyLastLine="0" shrinkToFit="1" readingOrder="0"/>
      <border diagonalUp="0" diagonalDown="0">
        <left style="thin">
          <color theme="6"/>
        </left>
        <right/>
        <top style="thin">
          <color theme="6"/>
        </top>
        <bottom/>
        <vertical/>
        <horizontal/>
      </border>
      <protection locked="0" hidden="0"/>
    </dxf>
    <dxf>
      <font>
        <b val="0"/>
        <i val="0"/>
        <strike val="0"/>
        <condense val="0"/>
        <extend val="0"/>
        <outline val="0"/>
        <shadow val="0"/>
        <u val="none"/>
        <vertAlign val="baseline"/>
        <sz val="8"/>
        <color auto="1"/>
        <name val="Calibri"/>
        <family val="2"/>
        <scheme val="minor"/>
      </font>
      <numFmt numFmtId="1" formatCode="0"/>
      <fill>
        <patternFill patternType="solid">
          <fgColor theme="6" tint="0.79998168889431442"/>
          <bgColor theme="6" tint="0.79998168889431442"/>
        </patternFill>
      </fill>
      <alignment horizontal="general" vertical="top" textRotation="0" wrapText="0" indent="0" justifyLastLine="0" shrinkToFit="1" readingOrder="0"/>
      <border diagonalUp="0" diagonalDown="0">
        <left style="thin">
          <color theme="6"/>
        </left>
        <right/>
        <top style="thin">
          <color theme="6"/>
        </top>
        <bottom/>
        <vertical/>
        <horizontal/>
      </border>
      <protection locked="0" hidden="0"/>
    </dxf>
    <dxf>
      <font>
        <b val="0"/>
        <i val="0"/>
        <strike val="0"/>
        <condense val="0"/>
        <extend val="0"/>
        <outline val="0"/>
        <shadow val="0"/>
        <u val="none"/>
        <vertAlign val="baseline"/>
        <sz val="8"/>
        <color auto="1"/>
        <name val="Calibri"/>
        <family val="2"/>
        <scheme val="minor"/>
      </font>
      <numFmt numFmtId="30" formatCode="@"/>
      <fill>
        <patternFill patternType="solid">
          <fgColor theme="6" tint="0.79998168889431442"/>
          <bgColor theme="6" tint="0.79998168889431442"/>
        </patternFill>
      </fill>
      <alignment horizontal="general" vertical="top" textRotation="0" wrapText="0" indent="0" justifyLastLine="0" shrinkToFit="1" readingOrder="0"/>
      <border diagonalUp="0" diagonalDown="0">
        <left/>
        <right/>
        <top style="thin">
          <color theme="6"/>
        </top>
        <bottom/>
        <vertical/>
        <horizontal/>
      </border>
      <protection locked="0" hidden="0"/>
    </dxf>
    <dxf>
      <border outline="0">
        <left style="thin">
          <color theme="6"/>
        </left>
        <right style="thin">
          <color theme="6"/>
        </right>
        <top style="thin">
          <color theme="6"/>
        </top>
        <bottom style="thin">
          <color theme="6"/>
        </bottom>
      </border>
    </dxf>
    <dxf>
      <font>
        <b val="0"/>
        <i val="0"/>
        <strike val="0"/>
        <condense val="0"/>
        <extend val="0"/>
        <outline val="0"/>
        <shadow val="0"/>
        <u val="none"/>
        <vertAlign val="baseline"/>
        <sz val="8"/>
        <color auto="1"/>
        <name val="Calibri"/>
        <family val="2"/>
        <scheme val="minor"/>
      </font>
      <fill>
        <patternFill patternType="solid">
          <fgColor theme="6" tint="0.79998168889431442"/>
          <bgColor theme="6" tint="0.79998168889431442"/>
        </patternFill>
      </fill>
      <alignment horizontal="general" vertical="top" textRotation="0" wrapText="0" indent="0" justifyLastLine="0" shrinkToFit="1" readingOrder="0"/>
      <protection locked="0" hidden="0"/>
    </dxf>
    <dxf>
      <font>
        <b/>
        <i val="0"/>
        <strike val="0"/>
        <condense val="0"/>
        <extend val="0"/>
        <outline val="0"/>
        <shadow val="0"/>
        <u val="none"/>
        <vertAlign val="baseline"/>
        <sz val="8"/>
        <color auto="1"/>
        <name val="Calibri"/>
        <family val="2"/>
        <scheme val="minor"/>
      </font>
      <fill>
        <patternFill patternType="solid">
          <fgColor indexed="64"/>
          <bgColor theme="6" tint="0.59999389629810485"/>
        </patternFill>
      </fill>
      <alignment horizontal="general" vertical="top" textRotation="0" wrapText="0" indent="0" justifyLastLine="0" shrinkToFit="0" readingOrder="0"/>
      <protection locked="1" hidden="1"/>
    </dxf>
    <dxf>
      <font>
        <b val="0"/>
        <i val="0"/>
        <strike val="0"/>
        <condense val="0"/>
        <extend val="0"/>
        <outline val="0"/>
        <shadow val="0"/>
        <u val="none"/>
        <vertAlign val="baseline"/>
        <sz val="8"/>
        <color auto="1"/>
        <name val="Calibri"/>
        <family val="2"/>
        <scheme val="minor"/>
      </font>
      <numFmt numFmtId="165" formatCode="0.000"/>
      <fill>
        <patternFill patternType="solid">
          <fgColor theme="6" tint="0.79998168889431442"/>
          <bgColor theme="6" tint="0.79998168889431442"/>
        </patternFill>
      </fill>
      <alignment horizontal="general" vertical="top" textRotation="0" wrapText="0" indent="0" justifyLastLine="0" shrinkToFit="1" readingOrder="0"/>
      <border diagonalUp="0" diagonalDown="0">
        <left style="thin">
          <color theme="6"/>
        </left>
        <right/>
        <top style="thin">
          <color theme="6"/>
        </top>
        <bottom/>
        <vertical/>
        <horizontal/>
      </border>
      <protection locked="0" hidden="0"/>
    </dxf>
    <dxf>
      <font>
        <b val="0"/>
        <i val="0"/>
        <strike val="0"/>
        <condense val="0"/>
        <extend val="0"/>
        <outline val="0"/>
        <shadow val="0"/>
        <u val="none"/>
        <vertAlign val="baseline"/>
        <sz val="8"/>
        <color auto="1"/>
        <name val="Calibri"/>
        <family val="2"/>
        <scheme val="minor"/>
      </font>
      <numFmt numFmtId="165" formatCode="0.000"/>
      <fill>
        <patternFill patternType="solid">
          <fgColor theme="6" tint="0.79998168889431442"/>
          <bgColor theme="6" tint="0.79998168889431442"/>
        </patternFill>
      </fill>
      <alignment horizontal="general" vertical="top" textRotation="0" wrapText="0" indent="0" justifyLastLine="0" shrinkToFit="1" readingOrder="0"/>
      <border diagonalUp="0" diagonalDown="0">
        <left style="thin">
          <color theme="6"/>
        </left>
        <right/>
        <top style="thin">
          <color theme="6"/>
        </top>
        <bottom/>
        <vertical/>
        <horizontal/>
      </border>
      <protection locked="0" hidden="0"/>
    </dxf>
    <dxf>
      <font>
        <b val="0"/>
        <i val="0"/>
        <strike val="0"/>
        <condense val="0"/>
        <extend val="0"/>
        <outline val="0"/>
        <shadow val="0"/>
        <u val="none"/>
        <vertAlign val="baseline"/>
        <sz val="8"/>
        <color auto="1"/>
        <name val="Calibri"/>
        <family val="2"/>
        <scheme val="minor"/>
      </font>
      <numFmt numFmtId="30" formatCode="@"/>
      <fill>
        <patternFill patternType="solid">
          <fgColor theme="6" tint="0.79998168889431442"/>
          <bgColor theme="6" tint="0.79998168889431442"/>
        </patternFill>
      </fill>
      <alignment horizontal="general" vertical="top" textRotation="0" wrapText="0" indent="0" justifyLastLine="0" shrinkToFit="1" readingOrder="0"/>
      <border diagonalUp="0" diagonalDown="0">
        <left style="thin">
          <color theme="6"/>
        </left>
        <right/>
        <top style="thin">
          <color theme="6"/>
        </top>
        <bottom/>
        <vertical/>
        <horizontal/>
      </border>
      <protection locked="0" hidden="0"/>
    </dxf>
    <dxf>
      <font>
        <b val="0"/>
        <i val="0"/>
        <strike val="0"/>
        <condense val="0"/>
        <extend val="0"/>
        <outline val="0"/>
        <shadow val="0"/>
        <u val="none"/>
        <vertAlign val="baseline"/>
        <sz val="8"/>
        <color auto="1"/>
        <name val="Calibri"/>
        <family val="2"/>
        <scheme val="minor"/>
      </font>
      <numFmt numFmtId="1" formatCode="0"/>
      <fill>
        <patternFill patternType="solid">
          <fgColor theme="6" tint="0.79998168889431442"/>
          <bgColor theme="6" tint="0.79998168889431442"/>
        </patternFill>
      </fill>
      <alignment horizontal="general" vertical="top" textRotation="0" wrapText="0" indent="0" justifyLastLine="0" shrinkToFit="1" readingOrder="0"/>
      <border diagonalUp="0" diagonalDown="0">
        <left style="thin">
          <color theme="6"/>
        </left>
        <right/>
        <top style="thin">
          <color theme="6"/>
        </top>
        <bottom/>
        <vertical/>
        <horizontal/>
      </border>
      <protection locked="0" hidden="0"/>
    </dxf>
    <dxf>
      <font>
        <b val="0"/>
        <i val="0"/>
        <strike val="0"/>
        <condense val="0"/>
        <extend val="0"/>
        <outline val="0"/>
        <shadow val="0"/>
        <u val="none"/>
        <vertAlign val="baseline"/>
        <sz val="8"/>
        <color auto="1"/>
        <name val="Calibri"/>
        <family val="2"/>
        <scheme val="minor"/>
      </font>
      <numFmt numFmtId="30" formatCode="@"/>
      <fill>
        <patternFill patternType="solid">
          <fgColor theme="6" tint="0.79998168889431442"/>
          <bgColor theme="6" tint="0.79998168889431442"/>
        </patternFill>
      </fill>
      <alignment horizontal="general" vertical="top" textRotation="0" wrapText="0" indent="0" justifyLastLine="0" shrinkToFit="1" readingOrder="0"/>
      <border diagonalUp="0" diagonalDown="0">
        <left/>
        <right/>
        <top style="thin">
          <color theme="6"/>
        </top>
        <bottom/>
        <vertical/>
        <horizontal/>
      </border>
      <protection locked="0" hidden="0"/>
    </dxf>
    <dxf>
      <border outline="0">
        <left style="thin">
          <color theme="6"/>
        </left>
        <right style="thin">
          <color theme="6"/>
        </right>
        <top style="thin">
          <color theme="6"/>
        </top>
        <bottom style="thin">
          <color theme="6"/>
        </bottom>
      </border>
    </dxf>
    <dxf>
      <font>
        <b val="0"/>
        <i val="0"/>
        <strike val="0"/>
        <condense val="0"/>
        <extend val="0"/>
        <outline val="0"/>
        <shadow val="0"/>
        <u val="none"/>
        <vertAlign val="baseline"/>
        <sz val="8"/>
        <color auto="1"/>
        <name val="Calibri"/>
        <family val="2"/>
        <scheme val="minor"/>
      </font>
      <fill>
        <patternFill patternType="solid">
          <fgColor theme="6" tint="0.79998168889431442"/>
          <bgColor theme="6" tint="0.79998168889431442"/>
        </patternFill>
      </fill>
      <alignment horizontal="general" vertical="top" textRotation="0" wrapText="0" indent="0" justifyLastLine="0" shrinkToFit="1" readingOrder="0"/>
      <protection locked="0" hidden="0"/>
    </dxf>
    <dxf>
      <font>
        <b/>
        <i val="0"/>
        <strike val="0"/>
        <condense val="0"/>
        <extend val="0"/>
        <outline val="0"/>
        <shadow val="0"/>
        <u val="none"/>
        <vertAlign val="baseline"/>
        <sz val="8"/>
        <color auto="1"/>
        <name val="Calibri"/>
        <family val="2"/>
        <scheme val="minor"/>
      </font>
      <fill>
        <patternFill patternType="solid">
          <fgColor indexed="64"/>
          <bgColor theme="6" tint="0.59999389629810485"/>
        </patternFill>
      </fill>
      <alignment horizontal="general" vertical="top" textRotation="0" wrapText="0" indent="0" justifyLastLine="0" shrinkToFit="0" readingOrder="0"/>
      <protection locked="1" hidden="1"/>
    </dxf>
  </dxfs>
  <tableStyles count="0" defaultTableStyle="TableStyleMedium9" defaultPivotStyle="PivotStyleLight16"/>
  <colors>
    <mruColors>
      <color rgb="FF0000FF"/>
      <color rgb="FF00FFFF"/>
      <color rgb="FF00FFCC"/>
      <color rgb="FFFFFF99"/>
      <color rgb="FFFAB8BE"/>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02B482F-E7A3-40CD-9528-7C08B40799AA}" name="tblAccAgr" displayName="tblAccAgr" ref="A44:E53" totalsRowShown="0" headerRowDxfId="29" dataDxfId="28" tableBorderDxfId="27">
  <autoFilter ref="A44:E53" xr:uid="{0502344E-D77C-44BC-B045-DE23B1E879B3}"/>
  <tableColumns count="5">
    <tableColumn id="1" xr3:uid="{40F840D8-5761-4002-A905-6E93B97B21BE}" name="aGearCd" dataDxfId="26"/>
    <tableColumn id="2" xr3:uid="{EA43AFB9-B87A-4A5E-88EA-6F42BFC27DF7}" name="aNrVessels" dataDxfId="25"/>
    <tableColumn id="3" xr3:uid="{A35278C0-08B8-4FC3-AE81-17E7A5E9EACA}" name="aSpeciesCd" dataDxfId="24"/>
    <tableColumn id="4" xr3:uid="{CA4E8B8D-112D-46A2-B78A-EC9B6EC8C680}" name="aAmountAuth" dataDxfId="23"/>
    <tableColumn id="5" xr3:uid="{FA197D7F-A8BE-4D9F-A558-A1D821BC9CCC}" name="aQuotaCPC" dataDxfId="22"/>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B4556EB-DB19-455C-AA40-77BAB16CEFD1}" name="tblSumAct" displayName="tblSumAct" ref="A28:E37" totalsRowShown="0" headerRowDxfId="21" dataDxfId="20" tableBorderDxfId="19">
  <autoFilter ref="A28:E37" xr:uid="{DACB549B-AB75-49B1-B8AE-FC55051560A6}"/>
  <tableColumns count="5">
    <tableColumn id="1" xr3:uid="{68ED0975-18E1-4268-BB27-A251D636F685}" name="cGearCd" dataDxfId="18"/>
    <tableColumn id="2" xr3:uid="{DC0D3AA1-081F-4B32-A75D-D5CBBB87B810}" name="cNrVessels" dataDxfId="17"/>
    <tableColumn id="3" xr3:uid="{6ADA420E-1D7C-42B4-ACD9-8B2B67745FD1}" name="cSpeciesCd" dataDxfId="16"/>
    <tableColumn id="4" xr3:uid="{316FC3C6-2E33-473B-B3FB-944654AE1A52}" name="cAmountAuth" dataDxfId="15"/>
    <tableColumn id="5" xr3:uid="{04C3FB9D-6E99-4A59-915F-ED1127AB0525}" name="cQuotaCPC" dataDxfId="14"/>
  </tableColumns>
  <tableStyleInfo name="TableStyleLight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E722976-014E-4F3E-82C9-102CB162B380}" name="tblTranslation" displayName="tblTranslation" ref="A4:L72" totalsRowShown="0" headerRowDxfId="13" dataDxfId="12">
  <autoFilter ref="A4:L72" xr:uid="{4DB33B3B-6AA2-4ACD-AB2D-03F2B6F8244C}"/>
  <tableColumns count="12">
    <tableColumn id="1" xr3:uid="{E6B5C9F1-27EF-4DF7-9BB2-35DF44E52F12}" name="FieldID" dataDxfId="11"/>
    <tableColumn id="2" xr3:uid="{B524CFCD-FBFA-4968-AD81-F2D18F3D62AA}" name="Order" dataDxfId="10"/>
    <tableColumn id="3" xr3:uid="{AE892081-11A1-41B6-8A59-2746EE9A7E83}" name="Subform" dataDxfId="9"/>
    <tableColumn id="4" xr3:uid="{D95010E4-2838-4C86-902F-FFE1B05CA0ED}" name="Section" dataDxfId="8"/>
    <tableColumn id="5" xr3:uid="{D13B095F-41FB-4630-9901-EEF4C52E12FE}" name="Item" dataDxfId="7"/>
    <tableColumn id="6" xr3:uid="{BC4FF0CE-8F30-4624-837D-324F8D499536}" name="FieldType" dataDxfId="6"/>
    <tableColumn id="7" xr3:uid="{02ACBD2A-EAA6-4C50-959B-37D6F1021970}" name="FldNameEN" dataDxfId="5"/>
    <tableColumn id="8" xr3:uid="{3F4B9EC1-E6FD-4CB2-8B97-60CAC34E3FC8}" name="FldNameFR" dataDxfId="4"/>
    <tableColumn id="9" xr3:uid="{5D74C6B5-8238-41B5-98D4-2FC9C46F4842}" name="FldNameES" dataDxfId="3"/>
    <tableColumn id="10" xr3:uid="{964A8F5C-6419-4165-BF16-92D9EF05DAC7}" name="fldDescEN" dataDxfId="2"/>
    <tableColumn id="11" xr3:uid="{B607D4F4-D5FD-40AF-B190-813B72F94E13}" name="fldDescFR" dataDxfId="1"/>
    <tableColumn id="12" xr3:uid="{DF455EB0-D1B1-44C6-8559-BBB7655F756B}" name="fldDescES" dataDxfId="0"/>
  </tableColumns>
  <tableStyleInfo name="TableStyleMedium5"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pageSetUpPr fitToPage="1"/>
  </sheetPr>
  <dimension ref="A1:O55"/>
  <sheetViews>
    <sheetView tabSelected="1" zoomScaleNormal="100" workbookViewId="0">
      <selection activeCell="K29" sqref="K29"/>
    </sheetView>
  </sheetViews>
  <sheetFormatPr defaultColWidth="13.33203125" defaultRowHeight="12" x14ac:dyDescent="0.3"/>
  <cols>
    <col min="1" max="1" width="16.44140625" style="2" customWidth="1"/>
    <col min="2" max="2" width="13.33203125" style="2" customWidth="1"/>
    <col min="3" max="3" width="15.88671875" style="2" customWidth="1"/>
    <col min="4" max="4" width="14" style="2" customWidth="1"/>
    <col min="5" max="5" width="12.5546875" style="2" customWidth="1"/>
    <col min="6" max="6" width="15.88671875" style="2" customWidth="1"/>
    <col min="7" max="7" width="19.33203125" style="2" bestFit="1" customWidth="1"/>
    <col min="8" max="8" width="10.33203125" style="2" customWidth="1"/>
    <col min="9" max="9" width="4.44140625" style="2" customWidth="1"/>
    <col min="10" max="10" width="6.33203125" style="2" customWidth="1"/>
    <col min="11" max="11" width="8.5546875" style="2" customWidth="1"/>
    <col min="12" max="12" width="9" style="2" customWidth="1"/>
    <col min="13" max="13" width="7" style="2" customWidth="1"/>
    <col min="14" max="14" width="8.44140625" style="2" customWidth="1"/>
    <col min="15" max="15" width="8" style="2" customWidth="1"/>
    <col min="16" max="16384" width="13.33203125" style="2"/>
  </cols>
  <sheetData>
    <row r="1" spans="1:15" s="4" customFormat="1" ht="19.8" x14ac:dyDescent="0.3">
      <c r="A1" s="196" t="str">
        <f>VLOOKUP("T00",tblTranslation[],LangFieldID,FALSE)</f>
        <v>CP39-AccAgr</v>
      </c>
      <c r="B1" s="202" t="str">
        <f>VLOOKUP("T00",tblTranslation[],LangNameID,FALSE)</f>
        <v>ACCESS AGREEMENTS THAT ALLOW FOREIGN-FLAGGED VESSELS TO FISH IN WATERS UNDER THEIR JURISDICTION</v>
      </c>
      <c r="C1" s="202"/>
      <c r="D1" s="202"/>
      <c r="E1" s="202"/>
      <c r="F1" s="202"/>
      <c r="G1" s="202"/>
      <c r="H1" s="202"/>
      <c r="I1" s="202"/>
      <c r="J1" s="202"/>
      <c r="K1" s="202"/>
      <c r="L1" s="202"/>
      <c r="M1" s="202"/>
      <c r="N1" s="11" t="str">
        <f>VLOOKUP("tVersion",tblTranslation[],LangFieldID,FALSE)</f>
        <v>Version</v>
      </c>
      <c r="O1" s="12" t="str">
        <f>VLOOKUP("tLang",tblTranslation[],LangFieldID,FALSE)</f>
        <v>Language</v>
      </c>
    </row>
    <row r="2" spans="1:15" s="4" customFormat="1" x14ac:dyDescent="0.3">
      <c r="A2" s="197"/>
      <c r="B2" s="203" t="str">
        <f>VLOOKUP("T02",tblTranslation[],LangFieldID,FALSE)&amp;": "&amp; VLOOKUP("T02",tblTranslation[],LangNameID,FALSE)</f>
        <v>ICCAT: INTERNATIONAL COMMISSION FOR THE CONSERVATION OF ATLANTIC TUNAS</v>
      </c>
      <c r="C2" s="203"/>
      <c r="D2" s="203"/>
      <c r="E2" s="203"/>
      <c r="F2" s="203"/>
      <c r="G2" s="203"/>
      <c r="H2" s="203"/>
      <c r="I2" s="203"/>
      <c r="J2" s="203"/>
      <c r="K2" s="203"/>
      <c r="L2" s="203"/>
      <c r="M2" s="203"/>
      <c r="N2" s="13" t="s">
        <v>1974</v>
      </c>
      <c r="O2" s="1" t="s">
        <v>1884</v>
      </c>
    </row>
    <row r="3" spans="1:15" s="7" customFormat="1" ht="10.199999999999999" x14ac:dyDescent="0.3">
      <c r="A3" s="93"/>
      <c r="C3" s="48"/>
      <c r="D3" s="48"/>
      <c r="E3" s="48"/>
      <c r="F3" s="48"/>
      <c r="G3" s="48"/>
      <c r="H3" s="48"/>
      <c r="I3" s="48"/>
      <c r="O3" s="94"/>
    </row>
    <row r="4" spans="1:15" s="7" customFormat="1" ht="10.199999999999999" x14ac:dyDescent="0.3">
      <c r="A4" s="200" t="str">
        <f>VLOOKUP("H10",tblTranslation[],LangFieldID,FALSE)</f>
        <v>Flag Correspondent</v>
      </c>
      <c r="B4" s="201"/>
      <c r="C4" s="201"/>
      <c r="D4" s="201"/>
      <c r="E4" s="201"/>
      <c r="F4" s="201"/>
      <c r="G4" s="201"/>
      <c r="H4" s="201"/>
      <c r="I4" s="18" t="str">
        <f>IF(AND(B5&gt;0,B6&gt;0,B7&gt;0,G5&gt;0,G6&gt;0), "ok", "inc")</f>
        <v>inc</v>
      </c>
      <c r="J4" s="206" t="str">
        <f>VLOOKUP("H20",tblTranslation[],LangFieldID,FALSE)</f>
        <v>Secretariat use only</v>
      </c>
      <c r="K4" s="207"/>
      <c r="L4" s="207"/>
      <c r="M4" s="207"/>
      <c r="N4" s="207"/>
      <c r="O4" s="58" t="s">
        <v>549</v>
      </c>
    </row>
    <row r="5" spans="1:15" s="7" customFormat="1" ht="10.199999999999999" x14ac:dyDescent="0.3">
      <c r="A5" s="106" t="str">
        <f>VLOOKUP("hPerson",tblTranslation[],LangFieldID,FALSE)</f>
        <v>Name</v>
      </c>
      <c r="B5" s="198"/>
      <c r="C5" s="198"/>
      <c r="D5" s="198"/>
      <c r="E5" s="25"/>
      <c r="F5" s="107" t="str">
        <f>VLOOKUP("hEmail",tblTranslation[],LangFieldID,FALSE)</f>
        <v>Email</v>
      </c>
      <c r="G5" s="204"/>
      <c r="H5" s="204"/>
      <c r="I5" s="22"/>
      <c r="J5" s="174" t="str">
        <f>VLOOKUP("hDateRep",tblTranslation[],LangFieldID,FALSE)</f>
        <v>Date reported</v>
      </c>
      <c r="K5" s="175"/>
      <c r="L5" s="205"/>
      <c r="M5" s="205"/>
      <c r="N5" s="108"/>
      <c r="O5" s="191" t="s">
        <v>565</v>
      </c>
    </row>
    <row r="6" spans="1:15" s="7" customFormat="1" ht="10.199999999999999" x14ac:dyDescent="0.3">
      <c r="A6" s="106" t="str">
        <f>VLOOKUP("hAgency",tblTranslation[],LangFieldID,FALSE)</f>
        <v>Reporting Agency</v>
      </c>
      <c r="B6" s="198"/>
      <c r="C6" s="198"/>
      <c r="D6" s="198"/>
      <c r="E6" s="198"/>
      <c r="F6" s="107" t="str">
        <f>VLOOKUP("hPhone",tblTranslation[],LangFieldID,FALSE)</f>
        <v>Phone</v>
      </c>
      <c r="G6" s="109"/>
      <c r="H6" s="25"/>
      <c r="I6" s="22"/>
      <c r="J6" s="174" t="str">
        <f>VLOOKUP("hRef",tblTranslation[],LangFieldID,FALSE)</f>
        <v>Reference Nº</v>
      </c>
      <c r="K6" s="175"/>
      <c r="L6" s="199"/>
      <c r="M6" s="199"/>
      <c r="N6" s="49"/>
      <c r="O6" s="191"/>
    </row>
    <row r="7" spans="1:15" s="7" customFormat="1" ht="10.199999999999999" x14ac:dyDescent="0.3">
      <c r="A7" s="106" t="str">
        <f>VLOOKUP("hAddress",tblTranslation[],LangFieldID,FALSE)</f>
        <v>Address</v>
      </c>
      <c r="B7" s="198"/>
      <c r="C7" s="198"/>
      <c r="D7" s="198"/>
      <c r="E7" s="198"/>
      <c r="F7" s="108"/>
      <c r="G7" s="108"/>
      <c r="H7" s="108"/>
      <c r="I7" s="22"/>
      <c r="J7" s="174" t="s">
        <v>655</v>
      </c>
      <c r="K7" s="175"/>
      <c r="L7" s="61"/>
      <c r="M7" s="49"/>
      <c r="N7" s="49"/>
      <c r="O7" s="191"/>
    </row>
    <row r="8" spans="1:15" s="7" customFormat="1" ht="10.199999999999999" x14ac:dyDescent="0.3">
      <c r="A8" s="106"/>
      <c r="B8" s="108"/>
      <c r="C8" s="108"/>
      <c r="D8" s="108"/>
      <c r="E8" s="108"/>
      <c r="F8" s="108"/>
      <c r="G8" s="108"/>
      <c r="H8" s="108"/>
      <c r="I8" s="22"/>
      <c r="J8" s="192" t="str">
        <f>VLOOKUP("hFname",tblTranslation[],LangFieldID,FALSE)&amp;":"</f>
        <v>File name (proposed):</v>
      </c>
      <c r="K8" s="193"/>
      <c r="L8" s="193"/>
      <c r="M8" s="16"/>
      <c r="N8" s="49"/>
      <c r="O8" s="60"/>
    </row>
    <row r="9" spans="1:15" s="7" customFormat="1" ht="10.199999999999999" x14ac:dyDescent="0.3">
      <c r="A9" s="9"/>
      <c r="B9" s="15"/>
      <c r="C9" s="15"/>
      <c r="D9" s="15"/>
      <c r="E9" s="15"/>
      <c r="F9" s="15"/>
      <c r="G9" s="15"/>
      <c r="H9" s="15"/>
      <c r="I9" s="26"/>
      <c r="J9" s="194" t="str">
        <f>IF(AND(I4="ok",I10="ok"),"CP39_"&amp;IF(LEN(D11)&gt;0,D11,F11)&amp;"-"&amp;IF(LEN(D12)&gt;0,D12,F12)&amp;IF(AND(L5&gt;0,L6&gt;0),"#"&amp;L6&amp;".xlsx","#[suffix].xlsx"),"")</f>
        <v/>
      </c>
      <c r="K9" s="195"/>
      <c r="L9" s="195"/>
      <c r="M9" s="195"/>
      <c r="N9" s="195"/>
      <c r="O9" s="50"/>
    </row>
    <row r="10" spans="1:15" s="7" customFormat="1" ht="10.199999999999999" x14ac:dyDescent="0.3">
      <c r="A10" s="172" t="str">
        <f>VLOOKUP("H30",tblTranslation[],LangFieldID,FALSE)</f>
        <v>Data set characteristics</v>
      </c>
      <c r="B10" s="173"/>
      <c r="C10" s="173"/>
      <c r="D10" s="173"/>
      <c r="E10" s="173"/>
      <c r="F10" s="108"/>
      <c r="G10" s="108"/>
      <c r="H10" s="108"/>
      <c r="I10" s="21" t="str">
        <f>IF(AND(OR(C11&gt;0,F11&gt;0),OR(C12&gt;0,F12&gt;0),B14&gt;0,D14&gt;0,C16&gt;0,C17&gt;0,B19&gt;0,E19&gt;0,A21&gt;0,A30&gt;0), "ok", "inc")</f>
        <v>inc</v>
      </c>
      <c r="J10" s="19" t="str">
        <f>VLOOKUP("hNotes",tblTranslation[],LangFieldID,FALSE)</f>
        <v>Notes</v>
      </c>
      <c r="K10" s="19"/>
      <c r="L10" s="19"/>
      <c r="M10" s="108"/>
      <c r="N10" s="108"/>
      <c r="O10" s="20"/>
    </row>
    <row r="11" spans="1:15" s="7" customFormat="1" ht="10.199999999999999" x14ac:dyDescent="0.3">
      <c r="A11" s="185" t="str">
        <f>VLOOKUP("hFlagRep1",tblTranslation[],LangFieldID,FALSE)</f>
        <v>Reporting Flag being granted access</v>
      </c>
      <c r="B11" s="186"/>
      <c r="C11" s="109"/>
      <c r="D11" s="108" t="str">
        <f>IF(C11&gt;0,VLOOKUP(C11,Codes!A3:B162,2,FALSE),"")</f>
        <v/>
      </c>
      <c r="E11" s="107" t="str">
        <f>VLOOKUP("hFlagOth1",tblTranslation[],LangFieldID,FALSE)</f>
        <v>or Other (specify)</v>
      </c>
      <c r="F11" s="109"/>
      <c r="G11" s="108"/>
      <c r="H11" s="108"/>
      <c r="I11" s="19"/>
      <c r="J11" s="208"/>
      <c r="K11" s="208"/>
      <c r="L11" s="208"/>
      <c r="M11" s="208"/>
      <c r="N11" s="208"/>
      <c r="O11" s="209"/>
    </row>
    <row r="12" spans="1:15" s="7" customFormat="1" ht="10.199999999999999" x14ac:dyDescent="0.3">
      <c r="A12" s="185" t="str">
        <f>VLOOKUP("hFlagRep2",tblTranslation[],LangFieldID,FALSE)</f>
        <v>Reporting Flag granting access</v>
      </c>
      <c r="B12" s="186"/>
      <c r="C12" s="109"/>
      <c r="D12" s="108" t="str">
        <f>IF(C12&gt;0,VLOOKUP(C12,Codes!A3:B162,2,FALSE),"")</f>
        <v/>
      </c>
      <c r="E12" s="107" t="str">
        <f>VLOOKUP("hFlagOth2",tblTranslation[],LangFieldID,FALSE)</f>
        <v>or Other (specify)</v>
      </c>
      <c r="F12" s="109"/>
      <c r="G12" s="108"/>
      <c r="H12" s="108"/>
      <c r="I12" s="108"/>
      <c r="J12" s="208"/>
      <c r="K12" s="208"/>
      <c r="L12" s="208"/>
      <c r="M12" s="208"/>
      <c r="N12" s="208"/>
      <c r="O12" s="209"/>
    </row>
    <row r="13" spans="1:15" s="7" customFormat="1" ht="17.7" customHeight="1" x14ac:dyDescent="0.2">
      <c r="A13" s="95" t="str">
        <f>VLOOKUP("hPeriod",tblTranslation[],LangFieldID,FALSE)</f>
        <v>Time period covered by the agreement</v>
      </c>
      <c r="B13" s="92"/>
      <c r="C13" s="108"/>
      <c r="D13" s="108"/>
      <c r="E13" s="108"/>
      <c r="F13" s="108"/>
      <c r="G13" s="108"/>
      <c r="H13" s="108"/>
      <c r="I13" s="108"/>
      <c r="J13" s="208"/>
      <c r="K13" s="208"/>
      <c r="L13" s="208"/>
      <c r="M13" s="208"/>
      <c r="N13" s="208"/>
      <c r="O13" s="209"/>
    </row>
    <row r="14" spans="1:15" s="7" customFormat="1" ht="10.199999999999999" x14ac:dyDescent="0.3">
      <c r="A14" s="106" t="str">
        <f>VLOOKUP("hPeriodFrom",tblTranslation[],LangFieldID,FALSE)</f>
        <v>From</v>
      </c>
      <c r="B14" s="96"/>
      <c r="C14" s="22" t="str">
        <f>VLOOKUP("hPeriodTo",tblTranslation[],LangFieldID,FALSE)</f>
        <v>to</v>
      </c>
      <c r="D14" s="96"/>
      <c r="E14" s="108"/>
      <c r="F14" s="108"/>
      <c r="G14" s="108"/>
      <c r="H14" s="108"/>
      <c r="I14" s="19"/>
      <c r="J14" s="208"/>
      <c r="K14" s="208"/>
      <c r="L14" s="208"/>
      <c r="M14" s="208"/>
      <c r="N14" s="208"/>
      <c r="O14" s="209"/>
    </row>
    <row r="15" spans="1:15" s="7" customFormat="1" ht="17.7" customHeight="1" x14ac:dyDescent="0.2">
      <c r="A15" s="187" t="str">
        <f>VLOOKUP("hContact",tblTranslation[],LangFieldID,FALSE)</f>
        <v>Contact Coordinates</v>
      </c>
      <c r="B15" s="188"/>
      <c r="C15" s="92"/>
      <c r="D15" s="108"/>
      <c r="E15" s="108"/>
      <c r="F15" s="108"/>
      <c r="G15" s="108"/>
      <c r="H15" s="108"/>
      <c r="I15" s="19"/>
      <c r="J15" s="208"/>
      <c r="K15" s="208"/>
      <c r="L15" s="208"/>
      <c r="M15" s="208"/>
      <c r="N15" s="208"/>
      <c r="O15" s="209"/>
    </row>
    <row r="16" spans="1:15" s="7" customFormat="1" ht="10.199999999999999" x14ac:dyDescent="0.3">
      <c r="A16" s="174" t="str">
        <f>VLOOKUP("hContactIssuer",tblTranslation[],LangFieldID,FALSE)</f>
        <v>Issuer of fishing licenses or permits</v>
      </c>
      <c r="B16" s="175"/>
      <c r="C16" s="198"/>
      <c r="D16" s="198"/>
      <c r="E16" s="198"/>
      <c r="F16" s="198"/>
      <c r="G16" s="108"/>
      <c r="H16" s="108"/>
      <c r="I16" s="19"/>
      <c r="J16" s="208"/>
      <c r="K16" s="208"/>
      <c r="L16" s="208"/>
      <c r="M16" s="208"/>
      <c r="N16" s="208"/>
      <c r="O16" s="209"/>
    </row>
    <row r="17" spans="1:15" s="7" customFormat="1" ht="10.199999999999999" x14ac:dyDescent="0.3">
      <c r="A17" s="174" t="str">
        <f>VLOOKUP("hContactMCS",tblTranslation[],LangFieldID,FALSE)</f>
        <v>Responsible for MCS activities</v>
      </c>
      <c r="B17" s="175"/>
      <c r="C17" s="198"/>
      <c r="D17" s="198"/>
      <c r="E17" s="198"/>
      <c r="F17" s="198"/>
      <c r="G17" s="108"/>
      <c r="H17" s="108"/>
      <c r="I17" s="19"/>
      <c r="J17" s="208"/>
      <c r="K17" s="208"/>
      <c r="L17" s="208"/>
      <c r="M17" s="208"/>
      <c r="N17" s="208"/>
      <c r="O17" s="209"/>
    </row>
    <row r="18" spans="1:15" s="7" customFormat="1" ht="17.7" customHeight="1" thickBot="1" x14ac:dyDescent="0.25">
      <c r="A18" s="187" t="str">
        <f>VLOOKUP("hAgreement",tblTranslation[],LangFieldID,FALSE)</f>
        <v>Written agreement</v>
      </c>
      <c r="B18" s="188"/>
      <c r="C18" s="108"/>
      <c r="D18" s="108"/>
      <c r="E18" s="108"/>
      <c r="F18" s="108"/>
      <c r="G18" s="108"/>
      <c r="H18" s="108"/>
      <c r="I18" s="19"/>
      <c r="J18" s="219"/>
      <c r="K18" s="219"/>
      <c r="L18" s="219"/>
      <c r="M18" s="219"/>
      <c r="N18" s="219"/>
      <c r="O18" s="51"/>
    </row>
    <row r="19" spans="1:15" s="7" customFormat="1" ht="10.199999999999999" x14ac:dyDescent="0.3">
      <c r="A19" s="106" t="str">
        <f>VLOOKUP("hAgreementFile",tblTranslation[],LangFieldID,FALSE)</f>
        <v>File name</v>
      </c>
      <c r="B19" s="198"/>
      <c r="C19" s="198"/>
      <c r="D19" s="107" t="str">
        <f>VLOOKUP("hAgreementYN",tblTranslation[],LangFieldID,FALSE)</f>
        <v>Attached</v>
      </c>
      <c r="E19" s="109"/>
      <c r="F19" s="108"/>
      <c r="G19" s="108"/>
      <c r="H19" s="108"/>
      <c r="I19" s="19"/>
      <c r="J19" s="216" t="s">
        <v>623</v>
      </c>
      <c r="K19" s="217"/>
      <c r="L19" s="217"/>
      <c r="M19" s="217"/>
      <c r="N19" s="218"/>
      <c r="O19" s="51"/>
    </row>
    <row r="20" spans="1:15" s="7" customFormat="1" ht="17.7" customHeight="1" x14ac:dyDescent="0.2">
      <c r="A20" s="214" t="str">
        <f>VLOOKUP("hMCSmeasures",tblTranslation[],LangFieldID,FALSE)</f>
        <v>Monitoring, control, and surveillance measures required by the flag CPC and coastal State involved (Max. 1000 characters)</v>
      </c>
      <c r="B20" s="215"/>
      <c r="C20" s="215"/>
      <c r="D20" s="215"/>
      <c r="E20" s="215"/>
      <c r="F20" s="215"/>
      <c r="G20" s="215"/>
      <c r="H20" s="215"/>
      <c r="I20" s="19"/>
      <c r="J20" s="30" t="str">
        <f>VLOOKUP("T04",tblTranslation[],LangFieldID,FALSE)</f>
        <v>CP39B</v>
      </c>
      <c r="K20" s="210" t="str">
        <f>VLOOKUP("T04",tblTranslation[],LangNameID,FALSE)</f>
        <v>Summary of the activities carried out pursuant to these agreements</v>
      </c>
      <c r="L20" s="210"/>
      <c r="M20" s="210"/>
      <c r="N20" s="211"/>
      <c r="O20" s="51"/>
    </row>
    <row r="21" spans="1:15" s="7" customFormat="1" ht="10.8" thickBot="1" x14ac:dyDescent="0.35">
      <c r="A21" s="189"/>
      <c r="B21" s="190"/>
      <c r="C21" s="190"/>
      <c r="D21" s="190"/>
      <c r="E21" s="190"/>
      <c r="F21" s="190"/>
      <c r="G21" s="190"/>
      <c r="H21" s="190"/>
      <c r="I21" s="19"/>
      <c r="J21" s="98"/>
      <c r="K21" s="212"/>
      <c r="L21" s="212"/>
      <c r="M21" s="212"/>
      <c r="N21" s="213"/>
      <c r="O21" s="51"/>
    </row>
    <row r="22" spans="1:15" s="7" customFormat="1" ht="10.199999999999999" x14ac:dyDescent="0.3">
      <c r="A22" s="189"/>
      <c r="B22" s="190"/>
      <c r="C22" s="190"/>
      <c r="D22" s="190"/>
      <c r="E22" s="190"/>
      <c r="F22" s="190"/>
      <c r="G22" s="190"/>
      <c r="H22" s="190"/>
      <c r="I22" s="19"/>
      <c r="J22" s="19"/>
      <c r="K22" s="19"/>
      <c r="L22" s="19"/>
      <c r="M22" s="19"/>
      <c r="N22" s="19"/>
      <c r="O22" s="51"/>
    </row>
    <row r="23" spans="1:15" s="7" customFormat="1" ht="10.199999999999999" x14ac:dyDescent="0.3">
      <c r="A23" s="189"/>
      <c r="B23" s="190"/>
      <c r="C23" s="190"/>
      <c r="D23" s="190"/>
      <c r="E23" s="190"/>
      <c r="F23" s="190"/>
      <c r="G23" s="190"/>
      <c r="H23" s="190"/>
      <c r="I23" s="19"/>
      <c r="J23" s="19"/>
      <c r="K23" s="19"/>
      <c r="L23" s="19"/>
      <c r="M23" s="19"/>
      <c r="N23" s="19"/>
      <c r="O23" s="51"/>
    </row>
    <row r="24" spans="1:15" s="7" customFormat="1" ht="10.199999999999999" x14ac:dyDescent="0.3">
      <c r="A24" s="189"/>
      <c r="B24" s="190"/>
      <c r="C24" s="190"/>
      <c r="D24" s="190"/>
      <c r="E24" s="190"/>
      <c r="F24" s="190"/>
      <c r="G24" s="190"/>
      <c r="H24" s="190"/>
      <c r="I24" s="19"/>
      <c r="J24" s="19"/>
      <c r="K24" s="19"/>
      <c r="L24" s="19"/>
      <c r="M24" s="19"/>
      <c r="N24" s="19"/>
      <c r="O24" s="51"/>
    </row>
    <row r="25" spans="1:15" s="7" customFormat="1" ht="10.199999999999999" x14ac:dyDescent="0.3">
      <c r="A25" s="189"/>
      <c r="B25" s="190"/>
      <c r="C25" s="190"/>
      <c r="D25" s="190"/>
      <c r="E25" s="190"/>
      <c r="F25" s="190"/>
      <c r="G25" s="190"/>
      <c r="H25" s="190"/>
      <c r="I25" s="19"/>
      <c r="J25" s="19"/>
      <c r="K25" s="19"/>
      <c r="L25" s="19"/>
      <c r="M25" s="19"/>
      <c r="N25" s="19"/>
      <c r="O25" s="51"/>
    </row>
    <row r="26" spans="1:15" s="7" customFormat="1" ht="10.199999999999999" x14ac:dyDescent="0.3">
      <c r="A26" s="189"/>
      <c r="B26" s="190"/>
      <c r="C26" s="190"/>
      <c r="D26" s="190"/>
      <c r="E26" s="190"/>
      <c r="F26" s="190"/>
      <c r="G26" s="190"/>
      <c r="H26" s="190"/>
      <c r="I26" s="19"/>
      <c r="J26" s="19"/>
      <c r="K26" s="19"/>
      <c r="L26" s="19"/>
      <c r="M26" s="19"/>
      <c r="N26" s="19"/>
      <c r="O26" s="51"/>
    </row>
    <row r="27" spans="1:15" s="7" customFormat="1" ht="10.199999999999999" x14ac:dyDescent="0.3">
      <c r="A27" s="189"/>
      <c r="B27" s="190"/>
      <c r="C27" s="190"/>
      <c r="D27" s="190"/>
      <c r="E27" s="190"/>
      <c r="F27" s="190"/>
      <c r="G27" s="190"/>
      <c r="H27" s="190"/>
      <c r="I27" s="19"/>
      <c r="J27" s="19"/>
      <c r="K27" s="19"/>
      <c r="L27" s="19"/>
      <c r="M27" s="19"/>
      <c r="N27" s="19"/>
      <c r="O27" s="51"/>
    </row>
    <row r="28" spans="1:15" s="7" customFormat="1" ht="10.199999999999999" x14ac:dyDescent="0.3">
      <c r="A28" s="189"/>
      <c r="B28" s="190"/>
      <c r="C28" s="190"/>
      <c r="D28" s="190"/>
      <c r="E28" s="190"/>
      <c r="F28" s="190"/>
      <c r="G28" s="190"/>
      <c r="H28" s="190"/>
      <c r="I28" s="19"/>
      <c r="J28" s="19"/>
      <c r="K28" s="19"/>
      <c r="L28" s="19"/>
      <c r="M28" s="19"/>
      <c r="N28" s="19"/>
      <c r="O28" s="51"/>
    </row>
    <row r="29" spans="1:15" s="7" customFormat="1" ht="17.7" customHeight="1" x14ac:dyDescent="0.2">
      <c r="A29" s="214" t="str">
        <f>VLOOKUP("hRepObligations",tblTranslation[],LangFieldID,FALSE)</f>
        <v>Data reporting obligations stipulated in the agreement, between the Parties involved and information that must be provided to the Commission (Max. 1000 characters)</v>
      </c>
      <c r="B29" s="215"/>
      <c r="C29" s="215"/>
      <c r="D29" s="215"/>
      <c r="E29" s="215"/>
      <c r="F29" s="215"/>
      <c r="G29" s="215"/>
      <c r="H29" s="215"/>
      <c r="I29" s="19"/>
      <c r="J29" s="19"/>
      <c r="K29" s="19"/>
      <c r="L29" s="19"/>
      <c r="M29" s="19"/>
      <c r="N29" s="19"/>
      <c r="O29" s="51"/>
    </row>
    <row r="30" spans="1:15" s="7" customFormat="1" ht="10.5" customHeight="1" x14ac:dyDescent="0.3">
      <c r="A30" s="189"/>
      <c r="B30" s="190"/>
      <c r="C30" s="190"/>
      <c r="D30" s="190"/>
      <c r="E30" s="190"/>
      <c r="F30" s="190"/>
      <c r="G30" s="190"/>
      <c r="H30" s="190"/>
      <c r="I30" s="19"/>
      <c r="J30" s="19"/>
      <c r="K30" s="19"/>
      <c r="L30" s="19"/>
      <c r="M30" s="19"/>
      <c r="N30" s="19"/>
      <c r="O30" s="51"/>
    </row>
    <row r="31" spans="1:15" s="7" customFormat="1" ht="10.199999999999999" x14ac:dyDescent="0.3">
      <c r="A31" s="189"/>
      <c r="B31" s="190"/>
      <c r="C31" s="190"/>
      <c r="D31" s="190"/>
      <c r="E31" s="190"/>
      <c r="F31" s="190"/>
      <c r="G31" s="190"/>
      <c r="H31" s="190"/>
      <c r="I31" s="19"/>
      <c r="J31" s="19"/>
      <c r="K31" s="19"/>
      <c r="L31" s="19"/>
      <c r="M31" s="19"/>
      <c r="N31" s="19"/>
      <c r="O31" s="51"/>
    </row>
    <row r="32" spans="1:15" s="7" customFormat="1" ht="10.199999999999999" x14ac:dyDescent="0.3">
      <c r="A32" s="189"/>
      <c r="B32" s="190"/>
      <c r="C32" s="190"/>
      <c r="D32" s="190"/>
      <c r="E32" s="190"/>
      <c r="F32" s="190"/>
      <c r="G32" s="190"/>
      <c r="H32" s="190"/>
      <c r="I32" s="19"/>
      <c r="J32" s="19"/>
      <c r="K32" s="19"/>
      <c r="L32" s="19"/>
      <c r="M32" s="19"/>
      <c r="N32" s="19"/>
      <c r="O32" s="51"/>
    </row>
    <row r="33" spans="1:15" s="7" customFormat="1" ht="10.199999999999999" x14ac:dyDescent="0.3">
      <c r="A33" s="189"/>
      <c r="B33" s="190"/>
      <c r="C33" s="190"/>
      <c r="D33" s="190"/>
      <c r="E33" s="190"/>
      <c r="F33" s="190"/>
      <c r="G33" s="190"/>
      <c r="H33" s="190"/>
      <c r="I33" s="19"/>
      <c r="J33" s="19"/>
      <c r="K33" s="19"/>
      <c r="L33" s="19"/>
      <c r="M33" s="19"/>
      <c r="N33" s="19"/>
      <c r="O33" s="51"/>
    </row>
    <row r="34" spans="1:15" s="7" customFormat="1" ht="10.199999999999999" x14ac:dyDescent="0.3">
      <c r="A34" s="189"/>
      <c r="B34" s="190"/>
      <c r="C34" s="190"/>
      <c r="D34" s="190"/>
      <c r="E34" s="190"/>
      <c r="F34" s="190"/>
      <c r="G34" s="190"/>
      <c r="H34" s="190"/>
      <c r="I34" s="19"/>
      <c r="J34" s="19"/>
      <c r="K34" s="19"/>
      <c r="L34" s="19"/>
      <c r="M34" s="19"/>
      <c r="N34" s="19"/>
      <c r="O34" s="51"/>
    </row>
    <row r="35" spans="1:15" s="7" customFormat="1" ht="10.199999999999999" x14ac:dyDescent="0.3">
      <c r="A35" s="189"/>
      <c r="B35" s="190"/>
      <c r="C35" s="190"/>
      <c r="D35" s="190"/>
      <c r="E35" s="190"/>
      <c r="F35" s="190"/>
      <c r="G35" s="190"/>
      <c r="H35" s="190"/>
      <c r="I35" s="19"/>
      <c r="J35" s="19"/>
      <c r="K35" s="19"/>
      <c r="L35" s="19"/>
      <c r="M35" s="19"/>
      <c r="N35" s="19"/>
      <c r="O35" s="51"/>
    </row>
    <row r="36" spans="1:15" s="7" customFormat="1" ht="10.199999999999999" x14ac:dyDescent="0.3">
      <c r="A36" s="189"/>
      <c r="B36" s="190"/>
      <c r="C36" s="190"/>
      <c r="D36" s="190"/>
      <c r="E36" s="190"/>
      <c r="F36" s="190"/>
      <c r="G36" s="190"/>
      <c r="H36" s="190"/>
      <c r="I36" s="19"/>
      <c r="J36" s="19"/>
      <c r="K36" s="19"/>
      <c r="L36" s="19"/>
      <c r="M36" s="19"/>
      <c r="N36" s="19"/>
      <c r="O36" s="51"/>
    </row>
    <row r="37" spans="1:15" s="7" customFormat="1" ht="10.199999999999999" x14ac:dyDescent="0.3">
      <c r="A37" s="189"/>
      <c r="B37" s="190"/>
      <c r="C37" s="190"/>
      <c r="D37" s="190"/>
      <c r="E37" s="190"/>
      <c r="F37" s="190"/>
      <c r="G37" s="190"/>
      <c r="H37" s="190"/>
      <c r="I37" s="19"/>
      <c r="J37" s="19"/>
      <c r="K37" s="19"/>
      <c r="L37" s="19"/>
      <c r="M37" s="19"/>
      <c r="N37" s="19"/>
      <c r="O37" s="51"/>
    </row>
    <row r="38" spans="1:15" s="7" customFormat="1" ht="10.199999999999999" x14ac:dyDescent="0.3">
      <c r="A38" s="27"/>
      <c r="B38" s="15"/>
      <c r="C38" s="15"/>
      <c r="D38" s="15"/>
      <c r="E38" s="15"/>
      <c r="F38" s="15"/>
      <c r="G38" s="15"/>
      <c r="H38" s="15"/>
      <c r="I38" s="15"/>
      <c r="J38" s="15"/>
      <c r="K38" s="15"/>
      <c r="L38" s="15"/>
      <c r="M38" s="15"/>
      <c r="N38" s="15"/>
      <c r="O38" s="14"/>
    </row>
    <row r="39" spans="1:15" s="7" customFormat="1" ht="13.8" x14ac:dyDescent="0.3">
      <c r="A39" s="182" t="str">
        <f>VLOOKUP("T03",tblTranslation[],LangFieldID,FALSE) &amp;": "&amp; VLOOKUP("T03",tblTranslation[],LangNameID,FALSE)</f>
        <v>CP39A: Access Agreements details (characteristics)</v>
      </c>
      <c r="B39" s="183"/>
      <c r="C39" s="183"/>
      <c r="D39" s="183"/>
      <c r="E39" s="184"/>
    </row>
    <row r="40" spans="1:15" s="7" customFormat="1" ht="10.199999999999999" x14ac:dyDescent="0.3">
      <c r="A40" s="176" t="str">
        <f>VLOOKUP("D10",tblTranslation[],LangFieldID,FALSE)</f>
        <v>Mandatory information (Access Agreements)</v>
      </c>
      <c r="B40" s="177"/>
      <c r="C40" s="177"/>
      <c r="D40" s="177"/>
      <c r="E40" s="178"/>
    </row>
    <row r="41" spans="1:15" s="7" customFormat="1" ht="10.199999999999999" x14ac:dyDescent="0.3">
      <c r="A41" s="179" t="str">
        <f>VLOOKUP("D11",tblTranslation[],LangFieldID,FALSE)</f>
        <v>Fishing Activities Authorized</v>
      </c>
      <c r="B41" s="180"/>
      <c r="C41" s="180"/>
      <c r="D41" s="180"/>
      <c r="E41" s="181"/>
    </row>
    <row r="42" spans="1:15" s="31" customFormat="1" ht="10.5" customHeight="1" x14ac:dyDescent="0.3">
      <c r="A42" s="24" t="str">
        <f>VLOOKUP(A$44,tblTranslation[],LangFieldID,FALSE)</f>
        <v>Gear (cod)</v>
      </c>
      <c r="B42" s="23" t="str">
        <f>VLOOKUP(B$44,tblTranslation[],LangFieldID,FALSE)</f>
        <v>No. Vessels</v>
      </c>
      <c r="C42" s="24" t="str">
        <f>VLOOKUP(C$44,tblTranslation[],LangFieldID,FALSE)</f>
        <v>Species (cod)</v>
      </c>
      <c r="D42" s="23" t="str">
        <f>VLOOKUP(D$44,tblTranslation[],LangFieldID,FALSE)</f>
        <v>Amount Authorized (t)</v>
      </c>
      <c r="E42" s="23" t="str">
        <f>VLOOKUP(E$44,tblTranslation[],LangFieldID,FALSE)</f>
        <v>CPC’s quota (t)</v>
      </c>
    </row>
    <row r="43" spans="1:15" s="10" customFormat="1" ht="10.199999999999999" x14ac:dyDescent="0.3">
      <c r="A43" s="10" t="str">
        <f>REPT("+",19)</f>
        <v>+++++++++++++++++++</v>
      </c>
      <c r="B43" s="10" t="str">
        <f>REPT("+",17)</f>
        <v>+++++++++++++++++</v>
      </c>
      <c r="C43" s="10" t="str">
        <f>REPT("+",22)</f>
        <v>++++++++++++++++++++++</v>
      </c>
      <c r="D43" s="10" t="str">
        <f>REPT("+",19)</f>
        <v>+++++++++++++++++++</v>
      </c>
      <c r="E43" s="10" t="str">
        <f>REPT("+",16)</f>
        <v>++++++++++++++++</v>
      </c>
    </row>
    <row r="44" spans="1:15" s="6" customFormat="1" ht="10.8" thickBot="1" x14ac:dyDescent="0.35">
      <c r="A44" s="143" t="s">
        <v>769</v>
      </c>
      <c r="B44" s="144" t="s">
        <v>770</v>
      </c>
      <c r="C44" s="144" t="s">
        <v>771</v>
      </c>
      <c r="D44" s="144" t="s">
        <v>772</v>
      </c>
      <c r="E44" s="144" t="s">
        <v>773</v>
      </c>
    </row>
    <row r="45" spans="1:15" s="28" customFormat="1" ht="10.199999999999999" x14ac:dyDescent="0.3">
      <c r="A45" s="140"/>
      <c r="B45" s="132"/>
      <c r="C45" s="131"/>
      <c r="D45" s="133"/>
      <c r="E45" s="133"/>
    </row>
    <row r="46" spans="1:15" s="28" customFormat="1" ht="10.199999999999999" x14ac:dyDescent="0.3">
      <c r="A46" s="141"/>
      <c r="B46" s="135"/>
      <c r="C46" s="134"/>
      <c r="D46" s="136"/>
      <c r="E46" s="136"/>
    </row>
    <row r="47" spans="1:15" s="28" customFormat="1" ht="10.199999999999999" x14ac:dyDescent="0.3">
      <c r="A47" s="142"/>
      <c r="B47" s="138"/>
      <c r="C47" s="137"/>
      <c r="D47" s="139"/>
      <c r="E47" s="139"/>
    </row>
    <row r="48" spans="1:15" s="28" customFormat="1" ht="10.199999999999999" x14ac:dyDescent="0.3">
      <c r="A48" s="141"/>
      <c r="B48" s="135"/>
      <c r="C48" s="134"/>
      <c r="D48" s="136"/>
      <c r="E48" s="136"/>
    </row>
    <row r="49" spans="1:5" s="28" customFormat="1" ht="10.199999999999999" x14ac:dyDescent="0.3">
      <c r="A49" s="142"/>
      <c r="B49" s="138"/>
      <c r="C49" s="137"/>
      <c r="D49" s="139"/>
      <c r="E49" s="139"/>
    </row>
    <row r="50" spans="1:5" s="28" customFormat="1" ht="10.199999999999999" x14ac:dyDescent="0.3">
      <c r="A50" s="141"/>
      <c r="B50" s="135"/>
      <c r="C50" s="134"/>
      <c r="D50" s="136"/>
      <c r="E50" s="136"/>
    </row>
    <row r="51" spans="1:5" s="28" customFormat="1" ht="10.199999999999999" x14ac:dyDescent="0.3">
      <c r="A51" s="142"/>
      <c r="B51" s="138"/>
      <c r="C51" s="137"/>
      <c r="D51" s="139"/>
      <c r="E51" s="139"/>
    </row>
    <row r="52" spans="1:5" s="28" customFormat="1" ht="10.199999999999999" x14ac:dyDescent="0.3">
      <c r="A52" s="141"/>
      <c r="B52" s="135"/>
      <c r="C52" s="134"/>
      <c r="D52" s="136"/>
      <c r="E52" s="136"/>
    </row>
    <row r="53" spans="1:5" s="28" customFormat="1" ht="10.199999999999999" x14ac:dyDescent="0.3">
      <c r="A53" s="142"/>
      <c r="B53" s="138"/>
      <c r="C53" s="137"/>
      <c r="D53" s="139"/>
      <c r="E53" s="139"/>
    </row>
    <row r="54" spans="1:5" s="29" customFormat="1" ht="10.199999999999999" x14ac:dyDescent="0.3">
      <c r="A54" s="145"/>
      <c r="B54" s="145"/>
      <c r="C54" s="145"/>
      <c r="D54" s="145"/>
      <c r="E54" s="146"/>
    </row>
    <row r="55" spans="1:5" s="29" customFormat="1" ht="10.199999999999999" x14ac:dyDescent="0.3"/>
  </sheetData>
  <sheetProtection algorithmName="SHA-512" hashValue="OrXcdJqw/oSMny1h4EUXinzvOhrwjZmcOJKDIUmdk6wSUNEWts5ExsddgQ0Hgb6wcmGbw5XEdfyg8RLV0vNO2g==" saltValue="/Ppw3n+WmtIYavQZIy7G7w==" spinCount="100000" sheet="1" scenarios="1" formatCells="0" formatRows="0" insertRows="0" deleteRows="0" autoFilter="0"/>
  <dataConsolidate link="1"/>
  <mergeCells count="38">
    <mergeCell ref="J11:O17"/>
    <mergeCell ref="C16:F16"/>
    <mergeCell ref="C17:F17"/>
    <mergeCell ref="K20:N21"/>
    <mergeCell ref="A29:H29"/>
    <mergeCell ref="A21:H28"/>
    <mergeCell ref="A18:B18"/>
    <mergeCell ref="B19:C19"/>
    <mergeCell ref="J19:N19"/>
    <mergeCell ref="J18:N18"/>
    <mergeCell ref="A20:H20"/>
    <mergeCell ref="J9:N9"/>
    <mergeCell ref="A1:A2"/>
    <mergeCell ref="B6:E6"/>
    <mergeCell ref="B7:E7"/>
    <mergeCell ref="L6:M6"/>
    <mergeCell ref="A4:H4"/>
    <mergeCell ref="B5:D5"/>
    <mergeCell ref="B1:M1"/>
    <mergeCell ref="B2:M2"/>
    <mergeCell ref="G5:H5"/>
    <mergeCell ref="L5:M5"/>
    <mergeCell ref="J4:N4"/>
    <mergeCell ref="O5:O7"/>
    <mergeCell ref="J8:L8"/>
    <mergeCell ref="J5:K5"/>
    <mergeCell ref="J6:K6"/>
    <mergeCell ref="J7:K7"/>
    <mergeCell ref="A10:E10"/>
    <mergeCell ref="A16:B16"/>
    <mergeCell ref="A40:E40"/>
    <mergeCell ref="A41:E41"/>
    <mergeCell ref="A39:E39"/>
    <mergeCell ref="A11:B11"/>
    <mergeCell ref="A12:B12"/>
    <mergeCell ref="A17:B17"/>
    <mergeCell ref="A15:B15"/>
    <mergeCell ref="A30:H37"/>
  </mergeCells>
  <dataValidations count="9">
    <dataValidation type="list" allowBlank="1" showInputMessage="1" showErrorMessage="1" sqref="O2" xr:uid="{00000000-0002-0000-0000-000000000000}">
      <formula1>"ENG,FRA,ESP"</formula1>
    </dataValidation>
    <dataValidation type="list" allowBlank="1" showInputMessage="1" showErrorMessage="1" sqref="C11:C12" xr:uid="{00000000-0002-0000-0000-000001000000}">
      <formula1>FlagName</formula1>
    </dataValidation>
    <dataValidation type="list" allowBlank="1" showInputMessage="1" showErrorMessage="1" sqref="A45:A53" xr:uid="{00000000-0002-0000-0000-000012000000}">
      <formula1>GearCode</formula1>
    </dataValidation>
    <dataValidation type="list" allowBlank="1" showInputMessage="1" showErrorMessage="1" sqref="E19" xr:uid="{A9CFF395-879E-4F87-AFE2-A8640E38178F}">
      <formula1>"Yes,No"</formula1>
    </dataValidation>
    <dataValidation operator="lessThan" allowBlank="1" showInputMessage="1" showErrorMessage="1" sqref="B14 D14" xr:uid="{8181E3C2-BD4D-4DF9-B325-3C9F71BD8028}"/>
    <dataValidation type="whole" operator="greaterThanOrEqual" allowBlank="1" showInputMessage="1" showErrorMessage="1" sqref="B45:B53" xr:uid="{428B4A70-7957-432C-B694-7C1CD3C4E101}">
      <formula1>1</formula1>
    </dataValidation>
    <dataValidation type="list" allowBlank="1" showInputMessage="1" showErrorMessage="1" sqref="C45:C53" xr:uid="{D2B5179A-C7AA-46EA-8D25-05C30F2B26B2}">
      <formula1>SpeciesCodeMajor</formula1>
    </dataValidation>
    <dataValidation operator="greaterThanOrEqual" allowBlank="1" showInputMessage="1" showErrorMessage="1" sqref="D45:E53" xr:uid="{20267DDA-C2D2-485F-A3AF-FB3F1F71CE56}"/>
    <dataValidation type="textLength" operator="lessThanOrEqual" allowBlank="1" showInputMessage="1" showErrorMessage="1" sqref="A21:H28 A30:H37" xr:uid="{590A1C35-D9F2-42D4-9446-33C6CBBD2439}">
      <formula1>1000</formula1>
    </dataValidation>
  </dataValidations>
  <hyperlinks>
    <hyperlink ref="A11" location="FlagName" display="FlagName" xr:uid="{00000000-0004-0000-0000-00000C000000}"/>
    <hyperlink ref="H57" location="FlagCod" display="FlagCod" xr:uid="{00000000-0004-0000-0000-000000000000}"/>
    <hyperlink ref="I57" location="FlagCod" display="FlagCod" xr:uid="{00000000-0004-0000-0000-000001000000}"/>
    <hyperlink ref="L57" location="IsscfvCod" display="IsscfvCod" xr:uid="{00000000-0004-0000-0000-000002000000}"/>
    <hyperlink ref="M57" location="IsscfgCod" display="IsscfgCod" xr:uid="{00000000-0004-0000-0000-000003000000}"/>
    <hyperlink ref="O57" location="LenTypeCod" display="LenTypeCod" xr:uid="{00000000-0004-0000-0000-000005000000}"/>
    <hyperlink ref="J56:K56" location="OwOpEntityID" display="OwOpEntityID" xr:uid="{00000000-0004-0000-0000-000009000000}"/>
    <hyperlink ref="A42" location="GearCode" display="GearCode" xr:uid="{D9B5F51A-661A-43EC-BB22-2C4BA3D59BAB}"/>
    <hyperlink ref="A12" location="FlagName" display="FlagName" xr:uid="{EF765040-6DFA-4FCF-BDEE-EDB530CEE385}"/>
    <hyperlink ref="J20" location="'CP39B (SummActivities)'!A29" display="'CP39B (SummActivities)'!A29" xr:uid="{F9ABB603-C156-4050-A452-07B41E90A397}"/>
    <hyperlink ref="C42" location="SpeciesCodeMajor" display="SpeciesCodeMajor" xr:uid="{4CE85CC7-0DB3-43BF-BF14-090093D2A05B}"/>
  </hyperlinks>
  <pageMargins left="0.19685039370078741" right="0.19685039370078741" top="0.74803149606299213" bottom="0.74803149606299213" header="0.31496062992125984" footer="0.31496062992125984"/>
  <pageSetup paperSize="9" scale="90" fitToWidth="2"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pageSetUpPr fitToPage="1"/>
  </sheetPr>
  <dimension ref="A1:P37"/>
  <sheetViews>
    <sheetView zoomScaleNormal="100" workbookViewId="0">
      <selection activeCell="C46" sqref="C46"/>
    </sheetView>
  </sheetViews>
  <sheetFormatPr defaultColWidth="17.6640625" defaultRowHeight="14.4" x14ac:dyDescent="0.3"/>
  <cols>
    <col min="1" max="1" width="16.109375" style="3" customWidth="1"/>
    <col min="2" max="2" width="13.6640625" style="3" customWidth="1"/>
    <col min="3" max="6" width="11.6640625" style="3" customWidth="1"/>
    <col min="7" max="7" width="10.6640625" style="3" customWidth="1"/>
    <col min="8" max="8" width="11" style="3" customWidth="1"/>
    <col min="9" max="9" width="10.6640625" style="3" customWidth="1"/>
    <col min="10" max="11" width="10.33203125" style="3" customWidth="1"/>
    <col min="12" max="12" width="12.5546875" style="3" customWidth="1"/>
    <col min="13" max="13" width="10.33203125" style="3" customWidth="1"/>
    <col min="14" max="14" width="9.5546875" style="3" customWidth="1"/>
    <col min="15" max="15" width="6.33203125" style="3" customWidth="1"/>
    <col min="16" max="16" width="8" style="3" customWidth="1"/>
    <col min="17" max="20" width="10.33203125" style="3" customWidth="1"/>
    <col min="21" max="21" width="14.33203125" style="3" bestFit="1" customWidth="1"/>
    <col min="22" max="22" width="8.33203125" style="3" customWidth="1"/>
    <col min="23" max="23" width="10" style="3" customWidth="1"/>
    <col min="24" max="24" width="10.33203125" style="3" customWidth="1"/>
    <col min="25" max="25" width="9.6640625" style="3" bestFit="1" customWidth="1"/>
    <col min="26" max="16384" width="17.6640625" style="3"/>
  </cols>
  <sheetData>
    <row r="1" spans="1:16" s="5" customFormat="1" ht="19.8" x14ac:dyDescent="0.3">
      <c r="A1" s="196" t="str">
        <f>'CP39A (AcessAgreements)'!A1</f>
        <v>CP39-AccAgr</v>
      </c>
      <c r="B1" s="202" t="str">
        <f>'CP39A (AcessAgreements)'!B1</f>
        <v>ACCESS AGREEMENTS THAT ALLOW FOREIGN-FLAGGED VESSELS TO FISH IN WATERS UNDER THEIR JURISDICTION</v>
      </c>
      <c r="C1" s="202"/>
      <c r="D1" s="202"/>
      <c r="E1" s="202"/>
      <c r="F1" s="202"/>
      <c r="G1" s="202"/>
      <c r="H1" s="202"/>
      <c r="I1" s="202"/>
      <c r="J1" s="202"/>
      <c r="K1" s="202"/>
      <c r="L1" s="202"/>
      <c r="M1" s="202"/>
      <c r="N1" s="202"/>
      <c r="O1" s="11" t="str">
        <f>'CP39A (AcessAgreements)'!N1</f>
        <v>Version</v>
      </c>
      <c r="P1" s="12" t="str">
        <f>'CP39A (AcessAgreements)'!O1</f>
        <v>Language</v>
      </c>
    </row>
    <row r="2" spans="1:16" s="7" customFormat="1" ht="10.199999999999999" x14ac:dyDescent="0.3">
      <c r="A2" s="197"/>
      <c r="B2" s="231" t="str">
        <f>'CP39A (AcessAgreements)'!B2</f>
        <v>ICCAT: INTERNATIONAL COMMISSION FOR THE CONSERVATION OF ATLANTIC TUNAS</v>
      </c>
      <c r="C2" s="231"/>
      <c r="D2" s="231"/>
      <c r="E2" s="231"/>
      <c r="F2" s="231"/>
      <c r="G2" s="231"/>
      <c r="H2" s="231"/>
      <c r="I2" s="231"/>
      <c r="J2" s="231"/>
      <c r="K2" s="231"/>
      <c r="L2" s="231"/>
      <c r="M2" s="231"/>
      <c r="N2" s="15"/>
      <c r="O2" s="33" t="str">
        <f>'CP39A (AcessAgreements)'!N2</f>
        <v>2025a</v>
      </c>
      <c r="P2" s="34" t="str">
        <f>'CP39A (AcessAgreements)'!O2</f>
        <v>ENG</v>
      </c>
    </row>
    <row r="3" spans="1:16" s="7" customFormat="1" ht="10.199999999999999" x14ac:dyDescent="0.3"/>
    <row r="4" spans="1:16" s="7" customFormat="1" ht="10.199999999999999" x14ac:dyDescent="0.2">
      <c r="A4" s="110" t="str">
        <f>'CP39A (AcessAgreements)'!A10</f>
        <v>Data set characteristics</v>
      </c>
      <c r="B4" s="8"/>
      <c r="C4" s="8"/>
      <c r="D4" s="8"/>
      <c r="E4" s="8"/>
      <c r="F4" s="8"/>
      <c r="G4" s="225" t="str">
        <f>'CP39A (AcessAgreements)'!A20</f>
        <v>Monitoring, control, and surveillance measures required by the flag CPC and coastal State involved (Max. 1000 characters)</v>
      </c>
      <c r="H4" s="225"/>
      <c r="I4" s="225"/>
      <c r="J4" s="225"/>
      <c r="K4" s="225"/>
      <c r="L4" s="225"/>
      <c r="M4" s="225"/>
      <c r="N4" s="225"/>
      <c r="O4" s="225"/>
      <c r="P4" s="226"/>
    </row>
    <row r="5" spans="1:16" s="7" customFormat="1" ht="10.5" customHeight="1" x14ac:dyDescent="0.2">
      <c r="A5" s="220" t="str">
        <f>'CP39A (AcessAgreements)'!A11</f>
        <v>Reporting Flag being granted access</v>
      </c>
      <c r="B5" s="221"/>
      <c r="C5" s="111" t="str">
        <f>IF(LEN('CP39A (AcessAgreements)'!C11)&gt;0,'CP39A (AcessAgreements)'!C11,"")</f>
        <v/>
      </c>
      <c r="D5" s="111" t="str">
        <f>IF(LEN('CP39A (AcessAgreements)'!D11)&gt;0,'CP39A (AcessAgreements)'!D11,"")</f>
        <v/>
      </c>
      <c r="E5" s="126" t="str">
        <f>'CP39A (AcessAgreements)'!E11</f>
        <v>or Other (specify)</v>
      </c>
      <c r="F5" s="111" t="str">
        <f>IF(LEN('CP39A (AcessAgreements)'!F11)&gt;0,'CP39A (AcessAgreements)'!F11,"")</f>
        <v/>
      </c>
      <c r="G5" s="227" t="str">
        <f>IF(LEN('CP39A (AcessAgreements)'!A21)&gt;0,'CP39A (AcessAgreements)'!A21,"")</f>
        <v/>
      </c>
      <c r="H5" s="227"/>
      <c r="I5" s="227"/>
      <c r="J5" s="227"/>
      <c r="K5" s="227"/>
      <c r="L5" s="227"/>
      <c r="M5" s="227"/>
      <c r="N5" s="227"/>
      <c r="O5" s="227"/>
      <c r="P5" s="228"/>
    </row>
    <row r="6" spans="1:16" s="7" customFormat="1" ht="10.199999999999999" x14ac:dyDescent="0.2">
      <c r="A6" s="220" t="str">
        <f>'CP39A (AcessAgreements)'!A12</f>
        <v>Reporting Flag granting access</v>
      </c>
      <c r="B6" s="221"/>
      <c r="C6" s="111" t="str">
        <f>IF(LEN('CP39A (AcessAgreements)'!C12)&gt;0,'CP39A (AcessAgreements)'!C12,"")</f>
        <v/>
      </c>
      <c r="D6" s="111" t="str">
        <f>IF(LEN('CP39A (AcessAgreements)'!D12)&gt;0,'CP39A (AcessAgreements)'!D12,"")</f>
        <v/>
      </c>
      <c r="E6" s="126" t="str">
        <f>'CP39A (AcessAgreements)'!E12</f>
        <v>or Other (specify)</v>
      </c>
      <c r="F6" s="111" t="str">
        <f>IF(LEN('CP39A (AcessAgreements)'!F12)&gt;0,'CP39A (AcessAgreements)'!F12,"")</f>
        <v/>
      </c>
      <c r="G6" s="227"/>
      <c r="H6" s="227"/>
      <c r="I6" s="227"/>
      <c r="J6" s="227"/>
      <c r="K6" s="227"/>
      <c r="L6" s="227"/>
      <c r="M6" s="227"/>
      <c r="N6" s="227"/>
      <c r="O6" s="227"/>
      <c r="P6" s="228"/>
    </row>
    <row r="7" spans="1:16" s="7" customFormat="1" ht="17.7" customHeight="1" x14ac:dyDescent="0.2">
      <c r="A7" s="222" t="str">
        <f>'CP39A (AcessAgreements)'!A13</f>
        <v>Time period covered by the agreement</v>
      </c>
      <c r="B7" s="223"/>
      <c r="C7" s="126"/>
      <c r="D7" s="126"/>
      <c r="E7" s="126"/>
      <c r="F7" s="126"/>
      <c r="G7" s="227"/>
      <c r="H7" s="227"/>
      <c r="I7" s="227"/>
      <c r="J7" s="227"/>
      <c r="K7" s="227"/>
      <c r="L7" s="227"/>
      <c r="M7" s="227"/>
      <c r="N7" s="227"/>
      <c r="O7" s="227"/>
      <c r="P7" s="228"/>
    </row>
    <row r="8" spans="1:16" s="7" customFormat="1" ht="10.199999999999999" x14ac:dyDescent="0.3">
      <c r="A8" s="233" t="str">
        <f>'CP39A (AcessAgreements)'!A14</f>
        <v>From</v>
      </c>
      <c r="B8" s="234"/>
      <c r="C8" s="97" t="str">
        <f>IF(LEN('CP39A (AcessAgreements)'!B14)&gt;0,'CP39A (AcessAgreements)'!B14,"")</f>
        <v/>
      </c>
      <c r="D8" s="127" t="str">
        <f>'CP39A (AcessAgreements)'!C14</f>
        <v>to</v>
      </c>
      <c r="E8" s="97" t="str">
        <f>IF(LEN('CP39A (AcessAgreements)'!D14)&gt;0,'CP39A (AcessAgreements)'!D14,"")</f>
        <v/>
      </c>
      <c r="F8" s="126"/>
      <c r="G8" s="227"/>
      <c r="H8" s="227"/>
      <c r="I8" s="227"/>
      <c r="J8" s="227"/>
      <c r="K8" s="227"/>
      <c r="L8" s="227"/>
      <c r="M8" s="227"/>
      <c r="N8" s="227"/>
      <c r="O8" s="227"/>
      <c r="P8" s="228"/>
    </row>
    <row r="9" spans="1:16" s="7" customFormat="1" ht="10.199999999999999" x14ac:dyDescent="0.2">
      <c r="A9" s="222" t="str">
        <f>'CP39A (AcessAgreements)'!A15</f>
        <v>Contact Coordinates</v>
      </c>
      <c r="B9" s="223"/>
      <c r="C9" s="128"/>
      <c r="D9" s="126"/>
      <c r="E9" s="126"/>
      <c r="F9" s="126"/>
      <c r="G9" s="229" t="str">
        <f>'CP39A (AcessAgreements)'!A20</f>
        <v>Monitoring, control, and surveillance measures required by the flag CPC and coastal State involved (Max. 1000 characters)</v>
      </c>
      <c r="H9" s="229"/>
      <c r="I9" s="229"/>
      <c r="J9" s="229"/>
      <c r="K9" s="229"/>
      <c r="L9" s="229"/>
      <c r="M9" s="229"/>
      <c r="N9" s="229"/>
      <c r="O9" s="229"/>
      <c r="P9" s="230"/>
    </row>
    <row r="10" spans="1:16" s="7" customFormat="1" ht="10.199999999999999" x14ac:dyDescent="0.2">
      <c r="A10" s="220" t="str">
        <f>'CP39A (AcessAgreements)'!A16</f>
        <v>Issuer of fishing licenses or permits</v>
      </c>
      <c r="B10" s="221"/>
      <c r="C10" s="224" t="str">
        <f>IF(LEN('CP39A (AcessAgreements)'!C16)&gt;0,'CP39A (AcessAgreements)'!C16,"")</f>
        <v/>
      </c>
      <c r="D10" s="224"/>
      <c r="E10" s="224"/>
      <c r="F10" s="224"/>
      <c r="G10" s="227" t="str">
        <f>IF(LEN('CP39A (AcessAgreements)'!A30)&gt;0,'CP39A (AcessAgreements)'!A30,"")</f>
        <v/>
      </c>
      <c r="H10" s="227"/>
      <c r="I10" s="227"/>
      <c r="J10" s="227"/>
      <c r="K10" s="227"/>
      <c r="L10" s="227"/>
      <c r="M10" s="227"/>
      <c r="N10" s="227"/>
      <c r="O10" s="227"/>
      <c r="P10" s="228"/>
    </row>
    <row r="11" spans="1:16" s="7" customFormat="1" ht="10.5" customHeight="1" x14ac:dyDescent="0.2">
      <c r="A11" s="220" t="str">
        <f>'CP39A (AcessAgreements)'!A17</f>
        <v>Responsible for MCS activities</v>
      </c>
      <c r="B11" s="221"/>
      <c r="C11" s="224" t="str">
        <f>IF(LEN('CP39A (AcessAgreements)'!C17)&gt;0,'CP39A (AcessAgreements)'!C17,"")</f>
        <v/>
      </c>
      <c r="D11" s="224"/>
      <c r="E11" s="224"/>
      <c r="F11" s="224"/>
      <c r="G11" s="227"/>
      <c r="H11" s="227"/>
      <c r="I11" s="227"/>
      <c r="J11" s="227"/>
      <c r="K11" s="227"/>
      <c r="L11" s="227"/>
      <c r="M11" s="227"/>
      <c r="N11" s="227"/>
      <c r="O11" s="227"/>
      <c r="P11" s="228"/>
    </row>
    <row r="12" spans="1:16" s="7" customFormat="1" ht="17.7" customHeight="1" x14ac:dyDescent="0.2">
      <c r="A12" s="222" t="str">
        <f>'CP39A (AcessAgreements)'!A18</f>
        <v>Written agreement</v>
      </c>
      <c r="B12" s="223"/>
      <c r="C12" s="126"/>
      <c r="D12" s="126"/>
      <c r="E12" s="126"/>
      <c r="F12" s="126"/>
      <c r="G12" s="227"/>
      <c r="H12" s="227"/>
      <c r="I12" s="227"/>
      <c r="J12" s="227"/>
      <c r="K12" s="227"/>
      <c r="L12" s="227"/>
      <c r="M12" s="227"/>
      <c r="N12" s="227"/>
      <c r="O12" s="227"/>
      <c r="P12" s="228"/>
    </row>
    <row r="13" spans="1:16" s="7" customFormat="1" ht="10.5" customHeight="1" x14ac:dyDescent="0.3">
      <c r="A13" s="129" t="str">
        <f>'CP39A (AcessAgreements)'!A19</f>
        <v>File name</v>
      </c>
      <c r="B13" s="224" t="str">
        <f>IF(LEN('CP39A (AcessAgreements)'!B19)&gt;0,'CP39A (AcessAgreements)'!B19,"")</f>
        <v/>
      </c>
      <c r="C13" s="224"/>
      <c r="D13" s="130" t="str">
        <f>'CP39A (AcessAgreements)'!D19</f>
        <v>Attached</v>
      </c>
      <c r="E13" s="111" t="str">
        <f>IF(LEN('CP39A (AcessAgreements)'!E19)&gt;0,'CP39A (AcessAgreements)'!E19,"")</f>
        <v/>
      </c>
      <c r="F13" s="126"/>
      <c r="G13" s="227"/>
      <c r="H13" s="227"/>
      <c r="I13" s="227"/>
      <c r="J13" s="227"/>
      <c r="K13" s="227"/>
      <c r="L13" s="227"/>
      <c r="M13" s="227"/>
      <c r="N13" s="227"/>
      <c r="O13" s="227"/>
      <c r="P13" s="228"/>
    </row>
    <row r="14" spans="1:16" s="7" customFormat="1" ht="17.7" customHeight="1" thickBot="1" x14ac:dyDescent="0.25">
      <c r="A14" s="104" t="str">
        <f>VLOOKUP("hSummary",tblTranslation[],LangFieldID,FALSE)</f>
        <v>Summary of Activities (Max. 1000 characters)</v>
      </c>
      <c r="B14" s="108"/>
      <c r="C14" s="108"/>
      <c r="D14" s="108"/>
      <c r="E14" s="108"/>
      <c r="F14" s="108"/>
      <c r="G14" s="108"/>
      <c r="H14" s="99"/>
      <c r="I14" s="99"/>
      <c r="J14" s="99"/>
      <c r="K14" s="99"/>
      <c r="L14" s="99"/>
      <c r="M14" s="99"/>
      <c r="N14" s="99"/>
      <c r="O14" s="99"/>
      <c r="P14" s="100"/>
    </row>
    <row r="15" spans="1:16" s="7" customFormat="1" ht="10.199999999999999" x14ac:dyDescent="0.3">
      <c r="A15" s="190"/>
      <c r="B15" s="190"/>
      <c r="C15" s="190"/>
      <c r="D15" s="190"/>
      <c r="E15" s="190"/>
      <c r="F15" s="190"/>
      <c r="G15" s="190"/>
      <c r="H15" s="190"/>
      <c r="I15" s="190"/>
      <c r="J15" s="19"/>
      <c r="K15" s="216" t="s">
        <v>623</v>
      </c>
      <c r="L15" s="217"/>
      <c r="M15" s="217"/>
      <c r="N15" s="217"/>
      <c r="O15" s="218"/>
      <c r="P15" s="20"/>
    </row>
    <row r="16" spans="1:16" s="7" customFormat="1" ht="10.199999999999999" x14ac:dyDescent="0.3">
      <c r="A16" s="190"/>
      <c r="B16" s="190"/>
      <c r="C16" s="190"/>
      <c r="D16" s="190"/>
      <c r="E16" s="190"/>
      <c r="F16" s="190"/>
      <c r="G16" s="190"/>
      <c r="H16" s="190"/>
      <c r="I16" s="190"/>
      <c r="J16" s="19"/>
      <c r="K16" s="30" t="str">
        <f>VLOOKUP("T03",tblTranslation[],LangFieldID,FALSE)</f>
        <v>CP39A</v>
      </c>
      <c r="L16" s="210" t="str">
        <f>VLOOKUP("T03",tblTranslation[],LangNameID,FALSE)</f>
        <v>Access Agreements details (characteristics)</v>
      </c>
      <c r="M16" s="210"/>
      <c r="N16" s="210"/>
      <c r="O16" s="211"/>
      <c r="P16" s="51"/>
    </row>
    <row r="17" spans="1:16" s="7" customFormat="1" ht="10.8" thickBot="1" x14ac:dyDescent="0.35">
      <c r="A17" s="190"/>
      <c r="B17" s="190"/>
      <c r="C17" s="190"/>
      <c r="D17" s="190"/>
      <c r="E17" s="190"/>
      <c r="F17" s="190"/>
      <c r="G17" s="190"/>
      <c r="H17" s="190"/>
      <c r="I17" s="190"/>
      <c r="J17" s="19"/>
      <c r="K17" s="98"/>
      <c r="L17" s="212"/>
      <c r="M17" s="212"/>
      <c r="N17" s="212"/>
      <c r="O17" s="213"/>
      <c r="P17" s="20"/>
    </row>
    <row r="18" spans="1:16" s="7" customFormat="1" ht="21.45" customHeight="1" x14ac:dyDescent="0.3">
      <c r="A18" s="190"/>
      <c r="B18" s="190"/>
      <c r="C18" s="190"/>
      <c r="D18" s="190"/>
      <c r="E18" s="190"/>
      <c r="F18" s="190"/>
      <c r="G18" s="190"/>
      <c r="H18" s="190"/>
      <c r="I18" s="190"/>
      <c r="J18" s="19"/>
      <c r="K18" s="19"/>
      <c r="L18" s="19"/>
      <c r="M18" s="19"/>
      <c r="N18" s="19"/>
      <c r="O18" s="19"/>
      <c r="P18" s="20"/>
    </row>
    <row r="19" spans="1:16" s="7" customFormat="1" ht="10.199999999999999" x14ac:dyDescent="0.3">
      <c r="A19" s="190"/>
      <c r="B19" s="190"/>
      <c r="C19" s="190"/>
      <c r="D19" s="190"/>
      <c r="E19" s="190"/>
      <c r="F19" s="190"/>
      <c r="G19" s="190"/>
      <c r="H19" s="190"/>
      <c r="I19" s="190"/>
      <c r="J19" s="19"/>
      <c r="K19" s="19"/>
      <c r="L19" s="19"/>
      <c r="M19" s="19"/>
      <c r="N19" s="19"/>
      <c r="O19" s="19"/>
      <c r="P19" s="20"/>
    </row>
    <row r="20" spans="1:16" s="7" customFormat="1" ht="10.199999999999999" x14ac:dyDescent="0.3">
      <c r="A20" s="190"/>
      <c r="B20" s="190"/>
      <c r="C20" s="190"/>
      <c r="D20" s="190"/>
      <c r="E20" s="190"/>
      <c r="F20" s="190"/>
      <c r="G20" s="190"/>
      <c r="H20" s="190"/>
      <c r="I20" s="190"/>
      <c r="J20" s="19"/>
      <c r="K20" s="19"/>
      <c r="L20" s="19"/>
      <c r="M20" s="19"/>
      <c r="N20" s="19"/>
      <c r="O20" s="19"/>
      <c r="P20" s="20"/>
    </row>
    <row r="21" spans="1:16" s="7" customFormat="1" ht="10.199999999999999" x14ac:dyDescent="0.3">
      <c r="A21" s="190"/>
      <c r="B21" s="190"/>
      <c r="C21" s="190"/>
      <c r="D21" s="190"/>
      <c r="E21" s="190"/>
      <c r="F21" s="190"/>
      <c r="G21" s="190"/>
      <c r="H21" s="190"/>
      <c r="I21" s="190"/>
      <c r="J21" s="19"/>
      <c r="K21" s="19"/>
      <c r="L21" s="19"/>
      <c r="M21" s="19"/>
      <c r="N21" s="19"/>
      <c r="O21" s="19"/>
      <c r="P21" s="32"/>
    </row>
    <row r="22" spans="1:16" s="7" customFormat="1" ht="10.199999999999999" x14ac:dyDescent="0.3">
      <c r="A22" s="9"/>
      <c r="B22" s="15"/>
      <c r="C22" s="15"/>
      <c r="D22" s="15"/>
      <c r="E22" s="15"/>
      <c r="F22" s="15"/>
      <c r="G22" s="15"/>
      <c r="H22" s="15"/>
      <c r="I22" s="15"/>
      <c r="J22" s="15"/>
      <c r="K22" s="15"/>
      <c r="L22" s="15"/>
      <c r="M22" s="15"/>
      <c r="N22" s="15"/>
      <c r="O22" s="15"/>
      <c r="P22" s="14"/>
    </row>
    <row r="23" spans="1:16" s="7" customFormat="1" ht="13.8" x14ac:dyDescent="0.3">
      <c r="A23" s="232" t="str">
        <f>VLOOKUP("T04",tblTranslation[],LangFieldID,FALSE) &amp;": "&amp; VLOOKUP("T04",tblTranslation[],LangNameID,FALSE)</f>
        <v>CP39B: Summary of the activities carried out pursuant to these agreements</v>
      </c>
      <c r="B23" s="232"/>
      <c r="C23" s="232"/>
      <c r="D23" s="232"/>
      <c r="E23" s="232"/>
    </row>
    <row r="24" spans="1:16" s="5" customFormat="1" ht="10.5" customHeight="1" x14ac:dyDescent="0.3">
      <c r="A24" s="176" t="str">
        <f>VLOOKUP("D30",tblTranslation[],LangFieldID,FALSE)</f>
        <v>Mandatory information (Summary of Activities)</v>
      </c>
      <c r="B24" s="177"/>
      <c r="C24" s="177"/>
      <c r="D24" s="177"/>
      <c r="E24" s="178"/>
    </row>
    <row r="25" spans="1:16" s="5" customFormat="1" ht="10.5" customHeight="1" x14ac:dyDescent="0.3">
      <c r="A25" s="179" t="str">
        <f>VLOOKUP("D31",tblTranslation[],LangFieldID,FALSE)</f>
        <v>Fishing Activities Carried Out</v>
      </c>
      <c r="B25" s="180"/>
      <c r="C25" s="180"/>
      <c r="D25" s="180"/>
      <c r="E25" s="181"/>
    </row>
    <row r="26" spans="1:16" s="5" customFormat="1" ht="10.5" customHeight="1" x14ac:dyDescent="0.3">
      <c r="A26" s="24" t="str">
        <f>VLOOKUP(A$28,tblTranslation[],LangFieldID,FALSE)</f>
        <v>Gear (cod)</v>
      </c>
      <c r="B26" s="23" t="str">
        <f>VLOOKUP(B$28,tblTranslation[],LangFieldID,FALSE)</f>
        <v>No. Vessels</v>
      </c>
      <c r="C26" s="24" t="str">
        <f>VLOOKUP(C$28,tblTranslation[],LangFieldID,FALSE)</f>
        <v>Species (cod)</v>
      </c>
      <c r="D26" s="23" t="str">
        <f>VLOOKUP(D$28,tblTranslation[],LangFieldID,FALSE)</f>
        <v>Amount Authorized (t)</v>
      </c>
      <c r="E26" s="23" t="str">
        <f>VLOOKUP(E$28,tblTranslation[],LangFieldID,FALSE)</f>
        <v>CPC’s quota (t)</v>
      </c>
    </row>
    <row r="27" spans="1:16" s="5" customFormat="1" ht="10.5" customHeight="1" x14ac:dyDescent="0.3">
      <c r="A27" s="10" t="str">
        <f>REPT("+",19)</f>
        <v>+++++++++++++++++++</v>
      </c>
      <c r="B27" s="10" t="str">
        <f>REPT("+",18)</f>
        <v>++++++++++++++++++</v>
      </c>
      <c r="C27" s="10" t="str">
        <f>REPT("+",15)</f>
        <v>+++++++++++++++</v>
      </c>
      <c r="D27" s="10" t="str">
        <f>REPT("+",16)</f>
        <v>++++++++++++++++</v>
      </c>
      <c r="E27" s="10" t="str">
        <f>REPT("+",16)</f>
        <v>++++++++++++++++</v>
      </c>
    </row>
    <row r="28" spans="1:16" s="5" customFormat="1" ht="10.5" customHeight="1" thickBot="1" x14ac:dyDescent="0.35">
      <c r="A28" s="143" t="s">
        <v>774</v>
      </c>
      <c r="B28" s="144" t="s">
        <v>775</v>
      </c>
      <c r="C28" s="144" t="s">
        <v>776</v>
      </c>
      <c r="D28" s="144" t="s">
        <v>777</v>
      </c>
      <c r="E28" s="144" t="s">
        <v>778</v>
      </c>
    </row>
    <row r="29" spans="1:16" ht="10.5" customHeight="1" x14ac:dyDescent="0.3">
      <c r="A29" s="140"/>
      <c r="B29" s="132"/>
      <c r="C29" s="131"/>
      <c r="D29" s="131"/>
      <c r="E29" s="131"/>
    </row>
    <row r="30" spans="1:16" ht="10.5" customHeight="1" x14ac:dyDescent="0.3">
      <c r="A30" s="141"/>
      <c r="B30" s="135"/>
      <c r="C30" s="134"/>
      <c r="D30" s="134"/>
      <c r="E30" s="134"/>
    </row>
    <row r="31" spans="1:16" ht="10.5" customHeight="1" x14ac:dyDescent="0.3">
      <c r="A31" s="142"/>
      <c r="B31" s="138"/>
      <c r="C31" s="137"/>
      <c r="D31" s="137"/>
      <c r="E31" s="137"/>
    </row>
    <row r="32" spans="1:16" ht="10.5" customHeight="1" x14ac:dyDescent="0.3">
      <c r="A32" s="141"/>
      <c r="B32" s="135"/>
      <c r="C32" s="134"/>
      <c r="D32" s="134"/>
      <c r="E32" s="134"/>
    </row>
    <row r="33" spans="1:5" ht="10.5" customHeight="1" x14ac:dyDescent="0.3">
      <c r="A33" s="142"/>
      <c r="B33" s="138"/>
      <c r="C33" s="137"/>
      <c r="D33" s="137"/>
      <c r="E33" s="137"/>
    </row>
    <row r="34" spans="1:5" ht="10.5" customHeight="1" x14ac:dyDescent="0.3">
      <c r="A34" s="141"/>
      <c r="B34" s="135"/>
      <c r="C34" s="134"/>
      <c r="D34" s="134"/>
      <c r="E34" s="134"/>
    </row>
    <row r="35" spans="1:5" ht="10.5" customHeight="1" x14ac:dyDescent="0.3">
      <c r="A35" s="142"/>
      <c r="B35" s="138"/>
      <c r="C35" s="137"/>
      <c r="D35" s="137"/>
      <c r="E35" s="137"/>
    </row>
    <row r="36" spans="1:5" ht="10.5" customHeight="1" x14ac:dyDescent="0.3">
      <c r="A36" s="141"/>
      <c r="B36" s="135"/>
      <c r="C36" s="134"/>
      <c r="D36" s="134"/>
      <c r="E36" s="134"/>
    </row>
    <row r="37" spans="1:5" ht="10.5" customHeight="1" x14ac:dyDescent="0.3">
      <c r="A37" s="142"/>
      <c r="B37" s="138"/>
      <c r="C37" s="137"/>
      <c r="D37" s="137"/>
      <c r="E37" s="137"/>
    </row>
  </sheetData>
  <sheetProtection algorithmName="SHA-512" hashValue="s5+X1DJbw3x8yoOb3iYLMamcuPfe7+pFwHIbxHoH238LPd+cGZrtZ5ZfhqDWxz9jkuJDukWSLX/Zl4+Il4cfSg==" saltValue="VjpcTnPrcXXbwe6rrgRDXw==" spinCount="100000" sheet="1" scenarios="1" formatCells="0" formatRows="0" insertRows="0" deleteRows="0" autoFilter="0"/>
  <mergeCells count="24">
    <mergeCell ref="K15:O15"/>
    <mergeCell ref="L16:O17"/>
    <mergeCell ref="A15:I21"/>
    <mergeCell ref="A7:B7"/>
    <mergeCell ref="A8:B8"/>
    <mergeCell ref="A24:E24"/>
    <mergeCell ref="A25:E25"/>
    <mergeCell ref="A11:B11"/>
    <mergeCell ref="C11:F11"/>
    <mergeCell ref="A12:B12"/>
    <mergeCell ref="B13:C13"/>
    <mergeCell ref="A23:E23"/>
    <mergeCell ref="B1:N1"/>
    <mergeCell ref="A5:B5"/>
    <mergeCell ref="A6:B6"/>
    <mergeCell ref="A9:B9"/>
    <mergeCell ref="A10:B10"/>
    <mergeCell ref="C10:F10"/>
    <mergeCell ref="G4:P4"/>
    <mergeCell ref="G5:P8"/>
    <mergeCell ref="G9:P9"/>
    <mergeCell ref="G10:P13"/>
    <mergeCell ref="A1:A2"/>
    <mergeCell ref="B2:M2"/>
  </mergeCells>
  <dataValidations count="5">
    <dataValidation type="textLength" operator="lessThanOrEqual" allowBlank="1" showInputMessage="1" showErrorMessage="1" sqref="A15:I21" xr:uid="{90CFB213-5FFC-424A-8B8F-51BC70379D81}">
      <formula1>1000</formula1>
    </dataValidation>
    <dataValidation type="list" allowBlank="1" showInputMessage="1" showErrorMessage="1" sqref="A29:A37" xr:uid="{E355D689-FD06-4DCF-A22A-B742E381B62B}">
      <formula1>GearCode</formula1>
    </dataValidation>
    <dataValidation type="whole" operator="greaterThanOrEqual" allowBlank="1" showInputMessage="1" showErrorMessage="1" sqref="B29:B37" xr:uid="{E9F5E9DF-FFF3-4F5C-9131-0DD60740E06B}">
      <formula1>1</formula1>
    </dataValidation>
    <dataValidation type="list" allowBlank="1" showInputMessage="1" showErrorMessage="1" sqref="C29:C37" xr:uid="{813F63CD-8C03-4ED4-8E37-26BC4DE2EBE2}">
      <formula1>SpeciesCode</formula1>
    </dataValidation>
    <dataValidation operator="greaterThanOrEqual" allowBlank="1" showInputMessage="1" showErrorMessage="1" sqref="D29:E37" xr:uid="{DB656B21-AD9D-4B07-A317-8A40362EC58A}"/>
  </dataValidations>
  <hyperlinks>
    <hyperlink ref="A26" location="GearCode" display="GearCode" xr:uid="{1B619C3D-38BA-4FEB-8D90-D33531A895D9}"/>
    <hyperlink ref="K16" location="'CP39A (AcessAgreements)'!A45" display="'CP39A (AcessAgreements)'!A45" xr:uid="{C0122255-586B-4D18-B609-0A2A7F09B02C}"/>
    <hyperlink ref="C26" location="SpeciesCode" display="SpeciesCode" xr:uid="{95F444B5-7DC1-46C8-A8D1-A8B55FB34899}"/>
  </hyperlinks>
  <pageMargins left="0.39370078740157483" right="0.39370078740157483" top="0.39370078740157483" bottom="0.39370078740157483" header="0.31496062992125984" footer="0.31496062992125984"/>
  <pageSetup paperSize="9" scale="99" fitToWidth="2"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P224"/>
  <sheetViews>
    <sheetView zoomScale="90" zoomScaleNormal="90" workbookViewId="0">
      <pane ySplit="2" topLeftCell="A3" activePane="bottomLeft" state="frozen"/>
      <selection pane="bottomLeft" activeCell="A3" sqref="A3:A176"/>
    </sheetView>
  </sheetViews>
  <sheetFormatPr defaultColWidth="7.33203125" defaultRowHeight="12" x14ac:dyDescent="0.25"/>
  <cols>
    <col min="1" max="1" width="22.109375" style="17" bestFit="1" customWidth="1"/>
    <col min="2" max="2" width="8.6640625" style="17" bestFit="1" customWidth="1"/>
    <col min="3" max="3" width="6.5546875" style="17" bestFit="1" customWidth="1"/>
    <col min="4" max="4" width="8.6640625" style="17" bestFit="1" customWidth="1"/>
    <col min="5" max="5" width="2.33203125" style="17" customWidth="1"/>
    <col min="6" max="6" width="9.88671875" style="17" bestFit="1" customWidth="1"/>
    <col min="7" max="7" width="31" style="17" bestFit="1" customWidth="1"/>
    <col min="8" max="8" width="10.5546875" style="17" bestFit="1" customWidth="1"/>
    <col min="9" max="9" width="2.33203125" style="17" customWidth="1"/>
    <col min="10" max="10" width="12.44140625" style="17" bestFit="1" customWidth="1"/>
    <col min="11" max="12" width="27.88671875" style="17" bestFit="1" customWidth="1"/>
    <col min="13" max="13" width="27.109375" style="17" bestFit="1" customWidth="1"/>
    <col min="14" max="14" width="28" style="17" bestFit="1" customWidth="1"/>
    <col min="15" max="15" width="17.88671875" style="17" bestFit="1" customWidth="1"/>
    <col min="16" max="16" width="12.44140625" style="17" bestFit="1" customWidth="1"/>
    <col min="17" max="16384" width="7.33203125" style="17"/>
  </cols>
  <sheetData>
    <row r="1" spans="1:16" x14ac:dyDescent="0.25">
      <c r="A1" s="240" t="s">
        <v>570</v>
      </c>
      <c r="B1" s="240"/>
      <c r="C1" s="240"/>
      <c r="D1" s="240"/>
      <c r="F1" s="235" t="s">
        <v>676</v>
      </c>
      <c r="G1" s="235"/>
      <c r="J1" s="235" t="s">
        <v>989</v>
      </c>
      <c r="K1" s="235"/>
      <c r="L1" s="235"/>
      <c r="M1" s="235"/>
      <c r="N1" s="235"/>
      <c r="O1" s="235"/>
      <c r="P1" s="235"/>
    </row>
    <row r="2" spans="1:16" x14ac:dyDescent="0.25">
      <c r="A2" s="62" t="s">
        <v>14</v>
      </c>
      <c r="B2" s="63" t="s">
        <v>571</v>
      </c>
      <c r="C2" s="63" t="s">
        <v>385</v>
      </c>
      <c r="D2" s="64" t="s">
        <v>15</v>
      </c>
      <c r="F2" s="62" t="s">
        <v>385</v>
      </c>
      <c r="G2" s="64" t="s">
        <v>424</v>
      </c>
      <c r="J2" s="112" t="s">
        <v>706</v>
      </c>
      <c r="K2" s="113" t="s">
        <v>707</v>
      </c>
      <c r="L2" s="113" t="s">
        <v>708</v>
      </c>
      <c r="M2" s="113" t="s">
        <v>709</v>
      </c>
      <c r="N2" s="113" t="s">
        <v>710</v>
      </c>
      <c r="O2" s="113" t="s">
        <v>711</v>
      </c>
      <c r="P2" s="114" t="s">
        <v>990</v>
      </c>
    </row>
    <row r="3" spans="1:16" x14ac:dyDescent="0.25">
      <c r="A3" s="65" t="s">
        <v>154</v>
      </c>
      <c r="B3" s="17" t="s">
        <v>153</v>
      </c>
      <c r="C3" s="165" t="s">
        <v>386</v>
      </c>
      <c r="D3" s="66" t="s">
        <v>155</v>
      </c>
      <c r="F3" s="65" t="s">
        <v>386</v>
      </c>
      <c r="G3" s="66" t="s">
        <v>677</v>
      </c>
      <c r="J3" s="115" t="s">
        <v>712</v>
      </c>
      <c r="K3" s="73" t="s">
        <v>713</v>
      </c>
      <c r="L3" s="73" t="s">
        <v>714</v>
      </c>
      <c r="M3" s="73" t="s">
        <v>715</v>
      </c>
      <c r="N3" s="73" t="s">
        <v>716</v>
      </c>
      <c r="O3" s="73" t="s">
        <v>717</v>
      </c>
      <c r="P3" s="116" t="s">
        <v>991</v>
      </c>
    </row>
    <row r="4" spans="1:16" x14ac:dyDescent="0.25">
      <c r="A4" s="65" t="s">
        <v>115</v>
      </c>
      <c r="B4" s="17" t="s">
        <v>114</v>
      </c>
      <c r="C4" s="165" t="s">
        <v>386</v>
      </c>
      <c r="D4" s="66" t="s">
        <v>116</v>
      </c>
      <c r="F4" s="65" t="s">
        <v>387</v>
      </c>
      <c r="G4" s="66" t="s">
        <v>678</v>
      </c>
      <c r="J4" s="115" t="s">
        <v>718</v>
      </c>
      <c r="K4" s="73" t="s">
        <v>719</v>
      </c>
      <c r="L4" s="73" t="s">
        <v>720</v>
      </c>
      <c r="M4" s="73" t="s">
        <v>721</v>
      </c>
      <c r="N4" s="73" t="s">
        <v>722</v>
      </c>
      <c r="O4" s="73" t="s">
        <v>717</v>
      </c>
      <c r="P4" s="116" t="s">
        <v>991</v>
      </c>
    </row>
    <row r="5" spans="1:16" x14ac:dyDescent="0.25">
      <c r="A5" s="65" t="s">
        <v>42</v>
      </c>
      <c r="B5" s="17" t="s">
        <v>41</v>
      </c>
      <c r="C5" s="165" t="s">
        <v>386</v>
      </c>
      <c r="D5" s="66" t="s">
        <v>43</v>
      </c>
      <c r="F5" s="67" t="s">
        <v>388</v>
      </c>
      <c r="G5" s="68" t="s">
        <v>679</v>
      </c>
      <c r="J5" s="115" t="s">
        <v>153</v>
      </c>
      <c r="K5" s="73" t="s">
        <v>723</v>
      </c>
      <c r="L5" s="73" t="s">
        <v>721</v>
      </c>
      <c r="M5" s="73" t="s">
        <v>724</v>
      </c>
      <c r="N5" s="73" t="s">
        <v>725</v>
      </c>
      <c r="O5" s="73" t="s">
        <v>717</v>
      </c>
      <c r="P5" s="116" t="s">
        <v>991</v>
      </c>
    </row>
    <row r="6" spans="1:16" x14ac:dyDescent="0.25">
      <c r="A6" s="65" t="s">
        <v>109</v>
      </c>
      <c r="B6" s="17" t="s">
        <v>108</v>
      </c>
      <c r="C6" s="165" t="s">
        <v>386</v>
      </c>
      <c r="D6" s="66" t="s">
        <v>110</v>
      </c>
      <c r="J6" s="115" t="s">
        <v>726</v>
      </c>
      <c r="K6" s="73" t="s">
        <v>727</v>
      </c>
      <c r="L6" s="73" t="s">
        <v>728</v>
      </c>
      <c r="M6" s="73" t="s">
        <v>992</v>
      </c>
      <c r="N6" s="73" t="s">
        <v>729</v>
      </c>
      <c r="O6" s="73" t="s">
        <v>717</v>
      </c>
      <c r="P6" s="116" t="s">
        <v>991</v>
      </c>
    </row>
    <row r="7" spans="1:16" x14ac:dyDescent="0.25">
      <c r="A7" s="65" t="s">
        <v>144</v>
      </c>
      <c r="B7" s="17" t="s">
        <v>143</v>
      </c>
      <c r="C7" s="165" t="s">
        <v>386</v>
      </c>
      <c r="D7" s="66" t="s">
        <v>145</v>
      </c>
      <c r="J7" s="115" t="s">
        <v>730</v>
      </c>
      <c r="K7" s="73" t="s">
        <v>731</v>
      </c>
      <c r="L7" s="73" t="s">
        <v>732</v>
      </c>
      <c r="M7" s="73" t="s">
        <v>733</v>
      </c>
      <c r="N7" s="73" t="s">
        <v>734</v>
      </c>
      <c r="O7" s="73" t="s">
        <v>717</v>
      </c>
      <c r="P7" s="116" t="s">
        <v>991</v>
      </c>
    </row>
    <row r="8" spans="1:16" x14ac:dyDescent="0.25">
      <c r="A8" s="65" t="s">
        <v>32</v>
      </c>
      <c r="B8" s="17" t="s">
        <v>31</v>
      </c>
      <c r="C8" s="165" t="s">
        <v>386</v>
      </c>
      <c r="D8" s="66" t="s">
        <v>33</v>
      </c>
      <c r="F8" s="237" t="s">
        <v>680</v>
      </c>
      <c r="G8" s="237"/>
      <c r="H8" s="237"/>
      <c r="J8" s="115" t="s">
        <v>802</v>
      </c>
      <c r="K8" s="73" t="s">
        <v>993</v>
      </c>
      <c r="L8" s="73" t="s">
        <v>994</v>
      </c>
      <c r="M8" s="73" t="s">
        <v>995</v>
      </c>
      <c r="N8" s="73" t="s">
        <v>996</v>
      </c>
      <c r="O8" s="73" t="s">
        <v>717</v>
      </c>
      <c r="P8" s="116" t="s">
        <v>991</v>
      </c>
    </row>
    <row r="9" spans="1:16" x14ac:dyDescent="0.25">
      <c r="A9" s="65" t="s">
        <v>28</v>
      </c>
      <c r="B9" s="17" t="s">
        <v>27</v>
      </c>
      <c r="C9" s="165" t="s">
        <v>386</v>
      </c>
      <c r="D9" s="66" t="s">
        <v>29</v>
      </c>
      <c r="F9" s="69" t="s">
        <v>681</v>
      </c>
      <c r="G9" s="70" t="s">
        <v>682</v>
      </c>
      <c r="H9" s="71" t="s">
        <v>683</v>
      </c>
      <c r="J9" s="115" t="s">
        <v>804</v>
      </c>
      <c r="K9" s="73" t="s">
        <v>997</v>
      </c>
      <c r="L9" s="73" t="s">
        <v>998</v>
      </c>
      <c r="M9" s="73" t="s">
        <v>999</v>
      </c>
      <c r="N9" s="73" t="s">
        <v>1000</v>
      </c>
      <c r="O9" s="73" t="s">
        <v>717</v>
      </c>
      <c r="P9" s="116" t="s">
        <v>991</v>
      </c>
    </row>
    <row r="10" spans="1:16" x14ac:dyDescent="0.25">
      <c r="A10" s="65" t="s">
        <v>51</v>
      </c>
      <c r="B10" s="17" t="s">
        <v>50</v>
      </c>
      <c r="C10" s="165" t="s">
        <v>386</v>
      </c>
      <c r="D10" s="66" t="s">
        <v>52</v>
      </c>
      <c r="F10" s="163" t="s">
        <v>1882</v>
      </c>
      <c r="G10" s="53" t="s">
        <v>1883</v>
      </c>
      <c r="H10" s="164" t="s">
        <v>1882</v>
      </c>
      <c r="J10" s="115" t="s">
        <v>805</v>
      </c>
      <c r="K10" s="73" t="s">
        <v>1001</v>
      </c>
      <c r="L10" s="73" t="s">
        <v>1002</v>
      </c>
      <c r="M10" s="73" t="s">
        <v>1003</v>
      </c>
      <c r="N10" s="73" t="s">
        <v>1004</v>
      </c>
      <c r="O10" s="73" t="s">
        <v>717</v>
      </c>
      <c r="P10" s="116" t="s">
        <v>991</v>
      </c>
    </row>
    <row r="11" spans="1:16" x14ac:dyDescent="0.25">
      <c r="A11" s="65" t="s">
        <v>389</v>
      </c>
      <c r="B11" s="17" t="s">
        <v>73</v>
      </c>
      <c r="C11" s="165" t="s">
        <v>386</v>
      </c>
      <c r="D11" s="66" t="s">
        <v>74</v>
      </c>
      <c r="F11" s="65" t="s">
        <v>684</v>
      </c>
      <c r="G11" s="17" t="s">
        <v>685</v>
      </c>
      <c r="H11" s="66" t="s">
        <v>65</v>
      </c>
      <c r="J11" s="115" t="s">
        <v>735</v>
      </c>
      <c r="K11" s="73" t="s">
        <v>736</v>
      </c>
      <c r="L11" s="73" t="s">
        <v>737</v>
      </c>
      <c r="M11" s="73" t="s">
        <v>738</v>
      </c>
      <c r="N11" s="73" t="s">
        <v>739</v>
      </c>
      <c r="O11" s="73" t="s">
        <v>717</v>
      </c>
      <c r="P11" s="116" t="s">
        <v>991</v>
      </c>
    </row>
    <row r="12" spans="1:16" x14ac:dyDescent="0.25">
      <c r="A12" s="65" t="s">
        <v>172</v>
      </c>
      <c r="B12" s="17" t="s">
        <v>171</v>
      </c>
      <c r="C12" s="165" t="s">
        <v>386</v>
      </c>
      <c r="D12" s="66" t="s">
        <v>173</v>
      </c>
      <c r="F12" s="65" t="s">
        <v>686</v>
      </c>
      <c r="G12" s="17" t="s">
        <v>687</v>
      </c>
      <c r="H12" s="66" t="s">
        <v>686</v>
      </c>
      <c r="J12" s="115" t="s">
        <v>806</v>
      </c>
      <c r="K12" s="73" t="s">
        <v>1005</v>
      </c>
      <c r="L12" s="73" t="s">
        <v>1006</v>
      </c>
      <c r="M12" s="73" t="s">
        <v>1007</v>
      </c>
      <c r="N12" s="73" t="s">
        <v>1008</v>
      </c>
      <c r="O12" s="73" t="s">
        <v>717</v>
      </c>
      <c r="P12" s="116" t="s">
        <v>991</v>
      </c>
    </row>
    <row r="13" spans="1:16" x14ac:dyDescent="0.25">
      <c r="A13" s="65" t="s">
        <v>164</v>
      </c>
      <c r="B13" s="17" t="s">
        <v>400</v>
      </c>
      <c r="C13" s="165" t="s">
        <v>386</v>
      </c>
      <c r="D13" s="66" t="s">
        <v>401</v>
      </c>
      <c r="F13" s="65" t="s">
        <v>13</v>
      </c>
      <c r="G13" s="17" t="s">
        <v>688</v>
      </c>
      <c r="H13" s="66" t="s">
        <v>13</v>
      </c>
      <c r="J13" s="65" t="s">
        <v>96</v>
      </c>
      <c r="K13" s="17" t="s">
        <v>1022</v>
      </c>
      <c r="L13" s="17" t="s">
        <v>1023</v>
      </c>
      <c r="M13" s="17" t="s">
        <v>1024</v>
      </c>
      <c r="N13" s="17" t="s">
        <v>1025</v>
      </c>
      <c r="O13" s="17" t="s">
        <v>1026</v>
      </c>
      <c r="P13" s="119" t="s">
        <v>1027</v>
      </c>
    </row>
    <row r="14" spans="1:16" x14ac:dyDescent="0.25">
      <c r="A14" s="65" t="s">
        <v>239</v>
      </c>
      <c r="B14" s="17" t="s">
        <v>238</v>
      </c>
      <c r="C14" s="165" t="s">
        <v>386</v>
      </c>
      <c r="D14" s="66" t="s">
        <v>240</v>
      </c>
      <c r="F14" s="65" t="s">
        <v>98</v>
      </c>
      <c r="G14" s="17" t="s">
        <v>689</v>
      </c>
      <c r="H14" s="66" t="s">
        <v>98</v>
      </c>
      <c r="J14" s="65" t="s">
        <v>807</v>
      </c>
      <c r="K14" s="17" t="s">
        <v>1028</v>
      </c>
      <c r="L14" s="17" t="s">
        <v>1029</v>
      </c>
      <c r="M14" s="17" t="s">
        <v>1030</v>
      </c>
      <c r="N14" s="17" t="s">
        <v>1031</v>
      </c>
      <c r="O14" s="17" t="s">
        <v>1026</v>
      </c>
      <c r="P14" s="119" t="s">
        <v>1032</v>
      </c>
    </row>
    <row r="15" spans="1:16" x14ac:dyDescent="0.25">
      <c r="A15" s="65" t="s">
        <v>425</v>
      </c>
      <c r="B15" s="17" t="s">
        <v>39</v>
      </c>
      <c r="C15" s="165" t="s">
        <v>386</v>
      </c>
      <c r="D15" s="66" t="s">
        <v>40</v>
      </c>
      <c r="F15" s="65" t="s">
        <v>690</v>
      </c>
      <c r="G15" s="17" t="s">
        <v>691</v>
      </c>
      <c r="H15" s="66" t="s">
        <v>10</v>
      </c>
      <c r="J15" s="115" t="s">
        <v>830</v>
      </c>
      <c r="K15" s="73" t="s">
        <v>1009</v>
      </c>
      <c r="L15" s="73" t="s">
        <v>1010</v>
      </c>
      <c r="M15" s="73" t="s">
        <v>1011</v>
      </c>
      <c r="N15" s="73" t="s">
        <v>1012</v>
      </c>
      <c r="O15" s="120" t="s">
        <v>1013</v>
      </c>
      <c r="P15" s="121" t="s">
        <v>991</v>
      </c>
    </row>
    <row r="16" spans="1:16" x14ac:dyDescent="0.25">
      <c r="A16" s="65" t="s">
        <v>1972</v>
      </c>
      <c r="B16" s="17" t="s">
        <v>1973</v>
      </c>
      <c r="C16" s="165" t="s">
        <v>386</v>
      </c>
      <c r="D16" s="66" t="s">
        <v>1973</v>
      </c>
      <c r="F16" s="65" t="s">
        <v>692</v>
      </c>
      <c r="G16" s="17" t="s">
        <v>693</v>
      </c>
      <c r="H16" s="66" t="s">
        <v>692</v>
      </c>
      <c r="J16" s="115" t="s">
        <v>832</v>
      </c>
      <c r="K16" s="73" t="s">
        <v>1014</v>
      </c>
      <c r="L16" s="73" t="s">
        <v>1015</v>
      </c>
      <c r="M16" s="73" t="s">
        <v>1016</v>
      </c>
      <c r="N16" s="73" t="s">
        <v>1017</v>
      </c>
      <c r="O16" s="73" t="s">
        <v>1013</v>
      </c>
      <c r="P16" s="116" t="s">
        <v>991</v>
      </c>
    </row>
    <row r="17" spans="1:16" x14ac:dyDescent="0.25">
      <c r="A17" s="65" t="s">
        <v>1885</v>
      </c>
      <c r="B17" s="17" t="s">
        <v>1886</v>
      </c>
      <c r="C17" s="165" t="s">
        <v>386</v>
      </c>
      <c r="D17" s="66" t="s">
        <v>624</v>
      </c>
      <c r="F17" s="65" t="s">
        <v>694</v>
      </c>
      <c r="G17" s="17" t="s">
        <v>695</v>
      </c>
      <c r="H17" s="66" t="s">
        <v>696</v>
      </c>
      <c r="J17" s="115" t="s">
        <v>836</v>
      </c>
      <c r="K17" s="73" t="s">
        <v>1018</v>
      </c>
      <c r="L17" s="73" t="s">
        <v>1019</v>
      </c>
      <c r="M17" s="73" t="s">
        <v>1020</v>
      </c>
      <c r="N17" s="73" t="s">
        <v>1021</v>
      </c>
      <c r="O17" s="73" t="s">
        <v>1013</v>
      </c>
      <c r="P17" s="116" t="s">
        <v>991</v>
      </c>
    </row>
    <row r="18" spans="1:16" x14ac:dyDescent="0.25">
      <c r="A18" s="65" t="s">
        <v>1887</v>
      </c>
      <c r="B18" s="17" t="s">
        <v>1888</v>
      </c>
      <c r="C18" s="165" t="s">
        <v>386</v>
      </c>
      <c r="D18" s="66" t="s">
        <v>93</v>
      </c>
      <c r="F18" s="65" t="s">
        <v>697</v>
      </c>
      <c r="G18" s="17" t="s">
        <v>698</v>
      </c>
      <c r="H18" s="66" t="s">
        <v>127</v>
      </c>
      <c r="J18" s="67" t="s">
        <v>845</v>
      </c>
      <c r="K18" s="122" t="s">
        <v>1033</v>
      </c>
      <c r="L18" s="122" t="s">
        <v>1034</v>
      </c>
      <c r="M18" s="122" t="s">
        <v>1035</v>
      </c>
      <c r="N18" s="122" t="s">
        <v>1036</v>
      </c>
      <c r="O18" s="122" t="s">
        <v>1037</v>
      </c>
      <c r="P18" s="123" t="s">
        <v>1038</v>
      </c>
    </row>
    <row r="19" spans="1:16" x14ac:dyDescent="0.25">
      <c r="A19" s="65" t="s">
        <v>1889</v>
      </c>
      <c r="B19" s="17" t="s">
        <v>1890</v>
      </c>
      <c r="C19" s="165" t="s">
        <v>386</v>
      </c>
      <c r="D19" s="66" t="s">
        <v>86</v>
      </c>
      <c r="F19" s="65" t="s">
        <v>110</v>
      </c>
      <c r="G19" s="17" t="s">
        <v>699</v>
      </c>
      <c r="H19" s="66" t="s">
        <v>110</v>
      </c>
    </row>
    <row r="20" spans="1:16" x14ac:dyDescent="0.25">
      <c r="A20" s="65" t="s">
        <v>1891</v>
      </c>
      <c r="B20" s="17" t="s">
        <v>1892</v>
      </c>
      <c r="C20" s="165" t="s">
        <v>386</v>
      </c>
      <c r="D20" s="66" t="s">
        <v>75</v>
      </c>
      <c r="F20" s="65" t="s">
        <v>700</v>
      </c>
      <c r="G20" s="17" t="s">
        <v>701</v>
      </c>
      <c r="H20" s="66" t="s">
        <v>700</v>
      </c>
    </row>
    <row r="21" spans="1:16" x14ac:dyDescent="0.25">
      <c r="A21" s="65" t="s">
        <v>1893</v>
      </c>
      <c r="B21" s="17" t="s">
        <v>1894</v>
      </c>
      <c r="C21" s="165" t="s">
        <v>386</v>
      </c>
      <c r="D21" s="66" t="s">
        <v>87</v>
      </c>
      <c r="F21" s="65" t="s">
        <v>702</v>
      </c>
      <c r="G21" s="17" t="s">
        <v>703</v>
      </c>
      <c r="H21" s="66" t="s">
        <v>704</v>
      </c>
      <c r="J21" s="236" t="s">
        <v>988</v>
      </c>
      <c r="K21" s="236"/>
      <c r="L21" s="236"/>
      <c r="M21" s="236"/>
      <c r="N21" s="236"/>
      <c r="O21" s="236"/>
      <c r="P21" s="236"/>
    </row>
    <row r="22" spans="1:16" x14ac:dyDescent="0.25">
      <c r="A22" s="65" t="s">
        <v>1895</v>
      </c>
      <c r="B22" s="17" t="s">
        <v>1896</v>
      </c>
      <c r="C22" s="165" t="s">
        <v>386</v>
      </c>
      <c r="D22" s="66" t="s">
        <v>628</v>
      </c>
      <c r="F22" s="72" t="s">
        <v>397</v>
      </c>
      <c r="G22" s="238" t="s">
        <v>705</v>
      </c>
      <c r="H22" s="239"/>
      <c r="J22" s="112" t="s">
        <v>706</v>
      </c>
      <c r="K22" s="113" t="s">
        <v>707</v>
      </c>
      <c r="L22" s="113" t="s">
        <v>708</v>
      </c>
      <c r="M22" s="113" t="s">
        <v>709</v>
      </c>
      <c r="N22" s="113" t="s">
        <v>710</v>
      </c>
      <c r="O22" s="113" t="s">
        <v>711</v>
      </c>
      <c r="P22" s="114" t="s">
        <v>990</v>
      </c>
    </row>
    <row r="23" spans="1:16" x14ac:dyDescent="0.25">
      <c r="A23" s="65" t="s">
        <v>1897</v>
      </c>
      <c r="B23" s="17" t="s">
        <v>1898</v>
      </c>
      <c r="C23" s="165" t="s">
        <v>386</v>
      </c>
      <c r="D23" s="66" t="s">
        <v>76</v>
      </c>
      <c r="J23" s="115" t="s">
        <v>712</v>
      </c>
      <c r="K23" s="73" t="s">
        <v>713</v>
      </c>
      <c r="L23" s="73" t="s">
        <v>714</v>
      </c>
      <c r="M23" s="73" t="s">
        <v>715</v>
      </c>
      <c r="N23" s="73" t="s">
        <v>716</v>
      </c>
      <c r="O23" s="73" t="s">
        <v>717</v>
      </c>
      <c r="P23" s="116" t="s">
        <v>991</v>
      </c>
    </row>
    <row r="24" spans="1:16" x14ac:dyDescent="0.25">
      <c r="A24" s="65" t="s">
        <v>1899</v>
      </c>
      <c r="B24" s="17" t="s">
        <v>1900</v>
      </c>
      <c r="C24" s="165" t="s">
        <v>386</v>
      </c>
      <c r="D24" s="66" t="s">
        <v>84</v>
      </c>
      <c r="J24" s="115" t="s">
        <v>718</v>
      </c>
      <c r="K24" s="73" t="s">
        <v>719</v>
      </c>
      <c r="L24" s="73" t="s">
        <v>720</v>
      </c>
      <c r="M24" s="73" t="s">
        <v>721</v>
      </c>
      <c r="N24" s="73" t="s">
        <v>722</v>
      </c>
      <c r="O24" s="73" t="s">
        <v>717</v>
      </c>
      <c r="P24" s="116" t="s">
        <v>991</v>
      </c>
    </row>
    <row r="25" spans="1:16" x14ac:dyDescent="0.25">
      <c r="A25" s="65" t="s">
        <v>1901</v>
      </c>
      <c r="B25" s="17" t="s">
        <v>1902</v>
      </c>
      <c r="C25" s="165" t="s">
        <v>386</v>
      </c>
      <c r="D25" s="66" t="s">
        <v>91</v>
      </c>
      <c r="J25" s="115" t="s">
        <v>153</v>
      </c>
      <c r="K25" s="73" t="s">
        <v>723</v>
      </c>
      <c r="L25" s="73" t="s">
        <v>721</v>
      </c>
      <c r="M25" s="73" t="s">
        <v>724</v>
      </c>
      <c r="N25" s="73" t="s">
        <v>725</v>
      </c>
      <c r="O25" s="73" t="s">
        <v>717</v>
      </c>
      <c r="P25" s="116" t="s">
        <v>991</v>
      </c>
    </row>
    <row r="26" spans="1:16" x14ac:dyDescent="0.25">
      <c r="A26" s="65" t="s">
        <v>1903</v>
      </c>
      <c r="B26" s="17" t="s">
        <v>1904</v>
      </c>
      <c r="C26" s="165" t="s">
        <v>386</v>
      </c>
      <c r="D26" s="66" t="s">
        <v>629</v>
      </c>
      <c r="J26" s="115" t="s">
        <v>726</v>
      </c>
      <c r="K26" s="73" t="s">
        <v>727</v>
      </c>
      <c r="L26" s="73" t="s">
        <v>728</v>
      </c>
      <c r="M26" s="73" t="s">
        <v>992</v>
      </c>
      <c r="N26" s="73" t="s">
        <v>729</v>
      </c>
      <c r="O26" s="73" t="s">
        <v>717</v>
      </c>
      <c r="P26" s="116" t="s">
        <v>991</v>
      </c>
    </row>
    <row r="27" spans="1:16" x14ac:dyDescent="0.25">
      <c r="A27" s="65" t="s">
        <v>1905</v>
      </c>
      <c r="B27" s="17" t="s">
        <v>1906</v>
      </c>
      <c r="C27" s="165" t="s">
        <v>386</v>
      </c>
      <c r="D27" s="66" t="s">
        <v>77</v>
      </c>
      <c r="J27" s="115" t="s">
        <v>730</v>
      </c>
      <c r="K27" s="73" t="s">
        <v>731</v>
      </c>
      <c r="L27" s="73" t="s">
        <v>732</v>
      </c>
      <c r="M27" s="73" t="s">
        <v>733</v>
      </c>
      <c r="N27" s="73" t="s">
        <v>734</v>
      </c>
      <c r="O27" s="73" t="s">
        <v>717</v>
      </c>
      <c r="P27" s="116" t="s">
        <v>991</v>
      </c>
    </row>
    <row r="28" spans="1:16" x14ac:dyDescent="0.25">
      <c r="A28" s="65" t="s">
        <v>1907</v>
      </c>
      <c r="B28" s="17" t="s">
        <v>1908</v>
      </c>
      <c r="C28" s="165" t="s">
        <v>386</v>
      </c>
      <c r="D28" s="66" t="s">
        <v>78</v>
      </c>
      <c r="J28" s="115" t="s">
        <v>802</v>
      </c>
      <c r="K28" s="73" t="s">
        <v>993</v>
      </c>
      <c r="L28" s="73" t="s">
        <v>994</v>
      </c>
      <c r="M28" s="73" t="s">
        <v>995</v>
      </c>
      <c r="N28" s="73" t="s">
        <v>996</v>
      </c>
      <c r="O28" s="73" t="s">
        <v>717</v>
      </c>
      <c r="P28" s="116" t="s">
        <v>991</v>
      </c>
    </row>
    <row r="29" spans="1:16" x14ac:dyDescent="0.25">
      <c r="A29" s="65" t="s">
        <v>1909</v>
      </c>
      <c r="B29" s="17" t="s">
        <v>1910</v>
      </c>
      <c r="C29" s="165" t="s">
        <v>386</v>
      </c>
      <c r="D29" s="66" t="s">
        <v>79</v>
      </c>
      <c r="J29" s="115" t="s">
        <v>804</v>
      </c>
      <c r="K29" s="73" t="s">
        <v>997</v>
      </c>
      <c r="L29" s="73" t="s">
        <v>998</v>
      </c>
      <c r="M29" s="73" t="s">
        <v>999</v>
      </c>
      <c r="N29" s="73" t="s">
        <v>1000</v>
      </c>
      <c r="O29" s="73" t="s">
        <v>717</v>
      </c>
      <c r="P29" s="116" t="s">
        <v>991</v>
      </c>
    </row>
    <row r="30" spans="1:16" x14ac:dyDescent="0.25">
      <c r="A30" s="65" t="s">
        <v>1911</v>
      </c>
      <c r="B30" s="17" t="s">
        <v>1912</v>
      </c>
      <c r="C30" s="165" t="s">
        <v>386</v>
      </c>
      <c r="D30" s="66" t="s">
        <v>95</v>
      </c>
      <c r="J30" s="115" t="s">
        <v>805</v>
      </c>
      <c r="K30" s="73" t="s">
        <v>1001</v>
      </c>
      <c r="L30" s="73" t="s">
        <v>1002</v>
      </c>
      <c r="M30" s="73" t="s">
        <v>1003</v>
      </c>
      <c r="N30" s="73" t="s">
        <v>1004</v>
      </c>
      <c r="O30" s="73" t="s">
        <v>717</v>
      </c>
      <c r="P30" s="116" t="s">
        <v>991</v>
      </c>
    </row>
    <row r="31" spans="1:16" x14ac:dyDescent="0.25">
      <c r="A31" s="65" t="s">
        <v>1913</v>
      </c>
      <c r="B31" s="17" t="s">
        <v>1914</v>
      </c>
      <c r="C31" s="165" t="s">
        <v>386</v>
      </c>
      <c r="D31" s="66" t="s">
        <v>88</v>
      </c>
      <c r="J31" s="115" t="s">
        <v>735</v>
      </c>
      <c r="K31" s="73" t="s">
        <v>736</v>
      </c>
      <c r="L31" s="73" t="s">
        <v>737</v>
      </c>
      <c r="M31" s="73" t="s">
        <v>738</v>
      </c>
      <c r="N31" s="73" t="s">
        <v>739</v>
      </c>
      <c r="O31" s="73" t="s">
        <v>717</v>
      </c>
      <c r="P31" s="116" t="s">
        <v>991</v>
      </c>
    </row>
    <row r="32" spans="1:16" x14ac:dyDescent="0.25">
      <c r="A32" s="65" t="s">
        <v>1915</v>
      </c>
      <c r="B32" s="17" t="s">
        <v>1916</v>
      </c>
      <c r="C32" s="165" t="s">
        <v>386</v>
      </c>
      <c r="D32" s="66" t="s">
        <v>80</v>
      </c>
      <c r="J32" s="115" t="s">
        <v>806</v>
      </c>
      <c r="K32" s="73" t="s">
        <v>1005</v>
      </c>
      <c r="L32" s="73" t="s">
        <v>1006</v>
      </c>
      <c r="M32" s="73" t="s">
        <v>1007</v>
      </c>
      <c r="N32" s="73" t="s">
        <v>1008</v>
      </c>
      <c r="O32" s="117" t="s">
        <v>717</v>
      </c>
      <c r="P32" s="118" t="s">
        <v>991</v>
      </c>
    </row>
    <row r="33" spans="1:16" x14ac:dyDescent="0.25">
      <c r="A33" s="65" t="s">
        <v>1917</v>
      </c>
      <c r="B33" s="17" t="s">
        <v>1918</v>
      </c>
      <c r="C33" s="165" t="s">
        <v>386</v>
      </c>
      <c r="D33" s="66" t="s">
        <v>92</v>
      </c>
      <c r="J33" s="115" t="s">
        <v>794</v>
      </c>
      <c r="K33" s="73" t="s">
        <v>1039</v>
      </c>
      <c r="L33" s="73" t="s">
        <v>1040</v>
      </c>
      <c r="M33" s="73" t="s">
        <v>1041</v>
      </c>
      <c r="N33" s="73" t="s">
        <v>1042</v>
      </c>
      <c r="O33" s="73" t="s">
        <v>1043</v>
      </c>
      <c r="P33" s="116" t="s">
        <v>991</v>
      </c>
    </row>
    <row r="34" spans="1:16" x14ac:dyDescent="0.25">
      <c r="A34" s="65" t="s">
        <v>1919</v>
      </c>
      <c r="B34" s="17" t="s">
        <v>1920</v>
      </c>
      <c r="C34" s="165" t="s">
        <v>386</v>
      </c>
      <c r="D34" s="66" t="s">
        <v>7</v>
      </c>
      <c r="J34" s="115" t="s">
        <v>795</v>
      </c>
      <c r="K34" s="73" t="s">
        <v>1044</v>
      </c>
      <c r="L34" s="73" t="s">
        <v>1045</v>
      </c>
      <c r="M34" s="73" t="s">
        <v>1046</v>
      </c>
      <c r="N34" s="73" t="s">
        <v>1047</v>
      </c>
      <c r="O34" s="73" t="s">
        <v>1043</v>
      </c>
      <c r="P34" s="116" t="s">
        <v>991</v>
      </c>
    </row>
    <row r="35" spans="1:16" x14ac:dyDescent="0.25">
      <c r="A35" s="65" t="s">
        <v>1921</v>
      </c>
      <c r="B35" s="17" t="s">
        <v>1922</v>
      </c>
      <c r="C35" s="165" t="s">
        <v>386</v>
      </c>
      <c r="D35" s="66" t="s">
        <v>630</v>
      </c>
      <c r="J35" s="115" t="s">
        <v>796</v>
      </c>
      <c r="K35" s="73" t="s">
        <v>1048</v>
      </c>
      <c r="L35" s="73" t="s">
        <v>1049</v>
      </c>
      <c r="M35" s="73" t="s">
        <v>1050</v>
      </c>
      <c r="N35" s="73" t="s">
        <v>1051</v>
      </c>
      <c r="O35" s="73" t="s">
        <v>1043</v>
      </c>
      <c r="P35" s="116" t="s">
        <v>991</v>
      </c>
    </row>
    <row r="36" spans="1:16" x14ac:dyDescent="0.25">
      <c r="A36" s="65" t="s">
        <v>1923</v>
      </c>
      <c r="B36" s="17" t="s">
        <v>1924</v>
      </c>
      <c r="C36" s="165" t="s">
        <v>386</v>
      </c>
      <c r="D36" s="66" t="s">
        <v>81</v>
      </c>
      <c r="J36" s="115" t="s">
        <v>797</v>
      </c>
      <c r="K36" s="73" t="s">
        <v>1052</v>
      </c>
      <c r="L36" s="73" t="s">
        <v>1053</v>
      </c>
      <c r="M36" s="73" t="s">
        <v>1054</v>
      </c>
      <c r="N36" s="73" t="s">
        <v>1055</v>
      </c>
      <c r="O36" s="73" t="s">
        <v>1043</v>
      </c>
      <c r="P36" s="116" t="s">
        <v>991</v>
      </c>
    </row>
    <row r="37" spans="1:16" x14ac:dyDescent="0.25">
      <c r="A37" s="65" t="s">
        <v>1925</v>
      </c>
      <c r="B37" s="17" t="s">
        <v>1926</v>
      </c>
      <c r="C37" s="165" t="s">
        <v>386</v>
      </c>
      <c r="D37" s="66" t="s">
        <v>89</v>
      </c>
      <c r="J37" s="115" t="s">
        <v>798</v>
      </c>
      <c r="K37" s="73" t="s">
        <v>1056</v>
      </c>
      <c r="L37" s="73" t="s">
        <v>1057</v>
      </c>
      <c r="M37" s="73" t="s">
        <v>1058</v>
      </c>
      <c r="N37" s="73" t="s">
        <v>1059</v>
      </c>
      <c r="O37" s="73" t="s">
        <v>1043</v>
      </c>
      <c r="P37" s="116" t="s">
        <v>991</v>
      </c>
    </row>
    <row r="38" spans="1:16" x14ac:dyDescent="0.25">
      <c r="A38" s="65" t="s">
        <v>1927</v>
      </c>
      <c r="B38" s="17" t="s">
        <v>1928</v>
      </c>
      <c r="C38" s="165" t="s">
        <v>386</v>
      </c>
      <c r="D38" s="66" t="s">
        <v>82</v>
      </c>
      <c r="J38" s="115" t="s">
        <v>799</v>
      </c>
      <c r="K38" s="73" t="s">
        <v>1060</v>
      </c>
      <c r="L38" s="73" t="s">
        <v>1061</v>
      </c>
      <c r="M38" s="73" t="s">
        <v>1062</v>
      </c>
      <c r="N38" s="73" t="s">
        <v>1063</v>
      </c>
      <c r="O38" s="73" t="s">
        <v>1043</v>
      </c>
      <c r="P38" s="116" t="s">
        <v>991</v>
      </c>
    </row>
    <row r="39" spans="1:16" x14ac:dyDescent="0.25">
      <c r="A39" s="65" t="s">
        <v>1929</v>
      </c>
      <c r="B39" s="17" t="s">
        <v>1930</v>
      </c>
      <c r="C39" s="165" t="s">
        <v>386</v>
      </c>
      <c r="D39" s="66" t="s">
        <v>83</v>
      </c>
      <c r="J39" s="115" t="s">
        <v>800</v>
      </c>
      <c r="K39" s="73" t="s">
        <v>1064</v>
      </c>
      <c r="L39" s="73" t="s">
        <v>1065</v>
      </c>
      <c r="M39" s="73" t="s">
        <v>1066</v>
      </c>
      <c r="N39" s="73" t="s">
        <v>1067</v>
      </c>
      <c r="O39" s="73" t="s">
        <v>1043</v>
      </c>
      <c r="P39" s="116" t="s">
        <v>991</v>
      </c>
    </row>
    <row r="40" spans="1:16" x14ac:dyDescent="0.25">
      <c r="A40" s="65" t="s">
        <v>1931</v>
      </c>
      <c r="B40" s="17" t="s">
        <v>1932</v>
      </c>
      <c r="C40" s="165" t="s">
        <v>386</v>
      </c>
      <c r="D40" s="66" t="s">
        <v>8</v>
      </c>
      <c r="J40" s="115" t="s">
        <v>801</v>
      </c>
      <c r="K40" s="73" t="s">
        <v>1068</v>
      </c>
      <c r="L40" s="73" t="s">
        <v>1069</v>
      </c>
      <c r="M40" s="73" t="s">
        <v>1070</v>
      </c>
      <c r="N40" s="73" t="s">
        <v>1071</v>
      </c>
      <c r="O40" s="73" t="s">
        <v>1043</v>
      </c>
      <c r="P40" s="116" t="s">
        <v>991</v>
      </c>
    </row>
    <row r="41" spans="1:16" x14ac:dyDescent="0.25">
      <c r="A41" s="65" t="s">
        <v>1933</v>
      </c>
      <c r="B41" s="17" t="s">
        <v>1934</v>
      </c>
      <c r="C41" s="165" t="s">
        <v>386</v>
      </c>
      <c r="D41" s="66" t="s">
        <v>631</v>
      </c>
      <c r="J41" s="115" t="s">
        <v>809</v>
      </c>
      <c r="K41" s="73" t="s">
        <v>1072</v>
      </c>
      <c r="L41" s="73" t="s">
        <v>1073</v>
      </c>
      <c r="M41" s="73" t="s">
        <v>1074</v>
      </c>
      <c r="N41" s="73" t="s">
        <v>1075</v>
      </c>
      <c r="O41" s="73" t="s">
        <v>1043</v>
      </c>
      <c r="P41" s="116" t="s">
        <v>991</v>
      </c>
    </row>
    <row r="42" spans="1:16" x14ac:dyDescent="0.25">
      <c r="A42" s="65" t="s">
        <v>1935</v>
      </c>
      <c r="B42" s="17" t="s">
        <v>1936</v>
      </c>
      <c r="C42" s="165" t="s">
        <v>386</v>
      </c>
      <c r="D42" s="66" t="s">
        <v>94</v>
      </c>
      <c r="J42" s="115" t="s">
        <v>810</v>
      </c>
      <c r="K42" s="73" t="s">
        <v>1076</v>
      </c>
      <c r="L42" s="73" t="s">
        <v>1077</v>
      </c>
      <c r="M42" s="73" t="s">
        <v>1078</v>
      </c>
      <c r="N42" s="73" t="s">
        <v>1079</v>
      </c>
      <c r="O42" s="73" t="s">
        <v>1043</v>
      </c>
      <c r="P42" s="116" t="s">
        <v>991</v>
      </c>
    </row>
    <row r="43" spans="1:16" x14ac:dyDescent="0.25">
      <c r="A43" s="65" t="s">
        <v>1937</v>
      </c>
      <c r="B43" s="17" t="s">
        <v>1938</v>
      </c>
      <c r="C43" s="165" t="s">
        <v>386</v>
      </c>
      <c r="D43" s="66" t="s">
        <v>85</v>
      </c>
      <c r="J43" s="115" t="s">
        <v>811</v>
      </c>
      <c r="K43" s="73" t="s">
        <v>1080</v>
      </c>
      <c r="L43" s="73" t="s">
        <v>1081</v>
      </c>
      <c r="M43" s="73" t="s">
        <v>1082</v>
      </c>
      <c r="N43" s="73" t="s">
        <v>1083</v>
      </c>
      <c r="O43" s="73" t="s">
        <v>1043</v>
      </c>
      <c r="P43" s="116" t="s">
        <v>991</v>
      </c>
    </row>
    <row r="44" spans="1:16" x14ac:dyDescent="0.25">
      <c r="A44" s="65" t="s">
        <v>151</v>
      </c>
      <c r="B44" s="17" t="s">
        <v>150</v>
      </c>
      <c r="C44" s="165" t="s">
        <v>386</v>
      </c>
      <c r="D44" s="66" t="s">
        <v>152</v>
      </c>
      <c r="J44" s="115" t="s">
        <v>812</v>
      </c>
      <c r="K44" s="73" t="s">
        <v>1084</v>
      </c>
      <c r="L44" s="73" t="s">
        <v>1085</v>
      </c>
      <c r="M44" s="73" t="s">
        <v>1086</v>
      </c>
      <c r="N44" s="73" t="s">
        <v>1087</v>
      </c>
      <c r="O44" s="73" t="s">
        <v>1043</v>
      </c>
      <c r="P44" s="116" t="s">
        <v>991</v>
      </c>
    </row>
    <row r="45" spans="1:16" x14ac:dyDescent="0.25">
      <c r="A45" s="65" t="s">
        <v>270</v>
      </c>
      <c r="B45" s="17" t="s">
        <v>269</v>
      </c>
      <c r="C45" s="165" t="s">
        <v>386</v>
      </c>
      <c r="D45" s="66" t="s">
        <v>12</v>
      </c>
      <c r="J45" s="115" t="s">
        <v>871</v>
      </c>
      <c r="K45" s="73" t="s">
        <v>1088</v>
      </c>
      <c r="L45" s="73" t="s">
        <v>1089</v>
      </c>
      <c r="M45" s="73" t="s">
        <v>1090</v>
      </c>
      <c r="N45" s="73" t="s">
        <v>1091</v>
      </c>
      <c r="O45" s="117" t="s">
        <v>1043</v>
      </c>
      <c r="P45" s="118" t="s">
        <v>991</v>
      </c>
    </row>
    <row r="46" spans="1:16" x14ac:dyDescent="0.25">
      <c r="A46" s="65" t="s">
        <v>1939</v>
      </c>
      <c r="B46" s="17" t="s">
        <v>1940</v>
      </c>
      <c r="C46" s="165" t="s">
        <v>386</v>
      </c>
      <c r="D46" s="66" t="s">
        <v>90</v>
      </c>
      <c r="J46" s="115" t="s">
        <v>793</v>
      </c>
      <c r="K46" s="73" t="s">
        <v>1092</v>
      </c>
      <c r="L46" s="73" t="s">
        <v>1093</v>
      </c>
      <c r="M46" s="73" t="s">
        <v>1094</v>
      </c>
      <c r="N46" s="73" t="s">
        <v>1095</v>
      </c>
      <c r="O46" s="73" t="s">
        <v>1026</v>
      </c>
      <c r="P46" s="116" t="s">
        <v>991</v>
      </c>
    </row>
    <row r="47" spans="1:16" x14ac:dyDescent="0.25">
      <c r="A47" s="65" t="s">
        <v>1941</v>
      </c>
      <c r="B47" s="17" t="s">
        <v>1942</v>
      </c>
      <c r="C47" s="165" t="s">
        <v>386</v>
      </c>
      <c r="D47" s="66" t="s">
        <v>30</v>
      </c>
      <c r="J47" s="115" t="s">
        <v>803</v>
      </c>
      <c r="K47" s="73" t="s">
        <v>1096</v>
      </c>
      <c r="L47" s="73" t="s">
        <v>1097</v>
      </c>
      <c r="M47" s="73" t="s">
        <v>1098</v>
      </c>
      <c r="N47" s="73" t="s">
        <v>1099</v>
      </c>
      <c r="O47" s="73" t="s">
        <v>1026</v>
      </c>
      <c r="P47" s="116" t="s">
        <v>991</v>
      </c>
    </row>
    <row r="48" spans="1:16" x14ac:dyDescent="0.25">
      <c r="A48" s="65" t="s">
        <v>48</v>
      </c>
      <c r="B48" s="17" t="s">
        <v>47</v>
      </c>
      <c r="C48" s="165" t="s">
        <v>386</v>
      </c>
      <c r="D48" s="66" t="s">
        <v>49</v>
      </c>
      <c r="J48" s="115" t="s">
        <v>808</v>
      </c>
      <c r="K48" s="73" t="s">
        <v>1100</v>
      </c>
      <c r="L48" s="73" t="s">
        <v>1101</v>
      </c>
      <c r="M48" s="73" t="s">
        <v>1102</v>
      </c>
      <c r="N48" s="73" t="s">
        <v>1103</v>
      </c>
      <c r="O48" s="73" t="s">
        <v>1026</v>
      </c>
      <c r="P48" s="116" t="s">
        <v>991</v>
      </c>
    </row>
    <row r="49" spans="1:16" x14ac:dyDescent="0.25">
      <c r="A49" s="65" t="s">
        <v>245</v>
      </c>
      <c r="B49" s="17" t="s">
        <v>244</v>
      </c>
      <c r="C49" s="165" t="s">
        <v>386</v>
      </c>
      <c r="D49" s="66" t="s">
        <v>246</v>
      </c>
      <c r="J49" s="115" t="s">
        <v>815</v>
      </c>
      <c r="K49" s="73" t="s">
        <v>1104</v>
      </c>
      <c r="L49" s="73" t="s">
        <v>1105</v>
      </c>
      <c r="M49" s="73" t="s">
        <v>1106</v>
      </c>
      <c r="N49" s="73" t="s">
        <v>1107</v>
      </c>
      <c r="O49" s="73" t="s">
        <v>1026</v>
      </c>
      <c r="P49" s="116" t="s">
        <v>991</v>
      </c>
    </row>
    <row r="50" spans="1:16" x14ac:dyDescent="0.25">
      <c r="A50" s="65" t="s">
        <v>25</v>
      </c>
      <c r="B50" s="17" t="s">
        <v>24</v>
      </c>
      <c r="C50" s="165" t="s">
        <v>386</v>
      </c>
      <c r="D50" s="66" t="s">
        <v>26</v>
      </c>
      <c r="J50" s="115" t="s">
        <v>817</v>
      </c>
      <c r="K50" s="73" t="s">
        <v>1108</v>
      </c>
      <c r="L50" s="73" t="s">
        <v>1109</v>
      </c>
      <c r="M50" s="73" t="s">
        <v>1110</v>
      </c>
      <c r="N50" s="73" t="s">
        <v>1111</v>
      </c>
      <c r="O50" s="73" t="s">
        <v>1026</v>
      </c>
      <c r="P50" s="116" t="s">
        <v>991</v>
      </c>
    </row>
    <row r="51" spans="1:16" x14ac:dyDescent="0.25">
      <c r="A51" s="65" t="s">
        <v>1943</v>
      </c>
      <c r="B51" s="17" t="s">
        <v>1944</v>
      </c>
      <c r="C51" s="165" t="s">
        <v>386</v>
      </c>
      <c r="D51" s="66" t="s">
        <v>90</v>
      </c>
      <c r="J51" s="115" t="s">
        <v>818</v>
      </c>
      <c r="K51" s="73" t="s">
        <v>1112</v>
      </c>
      <c r="L51" s="73" t="s">
        <v>1113</v>
      </c>
      <c r="M51" s="73" t="s">
        <v>1114</v>
      </c>
      <c r="N51" s="73" t="s">
        <v>1115</v>
      </c>
      <c r="O51" s="73" t="s">
        <v>1026</v>
      </c>
      <c r="P51" s="116" t="s">
        <v>991</v>
      </c>
    </row>
    <row r="52" spans="1:16" x14ac:dyDescent="0.25">
      <c r="A52" s="65" t="s">
        <v>138</v>
      </c>
      <c r="B52" s="17" t="s">
        <v>137</v>
      </c>
      <c r="C52" s="165" t="s">
        <v>386</v>
      </c>
      <c r="D52" s="66" t="s">
        <v>139</v>
      </c>
      <c r="J52" s="115" t="s">
        <v>813</v>
      </c>
      <c r="K52" s="73" t="s">
        <v>1116</v>
      </c>
      <c r="L52" s="73" t="s">
        <v>1117</v>
      </c>
      <c r="M52" s="73" t="s">
        <v>1118</v>
      </c>
      <c r="N52" s="73" t="s">
        <v>1119</v>
      </c>
      <c r="O52" s="73" t="s">
        <v>1026</v>
      </c>
      <c r="P52" s="116" t="s">
        <v>991</v>
      </c>
    </row>
    <row r="53" spans="1:16" x14ac:dyDescent="0.25">
      <c r="A53" s="65" t="s">
        <v>62</v>
      </c>
      <c r="B53" s="17" t="s">
        <v>61</v>
      </c>
      <c r="C53" s="165" t="s">
        <v>386</v>
      </c>
      <c r="D53" s="66" t="s">
        <v>63</v>
      </c>
      <c r="J53" s="115" t="s">
        <v>819</v>
      </c>
      <c r="K53" s="73" t="s">
        <v>1120</v>
      </c>
      <c r="L53" s="73" t="s">
        <v>1121</v>
      </c>
      <c r="M53" s="73" t="s">
        <v>1122</v>
      </c>
      <c r="N53" s="73" t="s">
        <v>1123</v>
      </c>
      <c r="O53" s="73" t="s">
        <v>1026</v>
      </c>
      <c r="P53" s="116" t="s">
        <v>991</v>
      </c>
    </row>
    <row r="54" spans="1:16" x14ac:dyDescent="0.25">
      <c r="A54" s="65" t="s">
        <v>1945</v>
      </c>
      <c r="B54" s="17" t="s">
        <v>64</v>
      </c>
      <c r="C54" s="165" t="s">
        <v>386</v>
      </c>
      <c r="D54" s="66" t="s">
        <v>65</v>
      </c>
      <c r="J54" s="115" t="s">
        <v>820</v>
      </c>
      <c r="K54" s="73" t="s">
        <v>1124</v>
      </c>
      <c r="L54" s="73" t="s">
        <v>1125</v>
      </c>
      <c r="M54" s="73" t="s">
        <v>1126</v>
      </c>
      <c r="N54" s="73" t="s">
        <v>1127</v>
      </c>
      <c r="O54" s="73" t="s">
        <v>1026</v>
      </c>
      <c r="P54" s="116" t="s">
        <v>991</v>
      </c>
    </row>
    <row r="55" spans="1:16" x14ac:dyDescent="0.25">
      <c r="A55" s="65" t="s">
        <v>112</v>
      </c>
      <c r="B55" s="17" t="s">
        <v>111</v>
      </c>
      <c r="C55" s="165" t="s">
        <v>386</v>
      </c>
      <c r="D55" s="66" t="s">
        <v>113</v>
      </c>
      <c r="J55" s="115" t="s">
        <v>822</v>
      </c>
      <c r="K55" s="73" t="s">
        <v>1128</v>
      </c>
      <c r="L55" s="73" t="s">
        <v>1129</v>
      </c>
      <c r="M55" s="73" t="s">
        <v>1130</v>
      </c>
      <c r="N55" s="73" t="s">
        <v>1131</v>
      </c>
      <c r="O55" s="73" t="s">
        <v>1026</v>
      </c>
      <c r="P55" s="116" t="s">
        <v>991</v>
      </c>
    </row>
    <row r="56" spans="1:16" x14ac:dyDescent="0.25">
      <c r="A56" s="65" t="s">
        <v>124</v>
      </c>
      <c r="B56" s="17" t="s">
        <v>123</v>
      </c>
      <c r="C56" s="165" t="s">
        <v>386</v>
      </c>
      <c r="D56" s="66" t="s">
        <v>125</v>
      </c>
      <c r="J56" s="115" t="s">
        <v>823</v>
      </c>
      <c r="K56" s="73" t="s">
        <v>1132</v>
      </c>
      <c r="L56" s="73" t="s">
        <v>1133</v>
      </c>
      <c r="M56" s="73" t="s">
        <v>1134</v>
      </c>
      <c r="N56" s="73" t="s">
        <v>1135</v>
      </c>
      <c r="O56" s="73" t="s">
        <v>1026</v>
      </c>
      <c r="P56" s="116" t="s">
        <v>991</v>
      </c>
    </row>
    <row r="57" spans="1:16" x14ac:dyDescent="0.25">
      <c r="A57" s="65" t="s">
        <v>19</v>
      </c>
      <c r="B57" s="17" t="s">
        <v>18</v>
      </c>
      <c r="C57" s="165" t="s">
        <v>386</v>
      </c>
      <c r="D57" s="66" t="s">
        <v>20</v>
      </c>
      <c r="J57" s="115" t="s">
        <v>824</v>
      </c>
      <c r="K57" s="73" t="s">
        <v>1136</v>
      </c>
      <c r="L57" s="73" t="s">
        <v>1137</v>
      </c>
      <c r="M57" s="73" t="s">
        <v>1138</v>
      </c>
      <c r="N57" s="73" t="s">
        <v>1139</v>
      </c>
      <c r="O57" s="73" t="s">
        <v>1026</v>
      </c>
      <c r="P57" s="116" t="s">
        <v>991</v>
      </c>
    </row>
    <row r="58" spans="1:16" x14ac:dyDescent="0.25">
      <c r="A58" s="65" t="s">
        <v>1946</v>
      </c>
      <c r="B58" s="17" t="s">
        <v>37</v>
      </c>
      <c r="C58" s="165" t="s">
        <v>386</v>
      </c>
      <c r="D58" s="66" t="s">
        <v>38</v>
      </c>
      <c r="J58" s="115" t="s">
        <v>825</v>
      </c>
      <c r="K58" s="73" t="s">
        <v>1140</v>
      </c>
      <c r="L58" s="73" t="s">
        <v>1141</v>
      </c>
      <c r="M58" s="73" t="s">
        <v>1142</v>
      </c>
      <c r="N58" s="73" t="s">
        <v>1143</v>
      </c>
      <c r="O58" s="73" t="s">
        <v>1026</v>
      </c>
      <c r="P58" s="116" t="s">
        <v>991</v>
      </c>
    </row>
    <row r="59" spans="1:16" x14ac:dyDescent="0.25">
      <c r="A59" s="65" t="s">
        <v>189</v>
      </c>
      <c r="B59" s="17" t="s">
        <v>188</v>
      </c>
      <c r="C59" s="165" t="s">
        <v>386</v>
      </c>
      <c r="D59" s="66" t="s">
        <v>190</v>
      </c>
      <c r="J59" s="115" t="s">
        <v>821</v>
      </c>
      <c r="K59" s="73" t="s">
        <v>1144</v>
      </c>
      <c r="L59" s="73" t="s">
        <v>1145</v>
      </c>
      <c r="M59" s="73" t="s">
        <v>1146</v>
      </c>
      <c r="N59" s="73" t="s">
        <v>1147</v>
      </c>
      <c r="O59" s="73" t="s">
        <v>1026</v>
      </c>
      <c r="P59" s="119" t="s">
        <v>1148</v>
      </c>
    </row>
    <row r="60" spans="1:16" x14ac:dyDescent="0.25">
      <c r="A60" s="65" t="s">
        <v>71</v>
      </c>
      <c r="B60" s="17" t="s">
        <v>70</v>
      </c>
      <c r="C60" s="165" t="s">
        <v>386</v>
      </c>
      <c r="D60" s="66" t="s">
        <v>72</v>
      </c>
      <c r="J60" s="115" t="s">
        <v>96</v>
      </c>
      <c r="K60" s="73" t="s">
        <v>1022</v>
      </c>
      <c r="L60" s="73" t="s">
        <v>1023</v>
      </c>
      <c r="M60" s="73" t="s">
        <v>1024</v>
      </c>
      <c r="N60" s="73" t="s">
        <v>1025</v>
      </c>
      <c r="O60" s="73" t="s">
        <v>1026</v>
      </c>
      <c r="P60" s="119" t="s">
        <v>1027</v>
      </c>
    </row>
    <row r="61" spans="1:16" x14ac:dyDescent="0.25">
      <c r="A61" s="65" t="s">
        <v>35</v>
      </c>
      <c r="B61" s="17" t="s">
        <v>34</v>
      </c>
      <c r="C61" s="165" t="s">
        <v>386</v>
      </c>
      <c r="D61" s="66" t="s">
        <v>36</v>
      </c>
      <c r="J61" s="115" t="s">
        <v>807</v>
      </c>
      <c r="K61" s="73" t="s">
        <v>1028</v>
      </c>
      <c r="L61" s="73" t="s">
        <v>1029</v>
      </c>
      <c r="M61" s="73" t="s">
        <v>1030</v>
      </c>
      <c r="N61" s="73" t="s">
        <v>1031</v>
      </c>
      <c r="O61" s="117" t="s">
        <v>1026</v>
      </c>
      <c r="P61" s="123" t="s">
        <v>1032</v>
      </c>
    </row>
    <row r="62" spans="1:16" x14ac:dyDescent="0.25">
      <c r="A62" s="65" t="s">
        <v>212</v>
      </c>
      <c r="B62" s="17" t="s">
        <v>211</v>
      </c>
      <c r="C62" s="165" t="s">
        <v>386</v>
      </c>
      <c r="D62" s="66" t="s">
        <v>213</v>
      </c>
      <c r="J62" s="115" t="s">
        <v>830</v>
      </c>
      <c r="K62" s="73" t="s">
        <v>1009</v>
      </c>
      <c r="L62" s="73" t="s">
        <v>1010</v>
      </c>
      <c r="M62" s="73" t="s">
        <v>1011</v>
      </c>
      <c r="N62" s="73" t="s">
        <v>1012</v>
      </c>
      <c r="O62" s="73" t="s">
        <v>1013</v>
      </c>
      <c r="P62" s="116" t="s">
        <v>991</v>
      </c>
    </row>
    <row r="63" spans="1:16" x14ac:dyDescent="0.25">
      <c r="A63" s="65" t="s">
        <v>118</v>
      </c>
      <c r="B63" s="17" t="s">
        <v>117</v>
      </c>
      <c r="C63" s="165" t="s">
        <v>386</v>
      </c>
      <c r="D63" s="66" t="s">
        <v>119</v>
      </c>
      <c r="J63" s="115" t="s">
        <v>832</v>
      </c>
      <c r="K63" s="73" t="s">
        <v>1014</v>
      </c>
      <c r="L63" s="73" t="s">
        <v>1015</v>
      </c>
      <c r="M63" s="73" t="s">
        <v>1016</v>
      </c>
      <c r="N63" s="73" t="s">
        <v>1017</v>
      </c>
      <c r="O63" s="73" t="s">
        <v>1013</v>
      </c>
      <c r="P63" s="116" t="s">
        <v>991</v>
      </c>
    </row>
    <row r="64" spans="1:16" x14ac:dyDescent="0.25">
      <c r="A64" s="65" t="s">
        <v>106</v>
      </c>
      <c r="B64" s="17" t="s">
        <v>105</v>
      </c>
      <c r="C64" s="165" t="s">
        <v>386</v>
      </c>
      <c r="D64" s="66" t="s">
        <v>107</v>
      </c>
      <c r="J64" s="115" t="s">
        <v>836</v>
      </c>
      <c r="K64" s="73" t="s">
        <v>1018</v>
      </c>
      <c r="L64" s="73" t="s">
        <v>1019</v>
      </c>
      <c r="M64" s="73" t="s">
        <v>1020</v>
      </c>
      <c r="N64" s="73" t="s">
        <v>1021</v>
      </c>
      <c r="O64" s="117" t="s">
        <v>1013</v>
      </c>
      <c r="P64" s="118" t="s">
        <v>991</v>
      </c>
    </row>
    <row r="65" spans="1:16" x14ac:dyDescent="0.25">
      <c r="A65" s="65" t="s">
        <v>135</v>
      </c>
      <c r="B65" s="17" t="s">
        <v>134</v>
      </c>
      <c r="C65" s="165" t="s">
        <v>386</v>
      </c>
      <c r="D65" s="66" t="s">
        <v>136</v>
      </c>
      <c r="J65" s="115" t="s">
        <v>827</v>
      </c>
      <c r="K65" s="73" t="s">
        <v>1149</v>
      </c>
      <c r="L65" s="73" t="s">
        <v>1150</v>
      </c>
      <c r="M65" s="73" t="s">
        <v>1151</v>
      </c>
      <c r="N65" s="73" t="s">
        <v>1152</v>
      </c>
      <c r="O65" s="73" t="s">
        <v>1037</v>
      </c>
      <c r="P65" s="116" t="s">
        <v>991</v>
      </c>
    </row>
    <row r="66" spans="1:16" x14ac:dyDescent="0.25">
      <c r="A66" s="65" t="s">
        <v>218</v>
      </c>
      <c r="B66" s="17" t="s">
        <v>217</v>
      </c>
      <c r="C66" s="165" t="s">
        <v>386</v>
      </c>
      <c r="D66" s="66" t="s">
        <v>219</v>
      </c>
      <c r="J66" s="115" t="s">
        <v>826</v>
      </c>
      <c r="K66" s="73" t="s">
        <v>1153</v>
      </c>
      <c r="L66" s="73" t="s">
        <v>1154</v>
      </c>
      <c r="M66" s="73" t="s">
        <v>1155</v>
      </c>
      <c r="N66" s="73" t="s">
        <v>1156</v>
      </c>
      <c r="O66" s="73" t="s">
        <v>1037</v>
      </c>
      <c r="P66" s="116" t="s">
        <v>991</v>
      </c>
    </row>
    <row r="67" spans="1:16" x14ac:dyDescent="0.25">
      <c r="A67" s="65" t="s">
        <v>1947</v>
      </c>
      <c r="B67" s="17" t="s">
        <v>1948</v>
      </c>
      <c r="C67" s="165" t="s">
        <v>386</v>
      </c>
      <c r="D67" s="66" t="s">
        <v>90</v>
      </c>
      <c r="J67" s="115" t="s">
        <v>828</v>
      </c>
      <c r="K67" s="73" t="s">
        <v>1157</v>
      </c>
      <c r="L67" s="73" t="s">
        <v>1158</v>
      </c>
      <c r="M67" s="73" t="s">
        <v>1159</v>
      </c>
      <c r="N67" s="73" t="s">
        <v>1160</v>
      </c>
      <c r="O67" s="73" t="s">
        <v>1037</v>
      </c>
      <c r="P67" s="116" t="s">
        <v>991</v>
      </c>
    </row>
    <row r="68" spans="1:16" x14ac:dyDescent="0.25">
      <c r="A68" s="65" t="s">
        <v>132</v>
      </c>
      <c r="B68" s="17" t="s">
        <v>131</v>
      </c>
      <c r="C68" s="165" t="s">
        <v>386</v>
      </c>
      <c r="D68" s="66" t="s">
        <v>133</v>
      </c>
      <c r="J68" s="115" t="s">
        <v>846</v>
      </c>
      <c r="K68" s="73" t="s">
        <v>1161</v>
      </c>
      <c r="L68" s="73" t="s">
        <v>1162</v>
      </c>
      <c r="M68" s="73" t="s">
        <v>1163</v>
      </c>
      <c r="N68" s="73" t="s">
        <v>1164</v>
      </c>
      <c r="O68" s="73" t="s">
        <v>1037</v>
      </c>
      <c r="P68" s="116" t="s">
        <v>991</v>
      </c>
    </row>
    <row r="69" spans="1:16" x14ac:dyDescent="0.25">
      <c r="A69" s="65" t="s">
        <v>100</v>
      </c>
      <c r="B69" s="17" t="s">
        <v>99</v>
      </c>
      <c r="C69" s="165" t="s">
        <v>386</v>
      </c>
      <c r="D69" s="66" t="s">
        <v>101</v>
      </c>
      <c r="J69" s="115" t="s">
        <v>868</v>
      </c>
      <c r="K69" s="73" t="s">
        <v>1165</v>
      </c>
      <c r="L69" s="73" t="s">
        <v>1166</v>
      </c>
      <c r="M69" s="73" t="s">
        <v>1167</v>
      </c>
      <c r="N69" s="73" t="s">
        <v>1168</v>
      </c>
      <c r="O69" s="73" t="s">
        <v>1037</v>
      </c>
      <c r="P69" s="116" t="s">
        <v>991</v>
      </c>
    </row>
    <row r="70" spans="1:16" x14ac:dyDescent="0.25">
      <c r="A70" s="65" t="s">
        <v>129</v>
      </c>
      <c r="B70" s="17" t="s">
        <v>128</v>
      </c>
      <c r="C70" s="165" t="s">
        <v>386</v>
      </c>
      <c r="D70" s="66" t="s">
        <v>130</v>
      </c>
      <c r="J70" s="115" t="s">
        <v>867</v>
      </c>
      <c r="K70" s="73" t="s">
        <v>1169</v>
      </c>
      <c r="L70" s="73" t="s">
        <v>1170</v>
      </c>
      <c r="M70" s="73" t="s">
        <v>1171</v>
      </c>
      <c r="N70" s="73" t="s">
        <v>1172</v>
      </c>
      <c r="O70" s="73" t="s">
        <v>1037</v>
      </c>
      <c r="P70" s="116" t="s">
        <v>991</v>
      </c>
    </row>
    <row r="71" spans="1:16" x14ac:dyDescent="0.25">
      <c r="A71" s="65" t="s">
        <v>45</v>
      </c>
      <c r="B71" s="17" t="s">
        <v>44</v>
      </c>
      <c r="C71" s="165" t="s">
        <v>386</v>
      </c>
      <c r="D71" s="66" t="s">
        <v>46</v>
      </c>
      <c r="J71" s="115" t="s">
        <v>862</v>
      </c>
      <c r="K71" s="73" t="s">
        <v>1173</v>
      </c>
      <c r="L71" s="73" t="s">
        <v>1174</v>
      </c>
      <c r="M71" s="73" t="s">
        <v>1175</v>
      </c>
      <c r="N71" s="73" t="s">
        <v>1176</v>
      </c>
      <c r="O71" s="73" t="s">
        <v>1037</v>
      </c>
      <c r="P71" s="116" t="s">
        <v>991</v>
      </c>
    </row>
    <row r="72" spans="1:16" x14ac:dyDescent="0.25">
      <c r="A72" s="65" t="s">
        <v>1949</v>
      </c>
      <c r="B72" s="17" t="s">
        <v>56</v>
      </c>
      <c r="C72" s="165" t="s">
        <v>386</v>
      </c>
      <c r="D72" s="66" t="s">
        <v>57</v>
      </c>
      <c r="J72" s="115" t="s">
        <v>861</v>
      </c>
      <c r="K72" s="73" t="s">
        <v>1177</v>
      </c>
      <c r="L72" s="73" t="s">
        <v>1178</v>
      </c>
      <c r="M72" s="73" t="s">
        <v>1179</v>
      </c>
      <c r="N72" s="73" t="s">
        <v>1180</v>
      </c>
      <c r="O72" s="73" t="s">
        <v>1037</v>
      </c>
      <c r="P72" s="116" t="s">
        <v>991</v>
      </c>
    </row>
    <row r="73" spans="1:16" x14ac:dyDescent="0.25">
      <c r="A73" s="65" t="s">
        <v>1950</v>
      </c>
      <c r="B73" s="17" t="s">
        <v>1951</v>
      </c>
      <c r="C73" s="165" t="s">
        <v>386</v>
      </c>
      <c r="D73" s="66" t="s">
        <v>90</v>
      </c>
      <c r="J73" s="115" t="s">
        <v>838</v>
      </c>
      <c r="K73" s="73" t="s">
        <v>1181</v>
      </c>
      <c r="L73" s="73" t="s">
        <v>1182</v>
      </c>
      <c r="M73" s="73" t="s">
        <v>1183</v>
      </c>
      <c r="N73" s="73" t="s">
        <v>1184</v>
      </c>
      <c r="O73" s="73" t="s">
        <v>1037</v>
      </c>
      <c r="P73" s="116" t="s">
        <v>991</v>
      </c>
    </row>
    <row r="74" spans="1:16" x14ac:dyDescent="0.25">
      <c r="A74" s="65" t="s">
        <v>141</v>
      </c>
      <c r="B74" s="17" t="s">
        <v>140</v>
      </c>
      <c r="C74" s="165" t="s">
        <v>386</v>
      </c>
      <c r="D74" s="66" t="s">
        <v>142</v>
      </c>
      <c r="J74" s="115" t="s">
        <v>865</v>
      </c>
      <c r="K74" s="73" t="s">
        <v>1185</v>
      </c>
      <c r="L74" s="73" t="s">
        <v>1186</v>
      </c>
      <c r="M74" s="73" t="s">
        <v>1187</v>
      </c>
      <c r="N74" s="73" t="s">
        <v>1188</v>
      </c>
      <c r="O74" s="73" t="s">
        <v>1037</v>
      </c>
      <c r="P74" s="116" t="s">
        <v>991</v>
      </c>
    </row>
    <row r="75" spans="1:16" x14ac:dyDescent="0.25">
      <c r="A75" s="65" t="s">
        <v>157</v>
      </c>
      <c r="B75" s="17" t="s">
        <v>156</v>
      </c>
      <c r="C75" s="165" t="s">
        <v>386</v>
      </c>
      <c r="D75" s="66" t="s">
        <v>158</v>
      </c>
      <c r="J75" s="115" t="s">
        <v>848</v>
      </c>
      <c r="K75" s="73" t="s">
        <v>1189</v>
      </c>
      <c r="L75" s="73" t="s">
        <v>1190</v>
      </c>
      <c r="M75" s="73" t="s">
        <v>1191</v>
      </c>
      <c r="N75" s="73" t="s">
        <v>1192</v>
      </c>
      <c r="O75" s="73" t="s">
        <v>1037</v>
      </c>
      <c r="P75" s="116" t="s">
        <v>991</v>
      </c>
    </row>
    <row r="76" spans="1:16" x14ac:dyDescent="0.25">
      <c r="A76" s="65" t="s">
        <v>22</v>
      </c>
      <c r="B76" s="17" t="s">
        <v>21</v>
      </c>
      <c r="C76" s="165" t="s">
        <v>386</v>
      </c>
      <c r="D76" s="66" t="s">
        <v>23</v>
      </c>
      <c r="J76" s="115" t="s">
        <v>863</v>
      </c>
      <c r="K76" s="73" t="s">
        <v>1193</v>
      </c>
      <c r="L76" s="73" t="s">
        <v>1194</v>
      </c>
      <c r="M76" s="73" t="s">
        <v>1195</v>
      </c>
      <c r="N76" s="73" t="s">
        <v>1196</v>
      </c>
      <c r="O76" s="73" t="s">
        <v>1037</v>
      </c>
      <c r="P76" s="116" t="s">
        <v>991</v>
      </c>
    </row>
    <row r="77" spans="1:16" x14ac:dyDescent="0.25">
      <c r="A77" s="65" t="s">
        <v>1952</v>
      </c>
      <c r="B77" s="17" t="s">
        <v>148</v>
      </c>
      <c r="C77" s="165" t="s">
        <v>386</v>
      </c>
      <c r="D77" s="66" t="s">
        <v>149</v>
      </c>
      <c r="J77" s="115" t="s">
        <v>831</v>
      </c>
      <c r="K77" s="73" t="s">
        <v>1197</v>
      </c>
      <c r="L77" s="73" t="s">
        <v>1198</v>
      </c>
      <c r="M77" s="73" t="s">
        <v>1199</v>
      </c>
      <c r="N77" s="73" t="s">
        <v>1200</v>
      </c>
      <c r="O77" s="73" t="s">
        <v>1037</v>
      </c>
      <c r="P77" s="116" t="s">
        <v>991</v>
      </c>
    </row>
    <row r="78" spans="1:16" x14ac:dyDescent="0.25">
      <c r="A78" s="65" t="s">
        <v>405</v>
      </c>
      <c r="B78" s="17" t="s">
        <v>146</v>
      </c>
      <c r="C78" s="165" t="s">
        <v>386</v>
      </c>
      <c r="D78" s="66" t="s">
        <v>147</v>
      </c>
      <c r="J78" s="115" t="s">
        <v>866</v>
      </c>
      <c r="K78" s="73" t="s">
        <v>1201</v>
      </c>
      <c r="L78" s="73" t="s">
        <v>1202</v>
      </c>
      <c r="M78" s="73" t="s">
        <v>1203</v>
      </c>
      <c r="N78" s="73" t="s">
        <v>1204</v>
      </c>
      <c r="O78" s="73" t="s">
        <v>1037</v>
      </c>
      <c r="P78" s="116" t="s">
        <v>991</v>
      </c>
    </row>
    <row r="79" spans="1:16" x14ac:dyDescent="0.25">
      <c r="A79" s="65" t="s">
        <v>103</v>
      </c>
      <c r="B79" s="17" t="s">
        <v>102</v>
      </c>
      <c r="C79" s="165" t="s">
        <v>386</v>
      </c>
      <c r="D79" s="66" t="s">
        <v>104</v>
      </c>
      <c r="J79" s="115" t="s">
        <v>849</v>
      </c>
      <c r="K79" s="73" t="s">
        <v>1205</v>
      </c>
      <c r="L79" s="73" t="s">
        <v>1206</v>
      </c>
      <c r="M79" s="73" t="s">
        <v>1207</v>
      </c>
      <c r="N79" s="73" t="s">
        <v>1208</v>
      </c>
      <c r="O79" s="73" t="s">
        <v>1037</v>
      </c>
      <c r="P79" s="116" t="s">
        <v>991</v>
      </c>
    </row>
    <row r="80" spans="1:16" x14ac:dyDescent="0.25">
      <c r="A80" s="65" t="s">
        <v>97</v>
      </c>
      <c r="B80" s="17" t="s">
        <v>96</v>
      </c>
      <c r="C80" s="165" t="s">
        <v>386</v>
      </c>
      <c r="D80" s="66" t="s">
        <v>98</v>
      </c>
      <c r="J80" s="115" t="s">
        <v>837</v>
      </c>
      <c r="K80" s="73" t="s">
        <v>1209</v>
      </c>
      <c r="L80" s="73" t="s">
        <v>1210</v>
      </c>
      <c r="M80" s="73" t="s">
        <v>1211</v>
      </c>
      <c r="N80" s="73" t="s">
        <v>1212</v>
      </c>
      <c r="O80" s="73" t="s">
        <v>1037</v>
      </c>
      <c r="P80" s="116" t="s">
        <v>991</v>
      </c>
    </row>
    <row r="81" spans="1:16" x14ac:dyDescent="0.25">
      <c r="A81" s="65" t="s">
        <v>1971</v>
      </c>
      <c r="B81" s="17" t="s">
        <v>126</v>
      </c>
      <c r="C81" s="165" t="s">
        <v>386</v>
      </c>
      <c r="D81" s="66" t="s">
        <v>127</v>
      </c>
      <c r="J81" s="115" t="s">
        <v>851</v>
      </c>
      <c r="K81" s="73" t="s">
        <v>1213</v>
      </c>
      <c r="L81" s="73" t="s">
        <v>1214</v>
      </c>
      <c r="M81" s="73" t="s">
        <v>1215</v>
      </c>
      <c r="N81" s="73" t="s">
        <v>1216</v>
      </c>
      <c r="O81" s="73" t="s">
        <v>1037</v>
      </c>
      <c r="P81" s="116" t="s">
        <v>991</v>
      </c>
    </row>
    <row r="82" spans="1:16" x14ac:dyDescent="0.25">
      <c r="A82" s="65" t="s">
        <v>1953</v>
      </c>
      <c r="B82" s="17" t="s">
        <v>1954</v>
      </c>
      <c r="C82" s="165" t="s">
        <v>386</v>
      </c>
      <c r="D82" s="66" t="s">
        <v>67</v>
      </c>
      <c r="J82" s="115" t="s">
        <v>847</v>
      </c>
      <c r="K82" s="73" t="s">
        <v>1217</v>
      </c>
      <c r="L82" s="73" t="s">
        <v>1218</v>
      </c>
      <c r="M82" s="73" t="s">
        <v>1219</v>
      </c>
      <c r="N82" s="73" t="s">
        <v>1220</v>
      </c>
      <c r="O82" s="73" t="s">
        <v>1037</v>
      </c>
      <c r="P82" s="116" t="s">
        <v>991</v>
      </c>
    </row>
    <row r="83" spans="1:16" x14ac:dyDescent="0.25">
      <c r="A83" s="65" t="s">
        <v>1955</v>
      </c>
      <c r="B83" s="17" t="s">
        <v>1956</v>
      </c>
      <c r="C83" s="165" t="s">
        <v>386</v>
      </c>
      <c r="D83" s="66" t="s">
        <v>69</v>
      </c>
      <c r="J83" s="115" t="s">
        <v>852</v>
      </c>
      <c r="K83" s="73" t="s">
        <v>1221</v>
      </c>
      <c r="L83" s="73" t="s">
        <v>1222</v>
      </c>
      <c r="M83" s="73" t="s">
        <v>1223</v>
      </c>
      <c r="N83" s="73" t="s">
        <v>1224</v>
      </c>
      <c r="O83" s="73" t="s">
        <v>1037</v>
      </c>
      <c r="P83" s="116" t="s">
        <v>991</v>
      </c>
    </row>
    <row r="84" spans="1:16" x14ac:dyDescent="0.25">
      <c r="A84" s="65" t="s">
        <v>1957</v>
      </c>
      <c r="B84" s="17" t="s">
        <v>1958</v>
      </c>
      <c r="C84" s="165" t="s">
        <v>386</v>
      </c>
      <c r="D84" s="66" t="s">
        <v>66</v>
      </c>
      <c r="J84" s="115" t="s">
        <v>835</v>
      </c>
      <c r="K84" s="73" t="s">
        <v>1225</v>
      </c>
      <c r="L84" s="73" t="s">
        <v>1226</v>
      </c>
      <c r="M84" s="73" t="s">
        <v>1227</v>
      </c>
      <c r="N84" s="73" t="s">
        <v>1228</v>
      </c>
      <c r="O84" s="73" t="s">
        <v>1037</v>
      </c>
      <c r="P84" s="116" t="s">
        <v>991</v>
      </c>
    </row>
    <row r="85" spans="1:16" x14ac:dyDescent="0.25">
      <c r="A85" s="65" t="s">
        <v>1959</v>
      </c>
      <c r="B85" s="17" t="s">
        <v>1960</v>
      </c>
      <c r="C85" s="165" t="s">
        <v>386</v>
      </c>
      <c r="D85" s="66" t="s">
        <v>68</v>
      </c>
      <c r="J85" s="115" t="s">
        <v>864</v>
      </c>
      <c r="K85" s="73" t="s">
        <v>1229</v>
      </c>
      <c r="L85" s="73" t="s">
        <v>1230</v>
      </c>
      <c r="M85" s="73"/>
      <c r="N85" s="73"/>
      <c r="O85" s="73" t="s">
        <v>1037</v>
      </c>
      <c r="P85" s="116" t="s">
        <v>991</v>
      </c>
    </row>
    <row r="86" spans="1:16" x14ac:dyDescent="0.25">
      <c r="A86" s="65" t="s">
        <v>16</v>
      </c>
      <c r="B86" s="17" t="s">
        <v>16</v>
      </c>
      <c r="C86" s="165" t="s">
        <v>386</v>
      </c>
      <c r="D86" s="66" t="s">
        <v>17</v>
      </c>
      <c r="J86" s="115" t="s">
        <v>853</v>
      </c>
      <c r="K86" s="73" t="s">
        <v>1231</v>
      </c>
      <c r="L86" s="73" t="s">
        <v>1232</v>
      </c>
      <c r="M86" s="73" t="s">
        <v>1233</v>
      </c>
      <c r="N86" s="73" t="s">
        <v>1234</v>
      </c>
      <c r="O86" s="73" t="s">
        <v>1037</v>
      </c>
      <c r="P86" s="116" t="s">
        <v>991</v>
      </c>
    </row>
    <row r="87" spans="1:16" x14ac:dyDescent="0.25">
      <c r="A87" s="65" t="s">
        <v>54</v>
      </c>
      <c r="B87" s="17" t="s">
        <v>53</v>
      </c>
      <c r="C87" s="165" t="s">
        <v>386</v>
      </c>
      <c r="D87" s="66" t="s">
        <v>55</v>
      </c>
      <c r="J87" s="115" t="s">
        <v>854</v>
      </c>
      <c r="K87" s="73" t="s">
        <v>1235</v>
      </c>
      <c r="L87" s="73" t="s">
        <v>1236</v>
      </c>
      <c r="M87" s="73" t="s">
        <v>1237</v>
      </c>
      <c r="N87" s="73" t="s">
        <v>1238</v>
      </c>
      <c r="O87" s="73" t="s">
        <v>1037</v>
      </c>
      <c r="P87" s="116" t="s">
        <v>991</v>
      </c>
    </row>
    <row r="88" spans="1:16" x14ac:dyDescent="0.25">
      <c r="A88" s="65" t="s">
        <v>59</v>
      </c>
      <c r="B88" s="17" t="s">
        <v>58</v>
      </c>
      <c r="C88" s="165" t="s">
        <v>386</v>
      </c>
      <c r="D88" s="66" t="s">
        <v>60</v>
      </c>
      <c r="J88" s="115" t="s">
        <v>855</v>
      </c>
      <c r="K88" s="73" t="s">
        <v>1239</v>
      </c>
      <c r="L88" s="73" t="s">
        <v>1240</v>
      </c>
      <c r="M88" s="73"/>
      <c r="N88" s="73"/>
      <c r="O88" s="73" t="s">
        <v>1037</v>
      </c>
      <c r="P88" s="116" t="s">
        <v>991</v>
      </c>
    </row>
    <row r="89" spans="1:16" x14ac:dyDescent="0.25">
      <c r="A89" s="65" t="s">
        <v>1961</v>
      </c>
      <c r="B89" s="17" t="s">
        <v>1962</v>
      </c>
      <c r="C89" s="165" t="s">
        <v>386</v>
      </c>
      <c r="D89" s="66" t="s">
        <v>90</v>
      </c>
      <c r="J89" s="115" t="s">
        <v>856</v>
      </c>
      <c r="K89" s="73" t="s">
        <v>1241</v>
      </c>
      <c r="L89" s="73" t="s">
        <v>1242</v>
      </c>
      <c r="M89" s="73" t="s">
        <v>1243</v>
      </c>
      <c r="N89" s="73" t="s">
        <v>1244</v>
      </c>
      <c r="O89" s="73" t="s">
        <v>1037</v>
      </c>
      <c r="P89" s="116" t="s">
        <v>991</v>
      </c>
    </row>
    <row r="90" spans="1:16" x14ac:dyDescent="0.25">
      <c r="A90" s="166" t="s">
        <v>330</v>
      </c>
      <c r="B90" s="167" t="s">
        <v>329</v>
      </c>
      <c r="C90" s="168" t="s">
        <v>387</v>
      </c>
      <c r="D90" s="169" t="s">
        <v>331</v>
      </c>
      <c r="J90" s="115" t="s">
        <v>860</v>
      </c>
      <c r="K90" s="73" t="s">
        <v>1245</v>
      </c>
      <c r="L90" s="73" t="s">
        <v>1246</v>
      </c>
      <c r="M90" s="73" t="s">
        <v>1247</v>
      </c>
      <c r="N90" s="73" t="s">
        <v>1248</v>
      </c>
      <c r="O90" s="73" t="s">
        <v>1037</v>
      </c>
      <c r="P90" s="116" t="s">
        <v>991</v>
      </c>
    </row>
    <row r="91" spans="1:16" x14ac:dyDescent="0.25">
      <c r="A91" s="65" t="s">
        <v>160</v>
      </c>
      <c r="B91" s="17" t="s">
        <v>159</v>
      </c>
      <c r="C91" s="170" t="s">
        <v>387</v>
      </c>
      <c r="D91" s="66" t="s">
        <v>10</v>
      </c>
      <c r="J91" s="115" t="s">
        <v>857</v>
      </c>
      <c r="K91" s="73" t="s">
        <v>1249</v>
      </c>
      <c r="L91" s="73" t="s">
        <v>1250</v>
      </c>
      <c r="M91" s="73" t="s">
        <v>1251</v>
      </c>
      <c r="N91" s="73" t="s">
        <v>1252</v>
      </c>
      <c r="O91" s="73" t="s">
        <v>1037</v>
      </c>
      <c r="P91" s="116" t="s">
        <v>991</v>
      </c>
    </row>
    <row r="92" spans="1:16" x14ac:dyDescent="0.25">
      <c r="A92" s="65" t="s">
        <v>195</v>
      </c>
      <c r="B92" s="17" t="s">
        <v>194</v>
      </c>
      <c r="C92" s="170" t="s">
        <v>387</v>
      </c>
      <c r="D92" s="66" t="s">
        <v>196</v>
      </c>
      <c r="J92" s="115" t="s">
        <v>858</v>
      </c>
      <c r="K92" s="73" t="s">
        <v>1253</v>
      </c>
      <c r="L92" s="73" t="s">
        <v>1254</v>
      </c>
      <c r="M92" s="73"/>
      <c r="N92" s="73"/>
      <c r="O92" s="73" t="s">
        <v>1037</v>
      </c>
      <c r="P92" s="116" t="s">
        <v>991</v>
      </c>
    </row>
    <row r="93" spans="1:16" x14ac:dyDescent="0.25">
      <c r="A93" s="65" t="s">
        <v>162</v>
      </c>
      <c r="B93" s="17" t="s">
        <v>161</v>
      </c>
      <c r="C93" s="170" t="s">
        <v>387</v>
      </c>
      <c r="D93" s="66" t="s">
        <v>163</v>
      </c>
      <c r="J93" s="115" t="s">
        <v>869</v>
      </c>
      <c r="K93" s="73" t="s">
        <v>1255</v>
      </c>
      <c r="L93" s="73" t="s">
        <v>1256</v>
      </c>
      <c r="M93" s="73" t="s">
        <v>1257</v>
      </c>
      <c r="N93" s="73" t="s">
        <v>1258</v>
      </c>
      <c r="O93" s="73" t="s">
        <v>1037</v>
      </c>
      <c r="P93" s="116" t="s">
        <v>991</v>
      </c>
    </row>
    <row r="94" spans="1:16" x14ac:dyDescent="0.25">
      <c r="A94" s="67" t="s">
        <v>284</v>
      </c>
      <c r="B94" s="122" t="s">
        <v>283</v>
      </c>
      <c r="C94" s="171" t="s">
        <v>387</v>
      </c>
      <c r="D94" s="68" t="s">
        <v>285</v>
      </c>
      <c r="J94" s="115" t="s">
        <v>870</v>
      </c>
      <c r="K94" s="73" t="s">
        <v>1259</v>
      </c>
      <c r="L94" s="73" t="s">
        <v>1260</v>
      </c>
      <c r="M94" s="73" t="s">
        <v>1261</v>
      </c>
      <c r="N94" s="73" t="s">
        <v>1262</v>
      </c>
      <c r="O94" s="73" t="s">
        <v>1037</v>
      </c>
      <c r="P94" s="116" t="s">
        <v>991</v>
      </c>
    </row>
    <row r="95" spans="1:16" x14ac:dyDescent="0.25">
      <c r="A95" s="65" t="s">
        <v>427</v>
      </c>
      <c r="B95" s="17" t="s">
        <v>426</v>
      </c>
      <c r="C95" s="17" t="s">
        <v>388</v>
      </c>
      <c r="D95" s="66" t="s">
        <v>428</v>
      </c>
      <c r="J95" s="115" t="s">
        <v>842</v>
      </c>
      <c r="K95" s="73" t="s">
        <v>1263</v>
      </c>
      <c r="L95" s="73" t="s">
        <v>1264</v>
      </c>
      <c r="M95" s="73" t="s">
        <v>1265</v>
      </c>
      <c r="N95" s="73" t="s">
        <v>1266</v>
      </c>
      <c r="O95" s="73" t="s">
        <v>1037</v>
      </c>
      <c r="P95" s="116" t="s">
        <v>991</v>
      </c>
    </row>
    <row r="96" spans="1:16" x14ac:dyDescent="0.25">
      <c r="A96" s="65" t="s">
        <v>272</v>
      </c>
      <c r="B96" s="17" t="s">
        <v>271</v>
      </c>
      <c r="C96" s="17" t="s">
        <v>388</v>
      </c>
      <c r="D96" s="66" t="s">
        <v>273</v>
      </c>
      <c r="J96" s="115" t="s">
        <v>841</v>
      </c>
      <c r="K96" s="73" t="s">
        <v>1267</v>
      </c>
      <c r="L96" s="73" t="s">
        <v>1268</v>
      </c>
      <c r="M96" s="73" t="s">
        <v>1269</v>
      </c>
      <c r="N96" s="73" t="s">
        <v>1270</v>
      </c>
      <c r="O96" s="73" t="s">
        <v>1037</v>
      </c>
      <c r="P96" s="116" t="s">
        <v>991</v>
      </c>
    </row>
    <row r="97" spans="1:16" x14ac:dyDescent="0.25">
      <c r="A97" s="65" t="s">
        <v>230</v>
      </c>
      <c r="B97" s="17" t="s">
        <v>229</v>
      </c>
      <c r="C97" s="17" t="s">
        <v>388</v>
      </c>
      <c r="D97" s="66" t="s">
        <v>231</v>
      </c>
      <c r="J97" s="115" t="s">
        <v>840</v>
      </c>
      <c r="K97" s="73" t="s">
        <v>1271</v>
      </c>
      <c r="L97" s="73" t="s">
        <v>1272</v>
      </c>
      <c r="M97" s="73" t="s">
        <v>1273</v>
      </c>
      <c r="N97" s="73" t="s">
        <v>1274</v>
      </c>
      <c r="O97" s="73" t="s">
        <v>1037</v>
      </c>
      <c r="P97" s="116" t="s">
        <v>991</v>
      </c>
    </row>
    <row r="98" spans="1:16" x14ac:dyDescent="0.25">
      <c r="A98" s="65" t="s">
        <v>169</v>
      </c>
      <c r="B98" s="17" t="s">
        <v>168</v>
      </c>
      <c r="C98" s="17" t="s">
        <v>388</v>
      </c>
      <c r="D98" s="66" t="s">
        <v>170</v>
      </c>
      <c r="J98" s="115" t="s">
        <v>833</v>
      </c>
      <c r="K98" s="73" t="s">
        <v>1275</v>
      </c>
      <c r="L98" s="73" t="s">
        <v>1276</v>
      </c>
      <c r="M98" s="73" t="s">
        <v>1277</v>
      </c>
      <c r="N98" s="73" t="s">
        <v>1278</v>
      </c>
      <c r="O98" s="73" t="s">
        <v>1037</v>
      </c>
      <c r="P98" s="116" t="s">
        <v>991</v>
      </c>
    </row>
    <row r="99" spans="1:16" x14ac:dyDescent="0.25">
      <c r="A99" s="65" t="s">
        <v>221</v>
      </c>
      <c r="B99" s="17" t="s">
        <v>220</v>
      </c>
      <c r="C99" s="17" t="s">
        <v>388</v>
      </c>
      <c r="D99" s="66" t="s">
        <v>222</v>
      </c>
      <c r="J99" s="115" t="s">
        <v>843</v>
      </c>
      <c r="K99" s="73" t="s">
        <v>1279</v>
      </c>
      <c r="L99" s="73" t="s">
        <v>1280</v>
      </c>
      <c r="M99" s="73" t="s">
        <v>1281</v>
      </c>
      <c r="N99" s="73" t="s">
        <v>1282</v>
      </c>
      <c r="O99" s="73" t="s">
        <v>1037</v>
      </c>
      <c r="P99" s="119" t="s">
        <v>1148</v>
      </c>
    </row>
    <row r="100" spans="1:16" x14ac:dyDescent="0.25">
      <c r="A100" s="65" t="s">
        <v>290</v>
      </c>
      <c r="B100" s="17" t="s">
        <v>289</v>
      </c>
      <c r="C100" s="17" t="s">
        <v>388</v>
      </c>
      <c r="D100" s="66" t="s">
        <v>11</v>
      </c>
      <c r="J100" s="115" t="s">
        <v>829</v>
      </c>
      <c r="K100" s="73" t="s">
        <v>1283</v>
      </c>
      <c r="L100" s="73" t="s">
        <v>1284</v>
      </c>
      <c r="M100" s="73" t="s">
        <v>1285</v>
      </c>
      <c r="N100" s="73" t="s">
        <v>1286</v>
      </c>
      <c r="O100" s="73" t="s">
        <v>1037</v>
      </c>
      <c r="P100" s="119" t="s">
        <v>1148</v>
      </c>
    </row>
    <row r="101" spans="1:16" x14ac:dyDescent="0.25">
      <c r="A101" s="65" t="s">
        <v>281</v>
      </c>
      <c r="B101" s="17" t="s">
        <v>280</v>
      </c>
      <c r="C101" s="17" t="s">
        <v>388</v>
      </c>
      <c r="D101" s="66" t="s">
        <v>282</v>
      </c>
      <c r="J101" s="115" t="s">
        <v>850</v>
      </c>
      <c r="K101" s="73" t="s">
        <v>1287</v>
      </c>
      <c r="L101" s="73" t="s">
        <v>1288</v>
      </c>
      <c r="M101" s="73" t="s">
        <v>1289</v>
      </c>
      <c r="N101" s="73" t="s">
        <v>1290</v>
      </c>
      <c r="O101" s="73" t="s">
        <v>1037</v>
      </c>
      <c r="P101" s="119" t="s">
        <v>1032</v>
      </c>
    </row>
    <row r="102" spans="1:16" x14ac:dyDescent="0.25">
      <c r="A102" s="65" t="s">
        <v>248</v>
      </c>
      <c r="B102" s="17" t="s">
        <v>247</v>
      </c>
      <c r="C102" s="17" t="s">
        <v>388</v>
      </c>
      <c r="D102" s="66" t="s">
        <v>249</v>
      </c>
      <c r="J102" s="115" t="s">
        <v>834</v>
      </c>
      <c r="K102" s="73" t="s">
        <v>1291</v>
      </c>
      <c r="L102" s="73" t="s">
        <v>1292</v>
      </c>
      <c r="M102" s="73" t="s">
        <v>1293</v>
      </c>
      <c r="N102" s="73" t="s">
        <v>1294</v>
      </c>
      <c r="O102" s="73" t="s">
        <v>1037</v>
      </c>
      <c r="P102" s="119" t="s">
        <v>1032</v>
      </c>
    </row>
    <row r="103" spans="1:16" x14ac:dyDescent="0.25">
      <c r="A103" s="65" t="s">
        <v>198</v>
      </c>
      <c r="B103" s="17" t="s">
        <v>197</v>
      </c>
      <c r="C103" s="17" t="s">
        <v>388</v>
      </c>
      <c r="D103" s="66" t="s">
        <v>199</v>
      </c>
      <c r="J103" s="115" t="s">
        <v>839</v>
      </c>
      <c r="K103" s="73" t="s">
        <v>1295</v>
      </c>
      <c r="L103" s="73" t="s">
        <v>1296</v>
      </c>
      <c r="M103" s="73" t="s">
        <v>1297</v>
      </c>
      <c r="N103" s="73" t="s">
        <v>1298</v>
      </c>
      <c r="O103" s="73" t="s">
        <v>1037</v>
      </c>
      <c r="P103" s="119" t="s">
        <v>1032</v>
      </c>
    </row>
    <row r="104" spans="1:16" x14ac:dyDescent="0.25">
      <c r="A104" s="65" t="s">
        <v>632</v>
      </c>
      <c r="B104" s="17" t="s">
        <v>633</v>
      </c>
      <c r="C104" s="17" t="s">
        <v>388</v>
      </c>
      <c r="D104" s="66" t="s">
        <v>634</v>
      </c>
      <c r="J104" s="115" t="s">
        <v>844</v>
      </c>
      <c r="K104" s="73" t="s">
        <v>1299</v>
      </c>
      <c r="L104" s="73" t="s">
        <v>1300</v>
      </c>
      <c r="M104" s="73" t="s">
        <v>1301</v>
      </c>
      <c r="N104" s="73" t="s">
        <v>1302</v>
      </c>
      <c r="O104" s="73" t="s">
        <v>1037</v>
      </c>
      <c r="P104" s="119" t="s">
        <v>1032</v>
      </c>
    </row>
    <row r="105" spans="1:16" x14ac:dyDescent="0.25">
      <c r="A105" s="65" t="s">
        <v>422</v>
      </c>
      <c r="B105" s="17" t="s">
        <v>421</v>
      </c>
      <c r="C105" s="17" t="s">
        <v>388</v>
      </c>
      <c r="D105" s="66" t="s">
        <v>423</v>
      </c>
      <c r="J105" s="115" t="s">
        <v>859</v>
      </c>
      <c r="K105" s="73" t="s">
        <v>1303</v>
      </c>
      <c r="L105" s="73" t="s">
        <v>1304</v>
      </c>
      <c r="M105" s="73" t="s">
        <v>1305</v>
      </c>
      <c r="N105" s="73" t="s">
        <v>1306</v>
      </c>
      <c r="O105" s="73" t="s">
        <v>1037</v>
      </c>
      <c r="P105" s="119" t="s">
        <v>1032</v>
      </c>
    </row>
    <row r="106" spans="1:16" x14ac:dyDescent="0.25">
      <c r="A106" s="65" t="s">
        <v>542</v>
      </c>
      <c r="B106" s="17" t="s">
        <v>541</v>
      </c>
      <c r="C106" s="17" t="s">
        <v>388</v>
      </c>
      <c r="D106" s="66" t="s">
        <v>543</v>
      </c>
      <c r="J106" s="65" t="s">
        <v>845</v>
      </c>
      <c r="K106" s="17" t="s">
        <v>1033</v>
      </c>
      <c r="L106" s="17" t="s">
        <v>1034</v>
      </c>
      <c r="M106" s="17" t="s">
        <v>1035</v>
      </c>
      <c r="N106" s="17" t="s">
        <v>1036</v>
      </c>
      <c r="O106" s="122" t="s">
        <v>1037</v>
      </c>
      <c r="P106" s="124" t="s">
        <v>1038</v>
      </c>
    </row>
    <row r="107" spans="1:16" x14ac:dyDescent="0.25">
      <c r="A107" s="65" t="s">
        <v>253</v>
      </c>
      <c r="B107" s="17" t="s">
        <v>252</v>
      </c>
      <c r="C107" s="17" t="s">
        <v>388</v>
      </c>
      <c r="D107" s="66" t="s">
        <v>254</v>
      </c>
      <c r="J107" s="115" t="s">
        <v>814</v>
      </c>
      <c r="K107" s="73" t="s">
        <v>1307</v>
      </c>
      <c r="L107" s="73" t="s">
        <v>1308</v>
      </c>
      <c r="M107" s="73" t="s">
        <v>1309</v>
      </c>
      <c r="N107" s="73" t="s">
        <v>1310</v>
      </c>
      <c r="O107" s="73" t="s">
        <v>1311</v>
      </c>
      <c r="P107" s="116" t="s">
        <v>991</v>
      </c>
    </row>
    <row r="108" spans="1:16" x14ac:dyDescent="0.25">
      <c r="A108" s="65" t="s">
        <v>215</v>
      </c>
      <c r="B108" s="17" t="s">
        <v>214</v>
      </c>
      <c r="C108" s="17" t="s">
        <v>388</v>
      </c>
      <c r="D108" s="66" t="s">
        <v>216</v>
      </c>
      <c r="J108" s="115" t="s">
        <v>816</v>
      </c>
      <c r="K108" s="73" t="s">
        <v>1312</v>
      </c>
      <c r="L108" s="73" t="s">
        <v>1313</v>
      </c>
      <c r="M108" s="73" t="s">
        <v>1314</v>
      </c>
      <c r="N108" s="73" t="s">
        <v>1315</v>
      </c>
      <c r="O108" s="73" t="s">
        <v>1311</v>
      </c>
      <c r="P108" s="116" t="s">
        <v>991</v>
      </c>
    </row>
    <row r="109" spans="1:16" x14ac:dyDescent="0.25">
      <c r="A109" s="65" t="s">
        <v>207</v>
      </c>
      <c r="B109" s="17" t="s">
        <v>206</v>
      </c>
      <c r="C109" s="17" t="s">
        <v>388</v>
      </c>
      <c r="D109" s="66" t="s">
        <v>208</v>
      </c>
      <c r="J109" s="115" t="s">
        <v>872</v>
      </c>
      <c r="K109" s="73" t="s">
        <v>1316</v>
      </c>
      <c r="L109" s="73" t="s">
        <v>1317</v>
      </c>
      <c r="M109" s="73" t="s">
        <v>1318</v>
      </c>
      <c r="N109" s="73" t="s">
        <v>1319</v>
      </c>
      <c r="O109" s="73" t="s">
        <v>1311</v>
      </c>
      <c r="P109" s="116" t="s">
        <v>991</v>
      </c>
    </row>
    <row r="110" spans="1:16" x14ac:dyDescent="0.25">
      <c r="A110" s="65" t="s">
        <v>278</v>
      </c>
      <c r="B110" s="17" t="s">
        <v>277</v>
      </c>
      <c r="C110" s="17" t="s">
        <v>388</v>
      </c>
      <c r="D110" s="66" t="s">
        <v>279</v>
      </c>
      <c r="J110" s="115" t="s">
        <v>873</v>
      </c>
      <c r="K110" s="73" t="s">
        <v>1320</v>
      </c>
      <c r="L110" s="73" t="s">
        <v>1321</v>
      </c>
      <c r="M110" s="73" t="s">
        <v>1322</v>
      </c>
      <c r="N110" s="73" t="s">
        <v>1323</v>
      </c>
      <c r="O110" s="73" t="s">
        <v>1311</v>
      </c>
      <c r="P110" s="116" t="s">
        <v>991</v>
      </c>
    </row>
    <row r="111" spans="1:16" x14ac:dyDescent="0.25">
      <c r="A111" s="65" t="s">
        <v>201</v>
      </c>
      <c r="B111" s="17" t="s">
        <v>200</v>
      </c>
      <c r="C111" s="17" t="s">
        <v>388</v>
      </c>
      <c r="D111" s="66" t="s">
        <v>202</v>
      </c>
      <c r="J111" s="115" t="s">
        <v>874</v>
      </c>
      <c r="K111" s="73" t="s">
        <v>1324</v>
      </c>
      <c r="L111" s="73" t="s">
        <v>1325</v>
      </c>
      <c r="M111" s="73" t="s">
        <v>1326</v>
      </c>
      <c r="N111" s="73" t="s">
        <v>1327</v>
      </c>
      <c r="O111" s="73" t="s">
        <v>1311</v>
      </c>
      <c r="P111" s="116" t="s">
        <v>991</v>
      </c>
    </row>
    <row r="112" spans="1:16" x14ac:dyDescent="0.25">
      <c r="A112" s="65" t="s">
        <v>327</v>
      </c>
      <c r="B112" s="17" t="s">
        <v>326</v>
      </c>
      <c r="C112" s="17" t="s">
        <v>388</v>
      </c>
      <c r="D112" s="66" t="s">
        <v>328</v>
      </c>
      <c r="J112" s="115" t="s">
        <v>432</v>
      </c>
      <c r="K112" s="73" t="s">
        <v>1328</v>
      </c>
      <c r="L112" s="73" t="s">
        <v>1329</v>
      </c>
      <c r="M112" s="73" t="s">
        <v>1330</v>
      </c>
      <c r="N112" s="73" t="s">
        <v>1331</v>
      </c>
      <c r="O112" s="73" t="s">
        <v>1311</v>
      </c>
      <c r="P112" s="116" t="s">
        <v>991</v>
      </c>
    </row>
    <row r="113" spans="1:16" x14ac:dyDescent="0.25">
      <c r="A113" s="65" t="s">
        <v>625</v>
      </c>
      <c r="B113" s="17" t="s">
        <v>626</v>
      </c>
      <c r="C113" s="17" t="s">
        <v>388</v>
      </c>
      <c r="D113" s="66" t="s">
        <v>627</v>
      </c>
      <c r="J113" s="115" t="s">
        <v>875</v>
      </c>
      <c r="K113" s="73" t="s">
        <v>1332</v>
      </c>
      <c r="L113" s="73" t="s">
        <v>1333</v>
      </c>
      <c r="M113" s="73" t="s">
        <v>1334</v>
      </c>
      <c r="N113" s="73" t="s">
        <v>1335</v>
      </c>
      <c r="O113" s="73" t="s">
        <v>1311</v>
      </c>
      <c r="P113" s="116" t="s">
        <v>991</v>
      </c>
    </row>
    <row r="114" spans="1:16" x14ac:dyDescent="0.25">
      <c r="A114" s="65" t="s">
        <v>236</v>
      </c>
      <c r="B114" s="17" t="s">
        <v>235</v>
      </c>
      <c r="C114" s="17" t="s">
        <v>388</v>
      </c>
      <c r="D114" s="66" t="s">
        <v>237</v>
      </c>
      <c r="J114" s="115" t="s">
        <v>876</v>
      </c>
      <c r="K114" s="73" t="s">
        <v>1336</v>
      </c>
      <c r="L114" s="73" t="s">
        <v>1337</v>
      </c>
      <c r="M114" s="73" t="s">
        <v>1338</v>
      </c>
      <c r="N114" s="73" t="s">
        <v>1339</v>
      </c>
      <c r="O114" s="73" t="s">
        <v>1311</v>
      </c>
      <c r="P114" s="116" t="s">
        <v>991</v>
      </c>
    </row>
    <row r="115" spans="1:16" x14ac:dyDescent="0.25">
      <c r="A115" s="65" t="s">
        <v>178</v>
      </c>
      <c r="B115" s="17" t="s">
        <v>177</v>
      </c>
      <c r="C115" s="17" t="s">
        <v>388</v>
      </c>
      <c r="D115" s="66" t="s">
        <v>6</v>
      </c>
      <c r="J115" s="115" t="s">
        <v>877</v>
      </c>
      <c r="K115" s="73" t="s">
        <v>1340</v>
      </c>
      <c r="L115" s="73" t="s">
        <v>1341</v>
      </c>
      <c r="M115" s="73" t="s">
        <v>1342</v>
      </c>
      <c r="N115" s="73" t="s">
        <v>1343</v>
      </c>
      <c r="O115" s="73" t="s">
        <v>1311</v>
      </c>
      <c r="P115" s="116" t="s">
        <v>991</v>
      </c>
    </row>
    <row r="116" spans="1:16" x14ac:dyDescent="0.25">
      <c r="A116" s="65" t="s">
        <v>287</v>
      </c>
      <c r="B116" s="17" t="s">
        <v>286</v>
      </c>
      <c r="C116" s="17" t="s">
        <v>388</v>
      </c>
      <c r="D116" s="66" t="s">
        <v>288</v>
      </c>
      <c r="J116" s="115" t="s">
        <v>878</v>
      </c>
      <c r="K116" s="73" t="s">
        <v>1344</v>
      </c>
      <c r="L116" s="73" t="s">
        <v>1345</v>
      </c>
      <c r="M116" s="73" t="s">
        <v>1346</v>
      </c>
      <c r="N116" s="73" t="s">
        <v>1347</v>
      </c>
      <c r="O116" s="73" t="s">
        <v>1311</v>
      </c>
      <c r="P116" s="116" t="s">
        <v>991</v>
      </c>
    </row>
    <row r="117" spans="1:16" x14ac:dyDescent="0.25">
      <c r="A117" s="65" t="s">
        <v>403</v>
      </c>
      <c r="B117" s="17" t="s">
        <v>402</v>
      </c>
      <c r="C117" s="17" t="s">
        <v>388</v>
      </c>
      <c r="D117" s="66" t="s">
        <v>404</v>
      </c>
      <c r="J117" s="115" t="s">
        <v>879</v>
      </c>
      <c r="K117" s="73" t="s">
        <v>1348</v>
      </c>
      <c r="L117" s="73" t="s">
        <v>1349</v>
      </c>
      <c r="M117" s="73" t="s">
        <v>1350</v>
      </c>
      <c r="N117" s="73" t="s">
        <v>1351</v>
      </c>
      <c r="O117" s="73" t="s">
        <v>1311</v>
      </c>
      <c r="P117" s="116" t="s">
        <v>991</v>
      </c>
    </row>
    <row r="118" spans="1:16" x14ac:dyDescent="0.25">
      <c r="A118" s="65" t="s">
        <v>251</v>
      </c>
      <c r="B118" s="17" t="s">
        <v>250</v>
      </c>
      <c r="C118" s="17" t="s">
        <v>388</v>
      </c>
      <c r="D118" s="66" t="s">
        <v>9</v>
      </c>
      <c r="J118" s="115" t="s">
        <v>880</v>
      </c>
      <c r="K118" s="73" t="s">
        <v>1352</v>
      </c>
      <c r="L118" s="73" t="s">
        <v>1353</v>
      </c>
      <c r="M118" s="73" t="s">
        <v>1354</v>
      </c>
      <c r="N118" s="73" t="s">
        <v>1355</v>
      </c>
      <c r="O118" s="73" t="s">
        <v>1311</v>
      </c>
      <c r="P118" s="116" t="s">
        <v>991</v>
      </c>
    </row>
    <row r="119" spans="1:16" x14ac:dyDescent="0.25">
      <c r="A119" s="65" t="s">
        <v>292</v>
      </c>
      <c r="B119" s="17" t="s">
        <v>291</v>
      </c>
      <c r="C119" s="17" t="s">
        <v>388</v>
      </c>
      <c r="D119" s="66" t="s">
        <v>293</v>
      </c>
      <c r="J119" s="115" t="s">
        <v>881</v>
      </c>
      <c r="K119" s="73" t="s">
        <v>1356</v>
      </c>
      <c r="L119" s="73" t="s">
        <v>1357</v>
      </c>
      <c r="M119" s="73" t="s">
        <v>1358</v>
      </c>
      <c r="N119" s="73" t="s">
        <v>1359</v>
      </c>
      <c r="O119" s="73" t="s">
        <v>1311</v>
      </c>
      <c r="P119" s="116" t="s">
        <v>991</v>
      </c>
    </row>
    <row r="120" spans="1:16" x14ac:dyDescent="0.25">
      <c r="A120" s="65" t="s">
        <v>242</v>
      </c>
      <c r="B120" s="17" t="s">
        <v>241</v>
      </c>
      <c r="C120" s="17" t="s">
        <v>388</v>
      </c>
      <c r="D120" s="66" t="s">
        <v>243</v>
      </c>
      <c r="J120" s="115" t="s">
        <v>883</v>
      </c>
      <c r="K120" s="73" t="s">
        <v>1360</v>
      </c>
      <c r="L120" s="73" t="s">
        <v>1361</v>
      </c>
      <c r="M120" s="73" t="s">
        <v>1362</v>
      </c>
      <c r="N120" s="73" t="s">
        <v>1361</v>
      </c>
      <c r="O120" s="73" t="s">
        <v>1311</v>
      </c>
      <c r="P120" s="116" t="s">
        <v>991</v>
      </c>
    </row>
    <row r="121" spans="1:16" x14ac:dyDescent="0.25">
      <c r="A121" s="65" t="s">
        <v>1963</v>
      </c>
      <c r="B121" s="17" t="s">
        <v>1964</v>
      </c>
      <c r="C121" s="17" t="s">
        <v>388</v>
      </c>
      <c r="D121" s="66" t="s">
        <v>1965</v>
      </c>
      <c r="J121" s="115" t="s">
        <v>884</v>
      </c>
      <c r="K121" s="73" t="s">
        <v>1363</v>
      </c>
      <c r="L121" s="73" t="s">
        <v>1364</v>
      </c>
      <c r="M121" s="73" t="s">
        <v>1365</v>
      </c>
      <c r="N121" s="73" t="s">
        <v>1366</v>
      </c>
      <c r="O121" s="73" t="s">
        <v>1311</v>
      </c>
      <c r="P121" s="116" t="s">
        <v>991</v>
      </c>
    </row>
    <row r="122" spans="1:16" x14ac:dyDescent="0.25">
      <c r="A122" s="65" t="s">
        <v>175</v>
      </c>
      <c r="B122" s="17" t="s">
        <v>174</v>
      </c>
      <c r="C122" s="17" t="s">
        <v>388</v>
      </c>
      <c r="D122" s="66" t="s">
        <v>176</v>
      </c>
      <c r="J122" s="115" t="s">
        <v>885</v>
      </c>
      <c r="K122" s="73" t="s">
        <v>1367</v>
      </c>
      <c r="L122" s="73" t="s">
        <v>1368</v>
      </c>
      <c r="M122" s="73" t="s">
        <v>1369</v>
      </c>
      <c r="N122" s="73" t="s">
        <v>1370</v>
      </c>
      <c r="O122" s="73" t="s">
        <v>1311</v>
      </c>
      <c r="P122" s="116" t="s">
        <v>991</v>
      </c>
    </row>
    <row r="123" spans="1:16" x14ac:dyDescent="0.25">
      <c r="A123" s="65" t="s">
        <v>295</v>
      </c>
      <c r="B123" s="17" t="s">
        <v>294</v>
      </c>
      <c r="C123" s="17" t="s">
        <v>388</v>
      </c>
      <c r="D123" s="66" t="s">
        <v>296</v>
      </c>
      <c r="J123" s="115" t="s">
        <v>886</v>
      </c>
      <c r="K123" s="73" t="s">
        <v>1371</v>
      </c>
      <c r="L123" s="73" t="s">
        <v>1372</v>
      </c>
      <c r="M123" s="73" t="s">
        <v>1373</v>
      </c>
      <c r="N123" s="73" t="s">
        <v>1374</v>
      </c>
      <c r="O123" s="73" t="s">
        <v>1311</v>
      </c>
      <c r="P123" s="116" t="s">
        <v>991</v>
      </c>
    </row>
    <row r="124" spans="1:16" x14ac:dyDescent="0.25">
      <c r="A124" s="65" t="s">
        <v>224</v>
      </c>
      <c r="B124" s="17" t="s">
        <v>223</v>
      </c>
      <c r="C124" s="17" t="s">
        <v>388</v>
      </c>
      <c r="D124" s="66" t="s">
        <v>225</v>
      </c>
      <c r="J124" s="115" t="s">
        <v>888</v>
      </c>
      <c r="K124" s="73" t="s">
        <v>1375</v>
      </c>
      <c r="L124" s="73" t="s">
        <v>1376</v>
      </c>
      <c r="M124" s="73" t="s">
        <v>1377</v>
      </c>
      <c r="N124" s="73" t="s">
        <v>1378</v>
      </c>
      <c r="O124" s="73" t="s">
        <v>1311</v>
      </c>
      <c r="P124" s="116" t="s">
        <v>991</v>
      </c>
    </row>
    <row r="125" spans="1:16" x14ac:dyDescent="0.25">
      <c r="A125" s="65" t="s">
        <v>355</v>
      </c>
      <c r="B125" s="17" t="s">
        <v>354</v>
      </c>
      <c r="C125" s="17" t="s">
        <v>388</v>
      </c>
      <c r="D125" s="66" t="s">
        <v>356</v>
      </c>
      <c r="J125" s="115" t="s">
        <v>889</v>
      </c>
      <c r="K125" s="73" t="s">
        <v>1379</v>
      </c>
      <c r="L125" s="73" t="s">
        <v>1380</v>
      </c>
      <c r="M125" s="73" t="s">
        <v>1381</v>
      </c>
      <c r="N125" s="73" t="s">
        <v>1382</v>
      </c>
      <c r="O125" s="73" t="s">
        <v>1311</v>
      </c>
      <c r="P125" s="116" t="s">
        <v>991</v>
      </c>
    </row>
    <row r="126" spans="1:16" x14ac:dyDescent="0.25">
      <c r="A126" s="65" t="s">
        <v>262</v>
      </c>
      <c r="B126" s="17" t="s">
        <v>261</v>
      </c>
      <c r="C126" s="17" t="s">
        <v>388</v>
      </c>
      <c r="D126" s="66" t="s">
        <v>263</v>
      </c>
      <c r="J126" s="115" t="s">
        <v>890</v>
      </c>
      <c r="K126" s="73" t="s">
        <v>1383</v>
      </c>
      <c r="L126" s="73" t="s">
        <v>1384</v>
      </c>
      <c r="M126" s="73" t="s">
        <v>1385</v>
      </c>
      <c r="N126" s="73" t="s">
        <v>1386</v>
      </c>
      <c r="O126" s="73" t="s">
        <v>1311</v>
      </c>
      <c r="P126" s="116" t="s">
        <v>991</v>
      </c>
    </row>
    <row r="127" spans="1:16" x14ac:dyDescent="0.25">
      <c r="A127" s="65" t="s">
        <v>298</v>
      </c>
      <c r="B127" s="17" t="s">
        <v>297</v>
      </c>
      <c r="C127" s="17" t="s">
        <v>388</v>
      </c>
      <c r="D127" s="66" t="s">
        <v>299</v>
      </c>
      <c r="J127" s="115" t="s">
        <v>891</v>
      </c>
      <c r="K127" s="73" t="s">
        <v>1387</v>
      </c>
      <c r="L127" s="73" t="s">
        <v>1388</v>
      </c>
      <c r="M127" s="73" t="s">
        <v>1389</v>
      </c>
      <c r="N127" s="73" t="s">
        <v>1390</v>
      </c>
      <c r="O127" s="73" t="s">
        <v>1311</v>
      </c>
      <c r="P127" s="116" t="s">
        <v>991</v>
      </c>
    </row>
    <row r="128" spans="1:16" x14ac:dyDescent="0.25">
      <c r="A128" s="65" t="s">
        <v>390</v>
      </c>
      <c r="B128" s="17" t="s">
        <v>264</v>
      </c>
      <c r="C128" s="17" t="s">
        <v>388</v>
      </c>
      <c r="D128" s="66" t="s">
        <v>265</v>
      </c>
      <c r="J128" s="115" t="s">
        <v>892</v>
      </c>
      <c r="K128" s="73" t="s">
        <v>1391</v>
      </c>
      <c r="L128" s="73" t="s">
        <v>1392</v>
      </c>
      <c r="M128" s="73" t="s">
        <v>1393</v>
      </c>
      <c r="N128" s="73" t="s">
        <v>1391</v>
      </c>
      <c r="O128" s="73" t="s">
        <v>1311</v>
      </c>
      <c r="P128" s="116" t="s">
        <v>991</v>
      </c>
    </row>
    <row r="129" spans="1:16" x14ac:dyDescent="0.25">
      <c r="A129" s="65" t="s">
        <v>635</v>
      </c>
      <c r="B129" s="17" t="s">
        <v>636</v>
      </c>
      <c r="C129" s="17" t="s">
        <v>388</v>
      </c>
      <c r="D129" s="66" t="s">
        <v>637</v>
      </c>
      <c r="J129" s="115" t="s">
        <v>893</v>
      </c>
      <c r="K129" s="73" t="s">
        <v>1394</v>
      </c>
      <c r="L129" s="73" t="s">
        <v>1395</v>
      </c>
      <c r="M129" s="73" t="s">
        <v>1396</v>
      </c>
      <c r="N129" s="73" t="s">
        <v>1397</v>
      </c>
      <c r="O129" s="73" t="s">
        <v>1311</v>
      </c>
      <c r="P129" s="116" t="s">
        <v>991</v>
      </c>
    </row>
    <row r="130" spans="1:16" x14ac:dyDescent="0.25">
      <c r="A130" s="65" t="s">
        <v>180</v>
      </c>
      <c r="B130" s="17" t="s">
        <v>179</v>
      </c>
      <c r="C130" s="17" t="s">
        <v>388</v>
      </c>
      <c r="D130" s="66" t="s">
        <v>181</v>
      </c>
      <c r="J130" s="115" t="s">
        <v>894</v>
      </c>
      <c r="K130" s="73" t="s">
        <v>1398</v>
      </c>
      <c r="L130" s="73" t="s">
        <v>1399</v>
      </c>
      <c r="M130" s="73" t="s">
        <v>1400</v>
      </c>
      <c r="N130" s="73" t="s">
        <v>1401</v>
      </c>
      <c r="O130" s="73" t="s">
        <v>1311</v>
      </c>
      <c r="P130" s="116" t="s">
        <v>991</v>
      </c>
    </row>
    <row r="131" spans="1:16" x14ac:dyDescent="0.25">
      <c r="A131" s="65" t="s">
        <v>233</v>
      </c>
      <c r="B131" s="17" t="s">
        <v>232</v>
      </c>
      <c r="C131" s="17" t="s">
        <v>388</v>
      </c>
      <c r="D131" s="66" t="s">
        <v>234</v>
      </c>
      <c r="J131" s="115" t="s">
        <v>895</v>
      </c>
      <c r="K131" s="73" t="s">
        <v>1402</v>
      </c>
      <c r="L131" s="73" t="s">
        <v>1403</v>
      </c>
      <c r="M131" s="73" t="s">
        <v>1404</v>
      </c>
      <c r="N131" s="73" t="s">
        <v>1405</v>
      </c>
      <c r="O131" s="73" t="s">
        <v>1311</v>
      </c>
      <c r="P131" s="116" t="s">
        <v>991</v>
      </c>
    </row>
    <row r="132" spans="1:16" x14ac:dyDescent="0.25">
      <c r="A132" s="65" t="s">
        <v>338</v>
      </c>
      <c r="B132" s="17" t="s">
        <v>337</v>
      </c>
      <c r="C132" s="17" t="s">
        <v>388</v>
      </c>
      <c r="D132" s="66" t="s">
        <v>339</v>
      </c>
      <c r="J132" s="115" t="s">
        <v>896</v>
      </c>
      <c r="K132" s="73" t="s">
        <v>1406</v>
      </c>
      <c r="L132" s="73" t="s">
        <v>1407</v>
      </c>
      <c r="M132" s="73" t="s">
        <v>1408</v>
      </c>
      <c r="N132" s="73" t="s">
        <v>1408</v>
      </c>
      <c r="O132" s="73" t="s">
        <v>1311</v>
      </c>
      <c r="P132" s="116" t="s">
        <v>991</v>
      </c>
    </row>
    <row r="133" spans="1:16" x14ac:dyDescent="0.25">
      <c r="A133" s="65" t="s">
        <v>301</v>
      </c>
      <c r="B133" s="17" t="s">
        <v>300</v>
      </c>
      <c r="C133" s="17" t="s">
        <v>388</v>
      </c>
      <c r="D133" s="66" t="s">
        <v>302</v>
      </c>
      <c r="J133" s="115" t="s">
        <v>897</v>
      </c>
      <c r="K133" s="73" t="s">
        <v>1409</v>
      </c>
      <c r="L133" s="73" t="s">
        <v>1410</v>
      </c>
      <c r="M133" s="73" t="s">
        <v>1411</v>
      </c>
      <c r="N133" s="73" t="s">
        <v>1412</v>
      </c>
      <c r="O133" s="73" t="s">
        <v>1311</v>
      </c>
      <c r="P133" s="116" t="s">
        <v>991</v>
      </c>
    </row>
    <row r="134" spans="1:16" x14ac:dyDescent="0.25">
      <c r="A134" s="65" t="s">
        <v>367</v>
      </c>
      <c r="B134" s="17" t="s">
        <v>366</v>
      </c>
      <c r="C134" s="17" t="s">
        <v>388</v>
      </c>
      <c r="D134" s="66" t="s">
        <v>368</v>
      </c>
      <c r="J134" s="115" t="s">
        <v>898</v>
      </c>
      <c r="K134" s="73" t="s">
        <v>1413</v>
      </c>
      <c r="L134" s="73" t="s">
        <v>1414</v>
      </c>
      <c r="M134" s="73" t="s">
        <v>1413</v>
      </c>
      <c r="N134" s="73" t="s">
        <v>1413</v>
      </c>
      <c r="O134" s="73" t="s">
        <v>1311</v>
      </c>
      <c r="P134" s="116" t="s">
        <v>991</v>
      </c>
    </row>
    <row r="135" spans="1:16" x14ac:dyDescent="0.25">
      <c r="A135" s="65" t="s">
        <v>183</v>
      </c>
      <c r="B135" s="17" t="s">
        <v>182</v>
      </c>
      <c r="C135" s="17" t="s">
        <v>388</v>
      </c>
      <c r="D135" s="66" t="s">
        <v>184</v>
      </c>
      <c r="J135" s="115" t="s">
        <v>899</v>
      </c>
      <c r="K135" s="73" t="s">
        <v>1415</v>
      </c>
      <c r="L135" s="73" t="s">
        <v>1416</v>
      </c>
      <c r="M135" s="73"/>
      <c r="N135" s="73"/>
      <c r="O135" s="73" t="s">
        <v>1311</v>
      </c>
      <c r="P135" s="116" t="s">
        <v>991</v>
      </c>
    </row>
    <row r="136" spans="1:16" x14ac:dyDescent="0.25">
      <c r="A136" s="65" t="s">
        <v>358</v>
      </c>
      <c r="B136" s="17" t="s">
        <v>357</v>
      </c>
      <c r="C136" s="17" t="s">
        <v>388</v>
      </c>
      <c r="D136" s="66" t="s">
        <v>359</v>
      </c>
      <c r="J136" s="115" t="s">
        <v>900</v>
      </c>
      <c r="K136" s="73" t="s">
        <v>1417</v>
      </c>
      <c r="L136" s="73" t="s">
        <v>1418</v>
      </c>
      <c r="M136" s="73" t="s">
        <v>1419</v>
      </c>
      <c r="N136" s="73" t="s">
        <v>1420</v>
      </c>
      <c r="O136" s="73" t="s">
        <v>1311</v>
      </c>
      <c r="P136" s="116" t="s">
        <v>991</v>
      </c>
    </row>
    <row r="137" spans="1:16" x14ac:dyDescent="0.25">
      <c r="A137" s="65" t="s">
        <v>267</v>
      </c>
      <c r="B137" s="17" t="s">
        <v>266</v>
      </c>
      <c r="C137" s="17" t="s">
        <v>388</v>
      </c>
      <c r="D137" s="66" t="s">
        <v>268</v>
      </c>
      <c r="J137" s="115" t="s">
        <v>902</v>
      </c>
      <c r="K137" s="73" t="s">
        <v>1421</v>
      </c>
      <c r="L137" s="73" t="s">
        <v>1422</v>
      </c>
      <c r="M137" s="73"/>
      <c r="N137" s="73" t="s">
        <v>1423</v>
      </c>
      <c r="O137" s="73" t="s">
        <v>1311</v>
      </c>
      <c r="P137" s="116" t="s">
        <v>991</v>
      </c>
    </row>
    <row r="138" spans="1:16" x14ac:dyDescent="0.25">
      <c r="A138" s="65" t="s">
        <v>304</v>
      </c>
      <c r="B138" s="17" t="s">
        <v>303</v>
      </c>
      <c r="C138" s="17" t="s">
        <v>388</v>
      </c>
      <c r="D138" s="66" t="s">
        <v>305</v>
      </c>
      <c r="J138" s="115" t="s">
        <v>903</v>
      </c>
      <c r="K138" s="73" t="s">
        <v>1424</v>
      </c>
      <c r="L138" s="73" t="s">
        <v>1425</v>
      </c>
      <c r="M138" s="73" t="s">
        <v>1426</v>
      </c>
      <c r="N138" s="73" t="s">
        <v>1427</v>
      </c>
      <c r="O138" s="73" t="s">
        <v>1311</v>
      </c>
      <c r="P138" s="116" t="s">
        <v>991</v>
      </c>
    </row>
    <row r="139" spans="1:16" x14ac:dyDescent="0.25">
      <c r="A139" s="65" t="s">
        <v>370</v>
      </c>
      <c r="B139" s="17" t="s">
        <v>369</v>
      </c>
      <c r="C139" s="17" t="s">
        <v>388</v>
      </c>
      <c r="D139" s="66" t="s">
        <v>371</v>
      </c>
      <c r="J139" s="115" t="s">
        <v>904</v>
      </c>
      <c r="K139" s="73" t="s">
        <v>1428</v>
      </c>
      <c r="L139" s="73" t="s">
        <v>1429</v>
      </c>
      <c r="M139" s="73" t="s">
        <v>1430</v>
      </c>
      <c r="N139" s="73" t="s">
        <v>1431</v>
      </c>
      <c r="O139" s="73" t="s">
        <v>1311</v>
      </c>
      <c r="P139" s="116" t="s">
        <v>991</v>
      </c>
    </row>
    <row r="140" spans="1:16" x14ac:dyDescent="0.25">
      <c r="A140" s="65" t="s">
        <v>259</v>
      </c>
      <c r="B140" s="17" t="s">
        <v>258</v>
      </c>
      <c r="C140" s="17" t="s">
        <v>388</v>
      </c>
      <c r="D140" s="66" t="s">
        <v>260</v>
      </c>
      <c r="J140" s="115" t="s">
        <v>905</v>
      </c>
      <c r="K140" s="73" t="s">
        <v>1432</v>
      </c>
      <c r="L140" s="73" t="s">
        <v>1433</v>
      </c>
      <c r="M140" s="73" t="s">
        <v>1434</v>
      </c>
      <c r="N140" s="73" t="s">
        <v>1435</v>
      </c>
      <c r="O140" s="73" t="s">
        <v>1311</v>
      </c>
      <c r="P140" s="116" t="s">
        <v>991</v>
      </c>
    </row>
    <row r="141" spans="1:16" x14ac:dyDescent="0.25">
      <c r="A141" s="65" t="s">
        <v>324</v>
      </c>
      <c r="B141" s="17" t="s">
        <v>323</v>
      </c>
      <c r="C141" s="17" t="s">
        <v>388</v>
      </c>
      <c r="D141" s="66" t="s">
        <v>325</v>
      </c>
      <c r="J141" s="115" t="s">
        <v>882</v>
      </c>
      <c r="K141" s="73" t="s">
        <v>1436</v>
      </c>
      <c r="L141" s="73" t="s">
        <v>1437</v>
      </c>
      <c r="M141" s="73" t="s">
        <v>1438</v>
      </c>
      <c r="N141" s="73" t="s">
        <v>1439</v>
      </c>
      <c r="O141" s="73" t="s">
        <v>1311</v>
      </c>
      <c r="P141" s="119" t="s">
        <v>1032</v>
      </c>
    </row>
    <row r="142" spans="1:16" x14ac:dyDescent="0.25">
      <c r="A142" s="65" t="s">
        <v>638</v>
      </c>
      <c r="B142" s="17" t="s">
        <v>639</v>
      </c>
      <c r="C142" s="17" t="s">
        <v>388</v>
      </c>
      <c r="D142" s="66" t="s">
        <v>640</v>
      </c>
      <c r="J142" s="115" t="s">
        <v>887</v>
      </c>
      <c r="K142" s="73" t="s">
        <v>1440</v>
      </c>
      <c r="L142" s="73" t="s">
        <v>1441</v>
      </c>
      <c r="M142" s="73" t="s">
        <v>1442</v>
      </c>
      <c r="N142" s="73" t="s">
        <v>1443</v>
      </c>
      <c r="O142" s="73" t="s">
        <v>1311</v>
      </c>
      <c r="P142" s="119" t="s">
        <v>1032</v>
      </c>
    </row>
    <row r="143" spans="1:16" x14ac:dyDescent="0.25">
      <c r="A143" s="65" t="s">
        <v>407</v>
      </c>
      <c r="B143" s="17" t="s">
        <v>406</v>
      </c>
      <c r="C143" s="17" t="s">
        <v>388</v>
      </c>
      <c r="D143" s="66" t="s">
        <v>408</v>
      </c>
      <c r="J143" s="115" t="s">
        <v>901</v>
      </c>
      <c r="K143" s="73" t="s">
        <v>1444</v>
      </c>
      <c r="L143" s="73" t="s">
        <v>1445</v>
      </c>
      <c r="M143" s="73" t="s">
        <v>1446</v>
      </c>
      <c r="N143" s="73" t="s">
        <v>1447</v>
      </c>
      <c r="O143" s="117" t="s">
        <v>1311</v>
      </c>
      <c r="P143" s="123" t="s">
        <v>1032</v>
      </c>
    </row>
    <row r="144" spans="1:16" x14ac:dyDescent="0.25">
      <c r="A144" s="65" t="s">
        <v>361</v>
      </c>
      <c r="B144" s="17" t="s">
        <v>360</v>
      </c>
      <c r="C144" s="17" t="s">
        <v>388</v>
      </c>
      <c r="D144" s="66" t="s">
        <v>362</v>
      </c>
      <c r="J144" s="115" t="s">
        <v>935</v>
      </c>
      <c r="K144" s="73" t="s">
        <v>1448</v>
      </c>
      <c r="L144" s="73" t="s">
        <v>1449</v>
      </c>
      <c r="M144" s="73" t="s">
        <v>1450</v>
      </c>
      <c r="N144" s="73" t="s">
        <v>1451</v>
      </c>
      <c r="O144" s="73" t="s">
        <v>1452</v>
      </c>
      <c r="P144" s="116" t="s">
        <v>991</v>
      </c>
    </row>
    <row r="145" spans="1:16" x14ac:dyDescent="0.25">
      <c r="A145" s="65" t="s">
        <v>430</v>
      </c>
      <c r="B145" s="17" t="s">
        <v>429</v>
      </c>
      <c r="C145" s="17" t="s">
        <v>388</v>
      </c>
      <c r="D145" s="66" t="s">
        <v>431</v>
      </c>
      <c r="J145" s="115" t="s">
        <v>936</v>
      </c>
      <c r="K145" s="73" t="s">
        <v>1453</v>
      </c>
      <c r="L145" s="73" t="s">
        <v>1454</v>
      </c>
      <c r="M145" s="73" t="s">
        <v>1455</v>
      </c>
      <c r="N145" s="73" t="s">
        <v>1456</v>
      </c>
      <c r="O145" s="73" t="s">
        <v>1452</v>
      </c>
      <c r="P145" s="116" t="s">
        <v>991</v>
      </c>
    </row>
    <row r="146" spans="1:16" x14ac:dyDescent="0.25">
      <c r="A146" s="65" t="s">
        <v>321</v>
      </c>
      <c r="B146" s="17" t="s">
        <v>320</v>
      </c>
      <c r="C146" s="17" t="s">
        <v>388</v>
      </c>
      <c r="D146" s="66" t="s">
        <v>322</v>
      </c>
      <c r="J146" s="115" t="s">
        <v>937</v>
      </c>
      <c r="K146" s="73" t="s">
        <v>1457</v>
      </c>
      <c r="L146" s="73" t="s">
        <v>1458</v>
      </c>
      <c r="M146" s="73" t="s">
        <v>1459</v>
      </c>
      <c r="N146" s="73" t="s">
        <v>1460</v>
      </c>
      <c r="O146" s="73" t="s">
        <v>1452</v>
      </c>
      <c r="P146" s="116" t="s">
        <v>991</v>
      </c>
    </row>
    <row r="147" spans="1:16" x14ac:dyDescent="0.25">
      <c r="A147" s="65" t="s">
        <v>1966</v>
      </c>
      <c r="B147" s="17" t="s">
        <v>641</v>
      </c>
      <c r="C147" s="17" t="s">
        <v>388</v>
      </c>
      <c r="D147" s="66" t="s">
        <v>642</v>
      </c>
      <c r="J147" s="115" t="s">
        <v>938</v>
      </c>
      <c r="K147" s="73" t="s">
        <v>1461</v>
      </c>
      <c r="L147" s="73" t="s">
        <v>1462</v>
      </c>
      <c r="M147" s="73" t="s">
        <v>1463</v>
      </c>
      <c r="N147" s="73" t="s">
        <v>1464</v>
      </c>
      <c r="O147" s="73" t="s">
        <v>1452</v>
      </c>
      <c r="P147" s="116" t="s">
        <v>991</v>
      </c>
    </row>
    <row r="148" spans="1:16" x14ac:dyDescent="0.25">
      <c r="A148" s="65" t="s">
        <v>318</v>
      </c>
      <c r="B148" s="17" t="s">
        <v>317</v>
      </c>
      <c r="C148" s="17" t="s">
        <v>388</v>
      </c>
      <c r="D148" s="66" t="s">
        <v>319</v>
      </c>
      <c r="J148" s="115" t="s">
        <v>939</v>
      </c>
      <c r="K148" s="73" t="s">
        <v>1465</v>
      </c>
      <c r="L148" s="73" t="s">
        <v>1466</v>
      </c>
      <c r="M148" s="73" t="s">
        <v>1467</v>
      </c>
      <c r="N148" s="73" t="s">
        <v>1468</v>
      </c>
      <c r="O148" s="73" t="s">
        <v>1452</v>
      </c>
      <c r="P148" s="116" t="s">
        <v>991</v>
      </c>
    </row>
    <row r="149" spans="1:16" x14ac:dyDescent="0.25">
      <c r="A149" s="65" t="s">
        <v>333</v>
      </c>
      <c r="B149" s="17" t="s">
        <v>332</v>
      </c>
      <c r="C149" s="17" t="s">
        <v>388</v>
      </c>
      <c r="D149" s="66" t="s">
        <v>334</v>
      </c>
      <c r="J149" s="115" t="s">
        <v>940</v>
      </c>
      <c r="K149" s="73" t="s">
        <v>1469</v>
      </c>
      <c r="L149" s="73" t="s">
        <v>1470</v>
      </c>
      <c r="M149" s="73" t="s">
        <v>1471</v>
      </c>
      <c r="N149" s="73" t="s">
        <v>1472</v>
      </c>
      <c r="O149" s="73" t="s">
        <v>1452</v>
      </c>
      <c r="P149" s="116" t="s">
        <v>991</v>
      </c>
    </row>
    <row r="150" spans="1:16" x14ac:dyDescent="0.25">
      <c r="A150" s="65" t="s">
        <v>410</v>
      </c>
      <c r="B150" s="17" t="s">
        <v>409</v>
      </c>
      <c r="C150" s="17" t="s">
        <v>388</v>
      </c>
      <c r="D150" s="66" t="s">
        <v>13</v>
      </c>
      <c r="J150" s="115" t="s">
        <v>941</v>
      </c>
      <c r="K150" s="73" t="s">
        <v>1473</v>
      </c>
      <c r="L150" s="73" t="s">
        <v>1474</v>
      </c>
      <c r="M150" s="73" t="s">
        <v>1475</v>
      </c>
      <c r="N150" s="73" t="s">
        <v>1476</v>
      </c>
      <c r="O150" s="117" t="s">
        <v>1452</v>
      </c>
      <c r="P150" s="123" t="s">
        <v>1032</v>
      </c>
    </row>
    <row r="151" spans="1:16" x14ac:dyDescent="0.25">
      <c r="A151" s="65" t="s">
        <v>307</v>
      </c>
      <c r="B151" s="17" t="s">
        <v>306</v>
      </c>
      <c r="C151" s="17" t="s">
        <v>388</v>
      </c>
      <c r="D151" s="66" t="s">
        <v>308</v>
      </c>
      <c r="J151" s="115" t="s">
        <v>961</v>
      </c>
      <c r="K151" s="73" t="s">
        <v>1477</v>
      </c>
      <c r="L151" s="73" t="s">
        <v>1478</v>
      </c>
      <c r="M151" s="73" t="s">
        <v>1479</v>
      </c>
      <c r="N151" s="73" t="s">
        <v>1480</v>
      </c>
      <c r="O151" s="73" t="s">
        <v>1481</v>
      </c>
      <c r="P151" s="116" t="s">
        <v>991</v>
      </c>
    </row>
    <row r="152" spans="1:16" x14ac:dyDescent="0.25">
      <c r="A152" s="65" t="s">
        <v>411</v>
      </c>
      <c r="B152" s="17" t="s">
        <v>343</v>
      </c>
      <c r="C152" s="17" t="s">
        <v>388</v>
      </c>
      <c r="D152" s="66" t="s">
        <v>344</v>
      </c>
      <c r="J152" s="115" t="s">
        <v>948</v>
      </c>
      <c r="K152" s="73" t="s">
        <v>1482</v>
      </c>
      <c r="L152" s="73" t="s">
        <v>1483</v>
      </c>
      <c r="M152" s="73" t="s">
        <v>1484</v>
      </c>
      <c r="N152" s="73" t="s">
        <v>1485</v>
      </c>
      <c r="O152" s="73" t="s">
        <v>1481</v>
      </c>
      <c r="P152" s="116" t="s">
        <v>991</v>
      </c>
    </row>
    <row r="153" spans="1:16" x14ac:dyDescent="0.25">
      <c r="A153" s="65" t="s">
        <v>341</v>
      </c>
      <c r="B153" s="17" t="s">
        <v>340</v>
      </c>
      <c r="C153" s="17" t="s">
        <v>388</v>
      </c>
      <c r="D153" s="66" t="s">
        <v>342</v>
      </c>
      <c r="J153" s="115" t="s">
        <v>963</v>
      </c>
      <c r="K153" s="73" t="s">
        <v>1486</v>
      </c>
      <c r="L153" s="73" t="s">
        <v>1487</v>
      </c>
      <c r="M153" s="73" t="s">
        <v>1488</v>
      </c>
      <c r="N153" s="73" t="s">
        <v>1489</v>
      </c>
      <c r="O153" s="73" t="s">
        <v>1481</v>
      </c>
      <c r="P153" s="116" t="s">
        <v>991</v>
      </c>
    </row>
    <row r="154" spans="1:16" x14ac:dyDescent="0.25">
      <c r="A154" s="65" t="s">
        <v>192</v>
      </c>
      <c r="B154" s="17" t="s">
        <v>191</v>
      </c>
      <c r="C154" s="17" t="s">
        <v>388</v>
      </c>
      <c r="D154" s="66" t="s">
        <v>193</v>
      </c>
      <c r="J154" s="115" t="s">
        <v>964</v>
      </c>
      <c r="K154" s="73" t="s">
        <v>1490</v>
      </c>
      <c r="L154" s="73" t="s">
        <v>1491</v>
      </c>
      <c r="M154" s="73" t="s">
        <v>1492</v>
      </c>
      <c r="N154" s="73" t="s">
        <v>1493</v>
      </c>
      <c r="O154" s="73" t="s">
        <v>1481</v>
      </c>
      <c r="P154" s="116" t="s">
        <v>991</v>
      </c>
    </row>
    <row r="155" spans="1:16" x14ac:dyDescent="0.25">
      <c r="A155" s="65" t="s">
        <v>643</v>
      </c>
      <c r="B155" s="17" t="s">
        <v>644</v>
      </c>
      <c r="C155" s="17" t="s">
        <v>388</v>
      </c>
      <c r="D155" s="66" t="s">
        <v>645</v>
      </c>
      <c r="J155" s="115" t="s">
        <v>969</v>
      </c>
      <c r="K155" s="73" t="s">
        <v>1494</v>
      </c>
      <c r="L155" s="73" t="s">
        <v>1495</v>
      </c>
      <c r="M155" s="73" t="s">
        <v>1496</v>
      </c>
      <c r="N155" s="73" t="s">
        <v>1497</v>
      </c>
      <c r="O155" s="73" t="s">
        <v>1481</v>
      </c>
      <c r="P155" s="116" t="s">
        <v>991</v>
      </c>
    </row>
    <row r="156" spans="1:16" x14ac:dyDescent="0.25">
      <c r="A156" s="65" t="s">
        <v>166</v>
      </c>
      <c r="B156" s="17" t="s">
        <v>165</v>
      </c>
      <c r="C156" s="17" t="s">
        <v>388</v>
      </c>
      <c r="D156" s="66" t="s">
        <v>167</v>
      </c>
      <c r="J156" s="115" t="s">
        <v>971</v>
      </c>
      <c r="K156" s="73" t="s">
        <v>1498</v>
      </c>
      <c r="L156" s="73" t="s">
        <v>1499</v>
      </c>
      <c r="M156" s="73" t="s">
        <v>1500</v>
      </c>
      <c r="N156" s="73" t="s">
        <v>1501</v>
      </c>
      <c r="O156" s="73" t="s">
        <v>1481</v>
      </c>
      <c r="P156" s="116" t="s">
        <v>991</v>
      </c>
    </row>
    <row r="157" spans="1:16" x14ac:dyDescent="0.25">
      <c r="A157" s="65" t="s">
        <v>413</v>
      </c>
      <c r="B157" s="17" t="s">
        <v>412</v>
      </c>
      <c r="C157" s="17" t="s">
        <v>388</v>
      </c>
      <c r="D157" s="66" t="s">
        <v>414</v>
      </c>
      <c r="J157" s="115" t="s">
        <v>970</v>
      </c>
      <c r="K157" s="73" t="s">
        <v>1502</v>
      </c>
      <c r="L157" s="73" t="s">
        <v>1503</v>
      </c>
      <c r="M157" s="73" t="s">
        <v>1504</v>
      </c>
      <c r="N157" s="73" t="s">
        <v>1505</v>
      </c>
      <c r="O157" s="73" t="s">
        <v>1481</v>
      </c>
      <c r="P157" s="116" t="s">
        <v>991</v>
      </c>
    </row>
    <row r="158" spans="1:16" x14ac:dyDescent="0.25">
      <c r="A158" s="65" t="s">
        <v>1967</v>
      </c>
      <c r="B158" s="17" t="s">
        <v>1968</v>
      </c>
      <c r="C158" s="17" t="s">
        <v>388</v>
      </c>
      <c r="D158" s="66" t="s">
        <v>1969</v>
      </c>
      <c r="J158" s="115" t="s">
        <v>949</v>
      </c>
      <c r="K158" s="73" t="s">
        <v>1506</v>
      </c>
      <c r="L158" s="73" t="s">
        <v>1507</v>
      </c>
      <c r="M158" s="73" t="s">
        <v>1508</v>
      </c>
      <c r="N158" s="73" t="s">
        <v>1509</v>
      </c>
      <c r="O158" s="73" t="s">
        <v>1481</v>
      </c>
      <c r="P158" s="116" t="s">
        <v>991</v>
      </c>
    </row>
    <row r="159" spans="1:16" x14ac:dyDescent="0.25">
      <c r="A159" s="65" t="s">
        <v>433</v>
      </c>
      <c r="B159" s="17" t="s">
        <v>432</v>
      </c>
      <c r="C159" s="17" t="s">
        <v>388</v>
      </c>
      <c r="D159" s="66" t="s">
        <v>434</v>
      </c>
      <c r="J159" s="115" t="s">
        <v>950</v>
      </c>
      <c r="K159" s="73" t="s">
        <v>1510</v>
      </c>
      <c r="L159" s="73" t="s">
        <v>1511</v>
      </c>
      <c r="M159" s="73" t="s">
        <v>1512</v>
      </c>
      <c r="N159" s="73" t="s">
        <v>1513</v>
      </c>
      <c r="O159" s="73" t="s">
        <v>1481</v>
      </c>
      <c r="P159" s="116" t="s">
        <v>991</v>
      </c>
    </row>
    <row r="160" spans="1:16" x14ac:dyDescent="0.25">
      <c r="A160" s="65" t="s">
        <v>416</v>
      </c>
      <c r="B160" s="17" t="s">
        <v>415</v>
      </c>
      <c r="C160" s="17" t="s">
        <v>388</v>
      </c>
      <c r="D160" s="66" t="s">
        <v>417</v>
      </c>
      <c r="J160" s="115" t="s">
        <v>973</v>
      </c>
      <c r="K160" s="73" t="s">
        <v>1514</v>
      </c>
      <c r="L160" s="73" t="s">
        <v>1515</v>
      </c>
      <c r="M160" s="73" t="s">
        <v>1516</v>
      </c>
      <c r="N160" s="73" t="s">
        <v>1517</v>
      </c>
      <c r="O160" s="73" t="s">
        <v>1481</v>
      </c>
      <c r="P160" s="116" t="s">
        <v>991</v>
      </c>
    </row>
    <row r="161" spans="1:16" x14ac:dyDescent="0.25">
      <c r="A161" s="65" t="s">
        <v>256</v>
      </c>
      <c r="B161" s="17" t="s">
        <v>255</v>
      </c>
      <c r="C161" s="17" t="s">
        <v>388</v>
      </c>
      <c r="D161" s="66" t="s">
        <v>257</v>
      </c>
      <c r="J161" s="115" t="s">
        <v>942</v>
      </c>
      <c r="K161" s="73" t="s">
        <v>1518</v>
      </c>
      <c r="L161" s="73" t="s">
        <v>1519</v>
      </c>
      <c r="M161" s="73" t="s">
        <v>1520</v>
      </c>
      <c r="N161" s="73" t="s">
        <v>1521</v>
      </c>
      <c r="O161" s="73" t="s">
        <v>1481</v>
      </c>
      <c r="P161" s="116" t="s">
        <v>991</v>
      </c>
    </row>
    <row r="162" spans="1:16" x14ac:dyDescent="0.25">
      <c r="A162" s="65" t="s">
        <v>315</v>
      </c>
      <c r="B162" s="17" t="s">
        <v>314</v>
      </c>
      <c r="C162" s="17" t="s">
        <v>388</v>
      </c>
      <c r="D162" s="66" t="s">
        <v>316</v>
      </c>
      <c r="J162" s="115" t="s">
        <v>943</v>
      </c>
      <c r="K162" s="73" t="s">
        <v>1522</v>
      </c>
      <c r="L162" s="73" t="s">
        <v>1523</v>
      </c>
      <c r="M162" s="73" t="s">
        <v>1524</v>
      </c>
      <c r="N162" s="73" t="s">
        <v>1525</v>
      </c>
      <c r="O162" s="73" t="s">
        <v>1481</v>
      </c>
      <c r="P162" s="116" t="s">
        <v>991</v>
      </c>
    </row>
    <row r="163" spans="1:16" x14ac:dyDescent="0.25">
      <c r="A163" s="65" t="s">
        <v>364</v>
      </c>
      <c r="B163" s="17" t="s">
        <v>363</v>
      </c>
      <c r="C163" s="17" t="s">
        <v>388</v>
      </c>
      <c r="D163" s="66" t="s">
        <v>365</v>
      </c>
      <c r="J163" s="115" t="s">
        <v>944</v>
      </c>
      <c r="K163" s="73" t="s">
        <v>1526</v>
      </c>
      <c r="L163" s="73" t="s">
        <v>1527</v>
      </c>
      <c r="M163" s="73" t="s">
        <v>1528</v>
      </c>
      <c r="N163" s="73" t="s">
        <v>1529</v>
      </c>
      <c r="O163" s="73" t="s">
        <v>1481</v>
      </c>
      <c r="P163" s="116" t="s">
        <v>991</v>
      </c>
    </row>
    <row r="164" spans="1:16" x14ac:dyDescent="0.25">
      <c r="A164" s="65" t="s">
        <v>310</v>
      </c>
      <c r="B164" s="17" t="s">
        <v>309</v>
      </c>
      <c r="C164" s="17" t="s">
        <v>388</v>
      </c>
      <c r="D164" s="66" t="s">
        <v>311</v>
      </c>
      <c r="J164" s="115" t="s">
        <v>945</v>
      </c>
      <c r="K164" s="73" t="s">
        <v>1530</v>
      </c>
      <c r="L164" s="73" t="s">
        <v>1531</v>
      </c>
      <c r="M164" s="73" t="s">
        <v>1532</v>
      </c>
      <c r="N164" s="73" t="s">
        <v>1533</v>
      </c>
      <c r="O164" s="73" t="s">
        <v>1481</v>
      </c>
      <c r="P164" s="116" t="s">
        <v>991</v>
      </c>
    </row>
    <row r="165" spans="1:16" x14ac:dyDescent="0.25">
      <c r="A165" s="65" t="s">
        <v>1970</v>
      </c>
      <c r="B165" s="17" t="s">
        <v>209</v>
      </c>
      <c r="C165" s="17" t="s">
        <v>388</v>
      </c>
      <c r="D165" s="66" t="s">
        <v>210</v>
      </c>
      <c r="J165" s="115" t="s">
        <v>946</v>
      </c>
      <c r="K165" s="73" t="s">
        <v>1534</v>
      </c>
      <c r="L165" s="73" t="s">
        <v>1535</v>
      </c>
      <c r="M165" s="73" t="s">
        <v>1536</v>
      </c>
      <c r="N165" s="73" t="s">
        <v>1537</v>
      </c>
      <c r="O165" s="73" t="s">
        <v>1481</v>
      </c>
      <c r="P165" s="116" t="s">
        <v>991</v>
      </c>
    </row>
    <row r="166" spans="1:16" x14ac:dyDescent="0.25">
      <c r="A166" s="65" t="s">
        <v>346</v>
      </c>
      <c r="B166" s="17" t="s">
        <v>345</v>
      </c>
      <c r="C166" s="17" t="s">
        <v>388</v>
      </c>
      <c r="D166" s="66" t="s">
        <v>347</v>
      </c>
      <c r="J166" s="115" t="s">
        <v>975</v>
      </c>
      <c r="K166" s="73" t="s">
        <v>1538</v>
      </c>
      <c r="L166" s="73" t="s">
        <v>1539</v>
      </c>
      <c r="M166" s="73" t="s">
        <v>1540</v>
      </c>
      <c r="N166" s="73" t="s">
        <v>1541</v>
      </c>
      <c r="O166" s="73" t="s">
        <v>1481</v>
      </c>
      <c r="P166" s="116" t="s">
        <v>991</v>
      </c>
    </row>
    <row r="167" spans="1:16" x14ac:dyDescent="0.25">
      <c r="A167" s="65" t="s">
        <v>349</v>
      </c>
      <c r="B167" s="17" t="s">
        <v>348</v>
      </c>
      <c r="C167" s="17" t="s">
        <v>388</v>
      </c>
      <c r="D167" s="66" t="s">
        <v>350</v>
      </c>
      <c r="J167" s="115" t="s">
        <v>974</v>
      </c>
      <c r="K167" s="73" t="s">
        <v>1542</v>
      </c>
      <c r="L167" s="73" t="s">
        <v>1543</v>
      </c>
      <c r="M167" s="73" t="s">
        <v>1544</v>
      </c>
      <c r="N167" s="73" t="s">
        <v>1545</v>
      </c>
      <c r="O167" s="73" t="s">
        <v>1481</v>
      </c>
      <c r="P167" s="116" t="s">
        <v>991</v>
      </c>
    </row>
    <row r="168" spans="1:16" x14ac:dyDescent="0.25">
      <c r="A168" s="65" t="s">
        <v>275</v>
      </c>
      <c r="B168" s="17" t="s">
        <v>274</v>
      </c>
      <c r="C168" s="17" t="s">
        <v>388</v>
      </c>
      <c r="D168" s="66" t="s">
        <v>276</v>
      </c>
      <c r="J168" s="115" t="s">
        <v>951</v>
      </c>
      <c r="K168" s="73" t="s">
        <v>1546</v>
      </c>
      <c r="L168" s="73" t="s">
        <v>1547</v>
      </c>
      <c r="M168" s="73" t="s">
        <v>1548</v>
      </c>
      <c r="N168" s="73" t="s">
        <v>1549</v>
      </c>
      <c r="O168" s="73" t="s">
        <v>1481</v>
      </c>
      <c r="P168" s="116" t="s">
        <v>991</v>
      </c>
    </row>
    <row r="169" spans="1:16" x14ac:dyDescent="0.25">
      <c r="A169" s="65" t="s">
        <v>204</v>
      </c>
      <c r="B169" s="17" t="s">
        <v>203</v>
      </c>
      <c r="C169" s="17" t="s">
        <v>388</v>
      </c>
      <c r="D169" s="66" t="s">
        <v>205</v>
      </c>
      <c r="J169" s="115" t="s">
        <v>952</v>
      </c>
      <c r="K169" s="73" t="s">
        <v>1550</v>
      </c>
      <c r="L169" s="73" t="s">
        <v>1551</v>
      </c>
      <c r="M169" s="73" t="s">
        <v>1552</v>
      </c>
      <c r="N169" s="73" t="s">
        <v>1553</v>
      </c>
      <c r="O169" s="73" t="s">
        <v>1481</v>
      </c>
      <c r="P169" s="116" t="s">
        <v>991</v>
      </c>
    </row>
    <row r="170" spans="1:16" x14ac:dyDescent="0.25">
      <c r="A170" s="65" t="s">
        <v>336</v>
      </c>
      <c r="B170" s="17" t="s">
        <v>335</v>
      </c>
      <c r="C170" s="17" t="s">
        <v>388</v>
      </c>
      <c r="D170" s="66" t="s">
        <v>5</v>
      </c>
      <c r="J170" s="115" t="s">
        <v>953</v>
      </c>
      <c r="K170" s="73" t="s">
        <v>1554</v>
      </c>
      <c r="L170" s="73" t="s">
        <v>1555</v>
      </c>
      <c r="M170" s="73" t="s">
        <v>1556</v>
      </c>
      <c r="N170" s="73" t="s">
        <v>1557</v>
      </c>
      <c r="O170" s="73" t="s">
        <v>1481</v>
      </c>
      <c r="P170" s="116" t="s">
        <v>991</v>
      </c>
    </row>
    <row r="171" spans="1:16" x14ac:dyDescent="0.25">
      <c r="A171" s="65" t="s">
        <v>419</v>
      </c>
      <c r="B171" s="17" t="s">
        <v>418</v>
      </c>
      <c r="C171" s="17" t="s">
        <v>388</v>
      </c>
      <c r="D171" s="66" t="s">
        <v>420</v>
      </c>
      <c r="J171" s="115" t="s">
        <v>972</v>
      </c>
      <c r="K171" s="73" t="s">
        <v>1558</v>
      </c>
      <c r="L171" s="73" t="s">
        <v>1559</v>
      </c>
      <c r="M171" s="73" t="s">
        <v>1560</v>
      </c>
      <c r="N171" s="73" t="s">
        <v>1561</v>
      </c>
      <c r="O171" s="73" t="s">
        <v>1481</v>
      </c>
      <c r="P171" s="116" t="s">
        <v>991</v>
      </c>
    </row>
    <row r="172" spans="1:16" x14ac:dyDescent="0.25">
      <c r="A172" s="65" t="s">
        <v>186</v>
      </c>
      <c r="B172" s="17" t="s">
        <v>185</v>
      </c>
      <c r="C172" s="17" t="s">
        <v>388</v>
      </c>
      <c r="D172" s="66" t="s">
        <v>187</v>
      </c>
      <c r="J172" s="115" t="s">
        <v>982</v>
      </c>
      <c r="K172" s="73" t="s">
        <v>1562</v>
      </c>
      <c r="L172" s="73" t="s">
        <v>1563</v>
      </c>
      <c r="M172" s="73" t="s">
        <v>1564</v>
      </c>
      <c r="N172" s="73" t="s">
        <v>1565</v>
      </c>
      <c r="O172" s="73" t="s">
        <v>1481</v>
      </c>
      <c r="P172" s="116" t="s">
        <v>991</v>
      </c>
    </row>
    <row r="173" spans="1:16" x14ac:dyDescent="0.25">
      <c r="A173" s="65" t="s">
        <v>227</v>
      </c>
      <c r="B173" s="17" t="s">
        <v>226</v>
      </c>
      <c r="C173" s="17" t="s">
        <v>388</v>
      </c>
      <c r="D173" s="66" t="s">
        <v>228</v>
      </c>
      <c r="J173" s="115" t="s">
        <v>981</v>
      </c>
      <c r="K173" s="73" t="s">
        <v>1566</v>
      </c>
      <c r="L173" s="73" t="s">
        <v>1567</v>
      </c>
      <c r="M173" s="73" t="s">
        <v>1568</v>
      </c>
      <c r="N173" s="73" t="s">
        <v>1569</v>
      </c>
      <c r="O173" s="73" t="s">
        <v>1481</v>
      </c>
      <c r="P173" s="116" t="s">
        <v>991</v>
      </c>
    </row>
    <row r="174" spans="1:16" x14ac:dyDescent="0.25">
      <c r="A174" s="65" t="s">
        <v>352</v>
      </c>
      <c r="B174" s="17" t="s">
        <v>351</v>
      </c>
      <c r="C174" s="17" t="s">
        <v>388</v>
      </c>
      <c r="D174" s="66" t="s">
        <v>353</v>
      </c>
      <c r="J174" s="115" t="s">
        <v>983</v>
      </c>
      <c r="K174" s="73" t="s">
        <v>1570</v>
      </c>
      <c r="L174" s="73" t="s">
        <v>1571</v>
      </c>
      <c r="M174" s="73" t="s">
        <v>1572</v>
      </c>
      <c r="N174" s="73" t="s">
        <v>1573</v>
      </c>
      <c r="O174" s="73" t="s">
        <v>1481</v>
      </c>
      <c r="P174" s="116" t="s">
        <v>991</v>
      </c>
    </row>
    <row r="175" spans="1:16" x14ac:dyDescent="0.25">
      <c r="A175" s="65" t="s">
        <v>121</v>
      </c>
      <c r="B175" s="17" t="s">
        <v>120</v>
      </c>
      <c r="C175" s="17" t="s">
        <v>388</v>
      </c>
      <c r="D175" s="66" t="s">
        <v>122</v>
      </c>
      <c r="J175" s="115" t="s">
        <v>976</v>
      </c>
      <c r="K175" s="73" t="s">
        <v>1574</v>
      </c>
      <c r="L175" s="73" t="s">
        <v>1575</v>
      </c>
      <c r="M175" s="73" t="s">
        <v>1576</v>
      </c>
      <c r="N175" s="73" t="s">
        <v>1577</v>
      </c>
      <c r="O175" s="73" t="s">
        <v>1481</v>
      </c>
      <c r="P175" s="116" t="s">
        <v>991</v>
      </c>
    </row>
    <row r="176" spans="1:16" x14ac:dyDescent="0.25">
      <c r="A176" s="67" t="s">
        <v>398</v>
      </c>
      <c r="B176" s="122" t="s">
        <v>312</v>
      </c>
      <c r="C176" s="122" t="s">
        <v>388</v>
      </c>
      <c r="D176" s="68" t="s">
        <v>313</v>
      </c>
      <c r="J176" s="115" t="s">
        <v>977</v>
      </c>
      <c r="K176" s="73" t="s">
        <v>1578</v>
      </c>
      <c r="L176" s="73" t="s">
        <v>1579</v>
      </c>
      <c r="M176" s="73" t="s">
        <v>1580</v>
      </c>
      <c r="N176" s="73" t="s">
        <v>1581</v>
      </c>
      <c r="O176" s="73" t="s">
        <v>1481</v>
      </c>
      <c r="P176" s="116" t="s">
        <v>991</v>
      </c>
    </row>
    <row r="177" spans="10:16" x14ac:dyDescent="0.25">
      <c r="J177" s="115" t="s">
        <v>954</v>
      </c>
      <c r="K177" s="73" t="s">
        <v>1582</v>
      </c>
      <c r="L177" s="73" t="s">
        <v>1583</v>
      </c>
      <c r="M177" s="73" t="s">
        <v>1584</v>
      </c>
      <c r="N177" s="73" t="s">
        <v>1585</v>
      </c>
      <c r="O177" s="73" t="s">
        <v>1481</v>
      </c>
      <c r="P177" s="116" t="s">
        <v>991</v>
      </c>
    </row>
    <row r="178" spans="10:16" x14ac:dyDescent="0.25">
      <c r="J178" s="115" t="s">
        <v>955</v>
      </c>
      <c r="K178" s="73" t="s">
        <v>1586</v>
      </c>
      <c r="L178" s="73" t="s">
        <v>1587</v>
      </c>
      <c r="M178" s="73" t="s">
        <v>1588</v>
      </c>
      <c r="N178" s="73" t="s">
        <v>1589</v>
      </c>
      <c r="O178" s="73" t="s">
        <v>1481</v>
      </c>
      <c r="P178" s="116" t="s">
        <v>991</v>
      </c>
    </row>
    <row r="179" spans="10:16" x14ac:dyDescent="0.25">
      <c r="J179" s="115" t="s">
        <v>956</v>
      </c>
      <c r="K179" s="73" t="s">
        <v>1590</v>
      </c>
      <c r="L179" s="73" t="s">
        <v>1591</v>
      </c>
      <c r="M179" s="73" t="s">
        <v>1592</v>
      </c>
      <c r="N179" s="73" t="s">
        <v>1593</v>
      </c>
      <c r="O179" s="73" t="s">
        <v>1481</v>
      </c>
      <c r="P179" s="116" t="s">
        <v>991</v>
      </c>
    </row>
    <row r="180" spans="10:16" x14ac:dyDescent="0.25">
      <c r="J180" s="115" t="s">
        <v>978</v>
      </c>
      <c r="K180" s="73" t="s">
        <v>1594</v>
      </c>
      <c r="L180" s="73" t="s">
        <v>1595</v>
      </c>
      <c r="M180" s="73" t="s">
        <v>1596</v>
      </c>
      <c r="N180" s="73" t="s">
        <v>1597</v>
      </c>
      <c r="O180" s="73" t="s">
        <v>1481</v>
      </c>
      <c r="P180" s="116" t="s">
        <v>991</v>
      </c>
    </row>
    <row r="181" spans="10:16" x14ac:dyDescent="0.25">
      <c r="J181" s="115" t="s">
        <v>979</v>
      </c>
      <c r="K181" s="73" t="s">
        <v>1598</v>
      </c>
      <c r="L181" s="73" t="s">
        <v>1599</v>
      </c>
      <c r="M181" s="73" t="s">
        <v>1600</v>
      </c>
      <c r="N181" s="73" t="s">
        <v>1601</v>
      </c>
      <c r="O181" s="73" t="s">
        <v>1481</v>
      </c>
      <c r="P181" s="116" t="s">
        <v>991</v>
      </c>
    </row>
    <row r="182" spans="10:16" x14ac:dyDescent="0.25">
      <c r="J182" s="115" t="s">
        <v>947</v>
      </c>
      <c r="K182" s="73" t="s">
        <v>1602</v>
      </c>
      <c r="L182" s="73" t="s">
        <v>1603</v>
      </c>
      <c r="M182" s="73" t="s">
        <v>1604</v>
      </c>
      <c r="N182" s="73" t="s">
        <v>1605</v>
      </c>
      <c r="O182" s="73" t="s">
        <v>1481</v>
      </c>
      <c r="P182" s="116" t="s">
        <v>991</v>
      </c>
    </row>
    <row r="183" spans="10:16" x14ac:dyDescent="0.25">
      <c r="J183" s="115" t="s">
        <v>980</v>
      </c>
      <c r="K183" s="73" t="s">
        <v>1606</v>
      </c>
      <c r="L183" s="73" t="s">
        <v>1607</v>
      </c>
      <c r="M183" s="73" t="s">
        <v>1608</v>
      </c>
      <c r="N183" s="73" t="s">
        <v>1609</v>
      </c>
      <c r="O183" s="73" t="s">
        <v>1481</v>
      </c>
      <c r="P183" s="116" t="s">
        <v>991</v>
      </c>
    </row>
    <row r="184" spans="10:16" x14ac:dyDescent="0.25">
      <c r="J184" s="115" t="s">
        <v>957</v>
      </c>
      <c r="K184" s="73" t="s">
        <v>1610</v>
      </c>
      <c r="L184" s="73" t="s">
        <v>1611</v>
      </c>
      <c r="M184" s="73" t="s">
        <v>1612</v>
      </c>
      <c r="N184" s="73" t="s">
        <v>1613</v>
      </c>
      <c r="O184" s="73" t="s">
        <v>1481</v>
      </c>
      <c r="P184" s="116" t="s">
        <v>991</v>
      </c>
    </row>
    <row r="185" spans="10:16" x14ac:dyDescent="0.25">
      <c r="J185" s="115" t="s">
        <v>958</v>
      </c>
      <c r="K185" s="73" t="s">
        <v>1614</v>
      </c>
      <c r="L185" s="73" t="s">
        <v>1615</v>
      </c>
      <c r="M185" s="73" t="s">
        <v>1616</v>
      </c>
      <c r="N185" s="73" t="s">
        <v>1617</v>
      </c>
      <c r="O185" s="73" t="s">
        <v>1481</v>
      </c>
      <c r="P185" s="116" t="s">
        <v>991</v>
      </c>
    </row>
    <row r="186" spans="10:16" x14ac:dyDescent="0.25">
      <c r="J186" s="115" t="s">
        <v>959</v>
      </c>
      <c r="K186" s="73" t="s">
        <v>1618</v>
      </c>
      <c r="L186" s="73" t="s">
        <v>1619</v>
      </c>
      <c r="M186" s="73" t="s">
        <v>1620</v>
      </c>
      <c r="N186" s="73" t="s">
        <v>1621</v>
      </c>
      <c r="O186" s="73" t="s">
        <v>1481</v>
      </c>
      <c r="P186" s="116" t="s">
        <v>991</v>
      </c>
    </row>
    <row r="187" spans="10:16" x14ac:dyDescent="0.25">
      <c r="J187" s="115" t="s">
        <v>960</v>
      </c>
      <c r="K187" s="73" t="s">
        <v>1622</v>
      </c>
      <c r="L187" s="73" t="s">
        <v>1623</v>
      </c>
      <c r="M187" s="73" t="s">
        <v>1624</v>
      </c>
      <c r="N187" s="73" t="s">
        <v>1625</v>
      </c>
      <c r="O187" s="73" t="s">
        <v>1481</v>
      </c>
      <c r="P187" s="116" t="s">
        <v>991</v>
      </c>
    </row>
    <row r="188" spans="10:16" x14ac:dyDescent="0.25">
      <c r="J188" s="115" t="s">
        <v>962</v>
      </c>
      <c r="K188" s="73" t="s">
        <v>1626</v>
      </c>
      <c r="L188" s="73" t="s">
        <v>1627</v>
      </c>
      <c r="M188" s="73" t="s">
        <v>1628</v>
      </c>
      <c r="N188" s="73" t="s">
        <v>1629</v>
      </c>
      <c r="O188" s="73" t="s">
        <v>1481</v>
      </c>
      <c r="P188" s="116" t="s">
        <v>991</v>
      </c>
    </row>
    <row r="189" spans="10:16" x14ac:dyDescent="0.25">
      <c r="J189" s="115" t="s">
        <v>984</v>
      </c>
      <c r="K189" s="73" t="s">
        <v>1630</v>
      </c>
      <c r="L189" s="73" t="s">
        <v>1631</v>
      </c>
      <c r="M189" s="73" t="s">
        <v>1632</v>
      </c>
      <c r="N189" s="73" t="s">
        <v>1633</v>
      </c>
      <c r="O189" s="73" t="s">
        <v>1481</v>
      </c>
      <c r="P189" s="116" t="s">
        <v>991</v>
      </c>
    </row>
    <row r="190" spans="10:16" x14ac:dyDescent="0.25">
      <c r="J190" s="115" t="s">
        <v>966</v>
      </c>
      <c r="K190" s="73" t="s">
        <v>1634</v>
      </c>
      <c r="L190" s="73" t="s">
        <v>1635</v>
      </c>
      <c r="M190" s="73" t="s">
        <v>1636</v>
      </c>
      <c r="N190" s="73" t="s">
        <v>1637</v>
      </c>
      <c r="O190" s="73" t="s">
        <v>1481</v>
      </c>
      <c r="P190" s="116" t="s">
        <v>991</v>
      </c>
    </row>
    <row r="191" spans="10:16" x14ac:dyDescent="0.25">
      <c r="J191" s="115" t="s">
        <v>965</v>
      </c>
      <c r="K191" s="73" t="s">
        <v>1638</v>
      </c>
      <c r="L191" s="73" t="s">
        <v>1639</v>
      </c>
      <c r="M191" s="73" t="s">
        <v>1640</v>
      </c>
      <c r="N191" s="73" t="s">
        <v>1641</v>
      </c>
      <c r="O191" s="73" t="s">
        <v>1481</v>
      </c>
      <c r="P191" s="116" t="s">
        <v>991</v>
      </c>
    </row>
    <row r="192" spans="10:16" x14ac:dyDescent="0.25">
      <c r="J192" s="115" t="s">
        <v>967</v>
      </c>
      <c r="K192" s="73" t="s">
        <v>1642</v>
      </c>
      <c r="L192" s="73" t="s">
        <v>1643</v>
      </c>
      <c r="M192" s="73" t="s">
        <v>1644</v>
      </c>
      <c r="N192" s="73" t="s">
        <v>1645</v>
      </c>
      <c r="O192" s="73" t="s">
        <v>1481</v>
      </c>
      <c r="P192" s="116" t="s">
        <v>991</v>
      </c>
    </row>
    <row r="193" spans="10:16" x14ac:dyDescent="0.25">
      <c r="J193" s="115" t="s">
        <v>968</v>
      </c>
      <c r="K193" s="73" t="s">
        <v>1646</v>
      </c>
      <c r="L193" s="73" t="s">
        <v>1647</v>
      </c>
      <c r="M193" s="73" t="s">
        <v>1648</v>
      </c>
      <c r="N193" s="73" t="s">
        <v>1649</v>
      </c>
      <c r="O193" s="73" t="s">
        <v>1481</v>
      </c>
      <c r="P193" s="116" t="s">
        <v>991</v>
      </c>
    </row>
    <row r="194" spans="10:16" x14ac:dyDescent="0.25">
      <c r="J194" s="115" t="s">
        <v>985</v>
      </c>
      <c r="K194" s="73" t="s">
        <v>1650</v>
      </c>
      <c r="L194" s="73" t="s">
        <v>1651</v>
      </c>
      <c r="M194" s="73" t="s">
        <v>1652</v>
      </c>
      <c r="N194" s="73" t="s">
        <v>1653</v>
      </c>
      <c r="O194" s="73" t="s">
        <v>1481</v>
      </c>
      <c r="P194" s="116" t="s">
        <v>991</v>
      </c>
    </row>
    <row r="195" spans="10:16" x14ac:dyDescent="0.25">
      <c r="J195" s="115" t="s">
        <v>986</v>
      </c>
      <c r="K195" s="73" t="s">
        <v>1654</v>
      </c>
      <c r="L195" s="73" t="s">
        <v>1655</v>
      </c>
      <c r="M195" s="73" t="s">
        <v>1656</v>
      </c>
      <c r="N195" s="73" t="s">
        <v>1657</v>
      </c>
      <c r="O195" s="117" t="s">
        <v>1481</v>
      </c>
      <c r="P195" s="123" t="s">
        <v>1032</v>
      </c>
    </row>
    <row r="196" spans="10:16" x14ac:dyDescent="0.25">
      <c r="J196" s="115" t="s">
        <v>906</v>
      </c>
      <c r="K196" s="73" t="s">
        <v>1658</v>
      </c>
      <c r="L196" s="73" t="s">
        <v>1659</v>
      </c>
      <c r="M196" s="73" t="s">
        <v>1660</v>
      </c>
      <c r="N196" s="73" t="s">
        <v>1661</v>
      </c>
      <c r="O196" s="73" t="s">
        <v>1662</v>
      </c>
      <c r="P196" s="116" t="s">
        <v>991</v>
      </c>
    </row>
    <row r="197" spans="10:16" x14ac:dyDescent="0.25">
      <c r="J197" s="115" t="s">
        <v>907</v>
      </c>
      <c r="K197" s="73" t="s">
        <v>1663</v>
      </c>
      <c r="L197" s="73" t="s">
        <v>1664</v>
      </c>
      <c r="M197" s="73" t="s">
        <v>1665</v>
      </c>
      <c r="N197" s="73" t="s">
        <v>1666</v>
      </c>
      <c r="O197" s="73" t="s">
        <v>1662</v>
      </c>
      <c r="P197" s="116" t="s">
        <v>991</v>
      </c>
    </row>
    <row r="198" spans="10:16" x14ac:dyDescent="0.25">
      <c r="J198" s="115" t="s">
        <v>908</v>
      </c>
      <c r="K198" s="73" t="s">
        <v>1667</v>
      </c>
      <c r="L198" s="73" t="s">
        <v>1668</v>
      </c>
      <c r="M198" s="73" t="s">
        <v>1669</v>
      </c>
      <c r="N198" s="73" t="s">
        <v>1670</v>
      </c>
      <c r="O198" s="73" t="s">
        <v>1662</v>
      </c>
      <c r="P198" s="116" t="s">
        <v>991</v>
      </c>
    </row>
    <row r="199" spans="10:16" x14ac:dyDescent="0.25">
      <c r="J199" s="115" t="s">
        <v>909</v>
      </c>
      <c r="K199" s="73" t="s">
        <v>1671</v>
      </c>
      <c r="L199" s="73" t="s">
        <v>1672</v>
      </c>
      <c r="M199" s="73" t="s">
        <v>1673</v>
      </c>
      <c r="N199" s="73" t="s">
        <v>1674</v>
      </c>
      <c r="O199" s="73" t="s">
        <v>1662</v>
      </c>
      <c r="P199" s="116" t="s">
        <v>991</v>
      </c>
    </row>
    <row r="200" spans="10:16" x14ac:dyDescent="0.25">
      <c r="J200" s="115" t="s">
        <v>910</v>
      </c>
      <c r="K200" s="73" t="s">
        <v>1675</v>
      </c>
      <c r="L200" s="73" t="s">
        <v>1676</v>
      </c>
      <c r="M200" s="73" t="s">
        <v>1677</v>
      </c>
      <c r="N200" s="73" t="s">
        <v>1678</v>
      </c>
      <c r="O200" s="73" t="s">
        <v>1662</v>
      </c>
      <c r="P200" s="116" t="s">
        <v>991</v>
      </c>
    </row>
    <row r="201" spans="10:16" x14ac:dyDescent="0.25">
      <c r="J201" s="115" t="s">
        <v>911</v>
      </c>
      <c r="K201" s="73" t="s">
        <v>1679</v>
      </c>
      <c r="L201" s="73" t="s">
        <v>1680</v>
      </c>
      <c r="M201" s="73" t="s">
        <v>1681</v>
      </c>
      <c r="N201" s="73" t="s">
        <v>1682</v>
      </c>
      <c r="O201" s="73" t="s">
        <v>1662</v>
      </c>
      <c r="P201" s="116" t="s">
        <v>991</v>
      </c>
    </row>
    <row r="202" spans="10:16" x14ac:dyDescent="0.25">
      <c r="J202" s="115" t="s">
        <v>912</v>
      </c>
      <c r="K202" s="73" t="s">
        <v>1683</v>
      </c>
      <c r="L202" s="73" t="s">
        <v>1684</v>
      </c>
      <c r="M202" s="73" t="s">
        <v>1685</v>
      </c>
      <c r="N202" s="73" t="s">
        <v>1686</v>
      </c>
      <c r="O202" s="73" t="s">
        <v>1662</v>
      </c>
      <c r="P202" s="116" t="s">
        <v>991</v>
      </c>
    </row>
    <row r="203" spans="10:16" x14ac:dyDescent="0.25">
      <c r="J203" s="115" t="s">
        <v>913</v>
      </c>
      <c r="K203" s="73" t="s">
        <v>1687</v>
      </c>
      <c r="L203" s="73" t="s">
        <v>1688</v>
      </c>
      <c r="M203" s="73" t="s">
        <v>1689</v>
      </c>
      <c r="N203" s="73" t="s">
        <v>1690</v>
      </c>
      <c r="O203" s="73" t="s">
        <v>1662</v>
      </c>
      <c r="P203" s="116" t="s">
        <v>991</v>
      </c>
    </row>
    <row r="204" spans="10:16" x14ac:dyDescent="0.25">
      <c r="J204" s="115" t="s">
        <v>914</v>
      </c>
      <c r="K204" s="73" t="s">
        <v>1691</v>
      </c>
      <c r="L204" s="73" t="s">
        <v>1692</v>
      </c>
      <c r="M204" s="73" t="s">
        <v>1693</v>
      </c>
      <c r="N204" s="73" t="s">
        <v>1694</v>
      </c>
      <c r="O204" s="73" t="s">
        <v>1662</v>
      </c>
      <c r="P204" s="116" t="s">
        <v>991</v>
      </c>
    </row>
    <row r="205" spans="10:16" x14ac:dyDescent="0.25">
      <c r="J205" s="115" t="s">
        <v>915</v>
      </c>
      <c r="K205" s="73" t="s">
        <v>1695</v>
      </c>
      <c r="L205" s="73" t="s">
        <v>1696</v>
      </c>
      <c r="M205" s="73" t="s">
        <v>1697</v>
      </c>
      <c r="N205" s="73" t="s">
        <v>1698</v>
      </c>
      <c r="O205" s="73" t="s">
        <v>1662</v>
      </c>
      <c r="P205" s="116" t="s">
        <v>991</v>
      </c>
    </row>
    <row r="206" spans="10:16" x14ac:dyDescent="0.25">
      <c r="J206" s="115" t="s">
        <v>916</v>
      </c>
      <c r="K206" s="73" t="s">
        <v>1699</v>
      </c>
      <c r="L206" s="73" t="s">
        <v>1700</v>
      </c>
      <c r="M206" s="73" t="s">
        <v>1701</v>
      </c>
      <c r="N206" s="73" t="s">
        <v>1702</v>
      </c>
      <c r="O206" s="73" t="s">
        <v>1662</v>
      </c>
      <c r="P206" s="116" t="s">
        <v>991</v>
      </c>
    </row>
    <row r="207" spans="10:16" x14ac:dyDescent="0.25">
      <c r="J207" s="115" t="s">
        <v>917</v>
      </c>
      <c r="K207" s="73" t="s">
        <v>1703</v>
      </c>
      <c r="L207" s="73" t="s">
        <v>1704</v>
      </c>
      <c r="M207" s="73" t="s">
        <v>1705</v>
      </c>
      <c r="N207" s="73" t="s">
        <v>1706</v>
      </c>
      <c r="O207" s="73" t="s">
        <v>1662</v>
      </c>
      <c r="P207" s="116" t="s">
        <v>991</v>
      </c>
    </row>
    <row r="208" spans="10:16" x14ac:dyDescent="0.25">
      <c r="J208" s="115" t="s">
        <v>918</v>
      </c>
      <c r="K208" s="73" t="s">
        <v>1707</v>
      </c>
      <c r="L208" s="73" t="s">
        <v>1708</v>
      </c>
      <c r="M208" s="73" t="s">
        <v>1709</v>
      </c>
      <c r="N208" s="73" t="s">
        <v>1710</v>
      </c>
      <c r="O208" s="73" t="s">
        <v>1662</v>
      </c>
      <c r="P208" s="116" t="s">
        <v>991</v>
      </c>
    </row>
    <row r="209" spans="10:16" x14ac:dyDescent="0.25">
      <c r="J209" s="115" t="s">
        <v>919</v>
      </c>
      <c r="K209" s="73" t="s">
        <v>1711</v>
      </c>
      <c r="L209" s="73" t="s">
        <v>1712</v>
      </c>
      <c r="M209" s="73" t="s">
        <v>1713</v>
      </c>
      <c r="N209" s="73" t="s">
        <v>1714</v>
      </c>
      <c r="O209" s="73" t="s">
        <v>1662</v>
      </c>
      <c r="P209" s="116" t="s">
        <v>991</v>
      </c>
    </row>
    <row r="210" spans="10:16" x14ac:dyDescent="0.25">
      <c r="J210" s="115" t="s">
        <v>920</v>
      </c>
      <c r="K210" s="73" t="s">
        <v>1715</v>
      </c>
      <c r="L210" s="73" t="s">
        <v>1716</v>
      </c>
      <c r="M210" s="73" t="s">
        <v>1717</v>
      </c>
      <c r="N210" s="73" t="s">
        <v>1718</v>
      </c>
      <c r="O210" s="73" t="s">
        <v>1662</v>
      </c>
      <c r="P210" s="116" t="s">
        <v>991</v>
      </c>
    </row>
    <row r="211" spans="10:16" x14ac:dyDescent="0.25">
      <c r="J211" s="115" t="s">
        <v>921</v>
      </c>
      <c r="K211" s="73" t="s">
        <v>1719</v>
      </c>
      <c r="L211" s="73" t="s">
        <v>1720</v>
      </c>
      <c r="M211" s="73" t="s">
        <v>1721</v>
      </c>
      <c r="N211" s="73" t="s">
        <v>1722</v>
      </c>
      <c r="O211" s="73" t="s">
        <v>1662</v>
      </c>
      <c r="P211" s="116" t="s">
        <v>991</v>
      </c>
    </row>
    <row r="212" spans="10:16" x14ac:dyDescent="0.25">
      <c r="J212" s="115" t="s">
        <v>922</v>
      </c>
      <c r="K212" s="73" t="s">
        <v>1723</v>
      </c>
      <c r="L212" s="73" t="s">
        <v>1724</v>
      </c>
      <c r="M212" s="73" t="s">
        <v>1725</v>
      </c>
      <c r="N212" s="73" t="s">
        <v>1726</v>
      </c>
      <c r="O212" s="73" t="s">
        <v>1662</v>
      </c>
      <c r="P212" s="116" t="s">
        <v>991</v>
      </c>
    </row>
    <row r="213" spans="10:16" x14ac:dyDescent="0.25">
      <c r="J213" s="115" t="s">
        <v>923</v>
      </c>
      <c r="K213" s="73" t="s">
        <v>1727</v>
      </c>
      <c r="L213" s="73" t="s">
        <v>1728</v>
      </c>
      <c r="M213" s="73" t="s">
        <v>1729</v>
      </c>
      <c r="N213" s="73" t="s">
        <v>1730</v>
      </c>
      <c r="O213" s="73" t="s">
        <v>1662</v>
      </c>
      <c r="P213" s="116" t="s">
        <v>991</v>
      </c>
    </row>
    <row r="214" spans="10:16" x14ac:dyDescent="0.25">
      <c r="J214" s="115" t="s">
        <v>924</v>
      </c>
      <c r="K214" s="73" t="s">
        <v>1731</v>
      </c>
      <c r="L214" s="73" t="s">
        <v>1732</v>
      </c>
      <c r="M214" s="73" t="s">
        <v>1733</v>
      </c>
      <c r="N214" s="73" t="s">
        <v>1734</v>
      </c>
      <c r="O214" s="73" t="s">
        <v>1662</v>
      </c>
      <c r="P214" s="116" t="s">
        <v>991</v>
      </c>
    </row>
    <row r="215" spans="10:16" x14ac:dyDescent="0.25">
      <c r="J215" s="115" t="s">
        <v>925</v>
      </c>
      <c r="K215" s="73" t="s">
        <v>1735</v>
      </c>
      <c r="L215" s="73" t="s">
        <v>1736</v>
      </c>
      <c r="M215" s="73" t="s">
        <v>1737</v>
      </c>
      <c r="N215" s="73" t="s">
        <v>1738</v>
      </c>
      <c r="O215" s="73" t="s">
        <v>1662</v>
      </c>
      <c r="P215" s="116" t="s">
        <v>991</v>
      </c>
    </row>
    <row r="216" spans="10:16" x14ac:dyDescent="0.25">
      <c r="J216" s="115" t="s">
        <v>926</v>
      </c>
      <c r="K216" s="73" t="s">
        <v>1739</v>
      </c>
      <c r="L216" s="73" t="s">
        <v>1740</v>
      </c>
      <c r="M216" s="73" t="s">
        <v>1741</v>
      </c>
      <c r="N216" s="73" t="s">
        <v>1742</v>
      </c>
      <c r="O216" s="73" t="s">
        <v>1662</v>
      </c>
      <c r="P216" s="116" t="s">
        <v>991</v>
      </c>
    </row>
    <row r="217" spans="10:16" x14ac:dyDescent="0.25">
      <c r="J217" s="115" t="s">
        <v>927</v>
      </c>
      <c r="K217" s="73" t="s">
        <v>1743</v>
      </c>
      <c r="L217" s="73" t="s">
        <v>1744</v>
      </c>
      <c r="M217" s="73" t="s">
        <v>1745</v>
      </c>
      <c r="N217" s="73" t="s">
        <v>1746</v>
      </c>
      <c r="O217" s="73" t="s">
        <v>1662</v>
      </c>
      <c r="P217" s="116" t="s">
        <v>991</v>
      </c>
    </row>
    <row r="218" spans="10:16" x14ac:dyDescent="0.25">
      <c r="J218" s="115" t="s">
        <v>928</v>
      </c>
      <c r="K218" s="73" t="s">
        <v>1747</v>
      </c>
      <c r="L218" s="73" t="s">
        <v>1748</v>
      </c>
      <c r="M218" s="73" t="s">
        <v>1749</v>
      </c>
      <c r="N218" s="73" t="s">
        <v>1750</v>
      </c>
      <c r="O218" s="73" t="s">
        <v>1662</v>
      </c>
      <c r="P218" s="116" t="s">
        <v>991</v>
      </c>
    </row>
    <row r="219" spans="10:16" x14ac:dyDescent="0.25">
      <c r="J219" s="115" t="s">
        <v>929</v>
      </c>
      <c r="K219" s="73" t="s">
        <v>1751</v>
      </c>
      <c r="L219" s="73" t="s">
        <v>1752</v>
      </c>
      <c r="M219" s="73" t="s">
        <v>1753</v>
      </c>
      <c r="N219" s="73" t="s">
        <v>1754</v>
      </c>
      <c r="O219" s="73" t="s">
        <v>1662</v>
      </c>
      <c r="P219" s="116" t="s">
        <v>991</v>
      </c>
    </row>
    <row r="220" spans="10:16" x14ac:dyDescent="0.25">
      <c r="J220" s="115" t="s">
        <v>930</v>
      </c>
      <c r="K220" s="73" t="s">
        <v>1755</v>
      </c>
      <c r="L220" s="73" t="s">
        <v>1756</v>
      </c>
      <c r="M220" s="73" t="s">
        <v>1757</v>
      </c>
      <c r="N220" s="73" t="s">
        <v>1758</v>
      </c>
      <c r="O220" s="73" t="s">
        <v>1662</v>
      </c>
      <c r="P220" s="116" t="s">
        <v>991</v>
      </c>
    </row>
    <row r="221" spans="10:16" x14ac:dyDescent="0.25">
      <c r="J221" s="115" t="s">
        <v>931</v>
      </c>
      <c r="K221" s="73" t="s">
        <v>1759</v>
      </c>
      <c r="L221" s="73" t="s">
        <v>1760</v>
      </c>
      <c r="M221" s="73" t="s">
        <v>1761</v>
      </c>
      <c r="N221" s="73" t="s">
        <v>1762</v>
      </c>
      <c r="O221" s="73" t="s">
        <v>1662</v>
      </c>
      <c r="P221" s="116" t="s">
        <v>991</v>
      </c>
    </row>
    <row r="222" spans="10:16" x14ac:dyDescent="0.25">
      <c r="J222" s="115" t="s">
        <v>932</v>
      </c>
      <c r="K222" s="73" t="s">
        <v>1763</v>
      </c>
      <c r="L222" s="73" t="s">
        <v>1764</v>
      </c>
      <c r="M222" s="73" t="s">
        <v>1765</v>
      </c>
      <c r="N222" s="73" t="s">
        <v>1766</v>
      </c>
      <c r="O222" s="73" t="s">
        <v>1662</v>
      </c>
      <c r="P222" s="119" t="s">
        <v>1148</v>
      </c>
    </row>
    <row r="223" spans="10:16" x14ac:dyDescent="0.25">
      <c r="J223" s="115" t="s">
        <v>933</v>
      </c>
      <c r="K223" s="73" t="s">
        <v>1767</v>
      </c>
      <c r="L223" s="73" t="s">
        <v>1768</v>
      </c>
      <c r="M223" s="73"/>
      <c r="N223" s="73"/>
      <c r="O223" s="73" t="s">
        <v>1662</v>
      </c>
      <c r="P223" s="119" t="s">
        <v>1148</v>
      </c>
    </row>
    <row r="224" spans="10:16" x14ac:dyDescent="0.25">
      <c r="J224" s="72" t="s">
        <v>934</v>
      </c>
      <c r="K224" s="117" t="s">
        <v>1769</v>
      </c>
      <c r="L224" s="117" t="s">
        <v>1770</v>
      </c>
      <c r="M224" s="117" t="s">
        <v>1771</v>
      </c>
      <c r="N224" s="117" t="s">
        <v>1772</v>
      </c>
      <c r="O224" s="117" t="s">
        <v>1662</v>
      </c>
      <c r="P224" s="123" t="s">
        <v>1032</v>
      </c>
    </row>
  </sheetData>
  <sheetProtection algorithmName="SHA-512" hashValue="H9i0zbaZ5z3Dpi5Lfc/kAaPdOt+TJ2BUnWNLeQwt+gh1wJP6bmgIWZNJX5T6dhPUeaGHMuS5Z+8svcQfwz68LQ==" saltValue="gnNdm1dKfW+JuR6zmNtefQ==" spinCount="100000" sheet="1" objects="1" scenarios="1"/>
  <mergeCells count="6">
    <mergeCell ref="J1:P1"/>
    <mergeCell ref="J21:P21"/>
    <mergeCell ref="F8:H8"/>
    <mergeCell ref="G22:H22"/>
    <mergeCell ref="A1:D1"/>
    <mergeCell ref="F1:G1"/>
  </mergeCells>
  <pageMargins left="0.70866141732283461" right="0.70866141732283461" top="0.55118110236220474" bottom="0.55118110236220474" header="0.11811023622047244" footer="0.11811023622047244"/>
  <pageSetup paperSize="9" scale="3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H45"/>
  <sheetViews>
    <sheetView showGridLines="0" zoomScale="80" zoomScaleNormal="80" workbookViewId="0">
      <pane ySplit="10" topLeftCell="A11" activePane="bottomLeft" state="frozen"/>
      <selection pane="bottomLeft" activeCell="F15" sqref="F15"/>
    </sheetView>
  </sheetViews>
  <sheetFormatPr defaultColWidth="9.33203125" defaultRowHeight="10.199999999999999" x14ac:dyDescent="0.2"/>
  <cols>
    <col min="1" max="1" width="7.6640625" style="147" customWidth="1"/>
    <col min="2" max="2" width="12.33203125" style="147" customWidth="1"/>
    <col min="3" max="3" width="10.33203125" style="147" customWidth="1"/>
    <col min="4" max="4" width="14.6640625" style="147" customWidth="1"/>
    <col min="5" max="5" width="21" style="147" customWidth="1"/>
    <col min="6" max="6" width="25.33203125" style="154" customWidth="1"/>
    <col min="7" max="7" width="10.6640625" style="147" customWidth="1"/>
    <col min="8" max="8" width="101.5546875" style="147" customWidth="1"/>
    <col min="9" max="16384" width="9.33203125" style="147"/>
  </cols>
  <sheetData>
    <row r="1" spans="1:8" ht="14.4" x14ac:dyDescent="0.2">
      <c r="A1" s="263" t="str">
        <f>VLOOKUP("G00",tblTranslation[],LangNameID,FALSE) &amp;" ( "&amp;Idiom&amp;" )"</f>
        <v>Instructions to complete the form ( ENG )</v>
      </c>
      <c r="B1" s="263"/>
      <c r="C1" s="263"/>
      <c r="D1" s="263"/>
      <c r="E1" s="263"/>
      <c r="F1" s="263"/>
      <c r="G1" s="263"/>
      <c r="H1" s="263"/>
    </row>
    <row r="2" spans="1:8" ht="13.8" x14ac:dyDescent="0.2">
      <c r="A2" s="264" t="str">
        <f>VLOOKUP("G01",tblTranslation[],LangFieldID,FALSE)</f>
        <v>General</v>
      </c>
      <c r="B2" s="264"/>
      <c r="C2" s="264"/>
      <c r="D2" s="264"/>
      <c r="E2" s="264"/>
      <c r="F2" s="41"/>
      <c r="G2" s="35"/>
      <c r="H2" s="36"/>
    </row>
    <row r="3" spans="1:8" x14ac:dyDescent="0.2">
      <c r="A3" s="36" t="s">
        <v>448</v>
      </c>
      <c r="B3" s="248" t="str">
        <f>VLOOKUP("G01a",tblTranslation[],LangNameID,FALSE)</f>
        <v>Complete as far as possible the Header and Detail sections (don't leave fields empty when information is known).</v>
      </c>
      <c r="C3" s="248"/>
      <c r="D3" s="248"/>
      <c r="E3" s="248"/>
      <c r="F3" s="248"/>
      <c r="G3" s="248"/>
      <c r="H3" s="248"/>
    </row>
    <row r="4" spans="1:8" x14ac:dyDescent="0.2">
      <c r="A4" s="36" t="s">
        <v>449</v>
      </c>
      <c r="B4" s="248" t="str">
        <f>VLOOKUP("G01b",tblTranslation[],LangNameID,FALSE)</f>
        <v>In Header section, only white cells can be filled (manually or by selecting from the Combo Box the corresponding code).</v>
      </c>
      <c r="C4" s="248"/>
      <c r="D4" s="248"/>
      <c r="E4" s="248"/>
      <c r="F4" s="248"/>
      <c r="G4" s="248"/>
      <c r="H4" s="248"/>
    </row>
    <row r="5" spans="1:8" x14ac:dyDescent="0.2">
      <c r="A5" s="36" t="s">
        <v>450</v>
      </c>
      <c r="B5" s="248" t="str">
        <f>VLOOKUP("G01c",tblTranslation[],LangNameID,FALSE)</f>
        <v>Always use ICCAT standard codes (when element "OTHERS" of various fields is required it must be explicitly described in "Notes").</v>
      </c>
      <c r="C5" s="248"/>
      <c r="D5" s="248"/>
      <c r="E5" s="248"/>
      <c r="F5" s="248"/>
      <c r="G5" s="248"/>
      <c r="H5" s="248"/>
    </row>
    <row r="6" spans="1:8" x14ac:dyDescent="0.2">
      <c r="A6" s="36" t="s">
        <v>451</v>
      </c>
      <c r="B6" s="248" t="str">
        <f>VLOOKUP("G01d",tblTranslation[],LangNameID,FALSE)</f>
        <v>Recommendation for users with databases: To paste an entire dataset into the Detail section (it must have the same structure and format) use "Paste special (values)"</v>
      </c>
      <c r="C6" s="248"/>
      <c r="D6" s="248"/>
      <c r="E6" s="248"/>
      <c r="F6" s="248"/>
      <c r="G6" s="248"/>
      <c r="H6" s="248"/>
    </row>
    <row r="7" spans="1:8" x14ac:dyDescent="0.2">
      <c r="A7" s="36" t="s">
        <v>452</v>
      </c>
      <c r="B7" s="248" t="str">
        <f>VLOOKUP("G01e",tblTranslation[],LangNameID,FALSE)</f>
        <v>If no information is collected, leave the fileds "blank"</v>
      </c>
      <c r="C7" s="248"/>
      <c r="D7" s="248"/>
      <c r="E7" s="248"/>
      <c r="F7" s="248"/>
      <c r="G7" s="248"/>
      <c r="H7" s="248"/>
    </row>
    <row r="8" spans="1:8" x14ac:dyDescent="0.2">
      <c r="A8" s="37"/>
      <c r="B8" s="37"/>
      <c r="C8" s="6"/>
      <c r="D8" s="6"/>
      <c r="E8" s="6"/>
      <c r="F8" s="42"/>
      <c r="G8" s="38"/>
      <c r="H8" s="37"/>
    </row>
    <row r="9" spans="1:8" ht="13.8" x14ac:dyDescent="0.2">
      <c r="A9" s="253" t="str">
        <f>VLOOKUP("S00",tblTranslation[],LangFieldID,FALSE)</f>
        <v>Specific (by field)</v>
      </c>
      <c r="B9" s="253"/>
      <c r="C9" s="253"/>
      <c r="D9" s="253"/>
      <c r="E9" s="253"/>
      <c r="F9" s="42"/>
      <c r="G9" s="38"/>
      <c r="H9" s="37"/>
    </row>
    <row r="10" spans="1:8" x14ac:dyDescent="0.2">
      <c r="A10" s="39" t="str">
        <f>VLOOKUP("SC01",tblTranslation[],LangFieldID,FALSE)</f>
        <v>Form</v>
      </c>
      <c r="B10" s="39" t="str">
        <f>VLOOKUP("SC02",tblTranslation[],LangFieldID,FALSE)</f>
        <v>Sub-form</v>
      </c>
      <c r="C10" s="39" t="str">
        <f>VLOOKUP("SC03",tblTranslation[],LangFieldID,FALSE)</f>
        <v>Part</v>
      </c>
      <c r="D10" s="39" t="str">
        <f>VLOOKUP("SC04",tblTranslation[],LangFieldID,FALSE)</f>
        <v>Section</v>
      </c>
      <c r="E10" s="39" t="str">
        <f>VLOOKUP("SC05",tblTranslation[],LangFieldID,FALSE)</f>
        <v>Sub-section</v>
      </c>
      <c r="F10" s="43" t="str">
        <f>VLOOKUP("SC06",tblTranslation[],LangFieldID,FALSE)</f>
        <v>Field (name)</v>
      </c>
      <c r="G10" s="40" t="str">
        <f>VLOOKUP("SC07",tblTranslation[],LangFieldID,FALSE)</f>
        <v>Field (format)</v>
      </c>
      <c r="H10" s="39" t="str">
        <f>VLOOKUP("SC08",tblTranslation[],LangFieldID,FALSE)</f>
        <v>Description</v>
      </c>
    </row>
    <row r="11" spans="1:8" x14ac:dyDescent="0.2">
      <c r="A11" s="245" t="str">
        <f>VLOOKUP("T00",tblTranslation[],LangFieldID,FALSE)</f>
        <v>CP39-AccAgr</v>
      </c>
      <c r="B11" s="254" t="str">
        <f>VLOOKUP("T01",tblTranslation[],LangFieldID,FALSE)</f>
        <v>Title</v>
      </c>
      <c r="C11" s="255"/>
      <c r="D11" s="255"/>
      <c r="E11" s="256"/>
      <c r="F11" s="44" t="str">
        <f>VLOOKUP("tVersion",tblTranslation[],LangFieldID,FALSE)</f>
        <v>Version</v>
      </c>
      <c r="G11" s="105" t="str">
        <f>VLOOKUP("tVersion",tblTranslation[],6,FALSE)</f>
        <v>(fixed)</v>
      </c>
      <c r="H11" s="125" t="str">
        <f>VLOOKUP("tVersion",tblTranslation[],LangNameID,FALSE)</f>
        <v>Always use the latest version of this form.</v>
      </c>
    </row>
    <row r="12" spans="1:8" x14ac:dyDescent="0.2">
      <c r="A12" s="245"/>
      <c r="B12" s="257"/>
      <c r="C12" s="258"/>
      <c r="D12" s="258"/>
      <c r="E12" s="259"/>
      <c r="F12" s="44" t="str">
        <f>VLOOKUP("tLang",tblTranslation[],LangFieldID,FALSE)</f>
        <v>Language</v>
      </c>
      <c r="G12" s="105" t="str">
        <f>VLOOKUP("tLang",tblTranslation[],6,FALSE)</f>
        <v>ICCAT code</v>
      </c>
      <c r="H12" s="125" t="str">
        <f>VLOOKUP("tLang",tblTranslation[],LangNameID,FALSE)</f>
        <v>Choose the language (EN, FR, ES) for form translation</v>
      </c>
    </row>
    <row r="13" spans="1:8" x14ac:dyDescent="0.2">
      <c r="A13" s="245"/>
      <c r="B13" s="245" t="str">
        <f>VLOOKUP("T03",tblTranslation[],LangFieldID,FALSE)</f>
        <v>CP39A</v>
      </c>
      <c r="C13" s="245" t="str">
        <f>VLOOKUP("H00",tblTranslation[],LangFieldID,FALSE)</f>
        <v>Header</v>
      </c>
      <c r="D13" s="250" t="str">
        <f>VLOOKUP("H10",tblTranslation[],LangFieldID,FALSE)</f>
        <v>Flag Correspondent</v>
      </c>
      <c r="E13" s="250"/>
      <c r="F13" s="45" t="str">
        <f>VLOOKUP("hPerson",tblTranslation[],LangFieldID,FALSE)</f>
        <v>Name</v>
      </c>
      <c r="G13" s="102" t="str">
        <f>VLOOKUP("hPerson",tblTranslation[],6,FALSE)</f>
        <v>string</v>
      </c>
      <c r="H13" s="103" t="str">
        <f>VLOOKUP("hPerson",tblTranslation[],LangNameID,FALSE)</f>
        <v>Enter the name of the person to be contacted in the event of enquiries</v>
      </c>
    </row>
    <row r="14" spans="1:8" x14ac:dyDescent="0.2">
      <c r="A14" s="245"/>
      <c r="B14" s="245"/>
      <c r="C14" s="245"/>
      <c r="D14" s="250"/>
      <c r="E14" s="250"/>
      <c r="F14" s="45" t="str">
        <f>VLOOKUP("hAgency",tblTranslation[],LangFieldID,FALSE)</f>
        <v>Reporting Agency</v>
      </c>
      <c r="G14" s="102" t="str">
        <f>VLOOKUP("hAgency",tblTranslation[],6,FALSE)</f>
        <v>string</v>
      </c>
      <c r="H14" s="103" t="str">
        <f>VLOOKUP("hAgency",tblTranslation[],LangNameID,FALSE)</f>
        <v>Enter the name of your ministry, institute or agency</v>
      </c>
    </row>
    <row r="15" spans="1:8" x14ac:dyDescent="0.2">
      <c r="A15" s="245"/>
      <c r="B15" s="245"/>
      <c r="C15" s="245"/>
      <c r="D15" s="250"/>
      <c r="E15" s="250"/>
      <c r="F15" s="57" t="str">
        <f>VLOOKUP("hAddress",tblTranslation[],LangFieldID,FALSE)</f>
        <v>Address</v>
      </c>
      <c r="G15" s="102" t="str">
        <f>VLOOKUP("hAddress",tblTranslation[],6,FALSE)</f>
        <v>string</v>
      </c>
      <c r="H15" s="103" t="str">
        <f>VLOOKUP("hAddress",tblTranslation[],LangNameID,FALSE)</f>
        <v>Enter the street address of your ministry, institute or agency</v>
      </c>
    </row>
    <row r="16" spans="1:8" x14ac:dyDescent="0.2">
      <c r="A16" s="245"/>
      <c r="B16" s="245"/>
      <c r="C16" s="245"/>
      <c r="D16" s="250"/>
      <c r="E16" s="250"/>
      <c r="F16" s="45" t="str">
        <f>VLOOKUP("hEmail",tblTranslation[],LangFieldID,FALSE)</f>
        <v>Email</v>
      </c>
      <c r="G16" s="102" t="str">
        <f>VLOOKUP("hEmail",tblTranslation[],6,FALSE)</f>
        <v>string</v>
      </c>
      <c r="H16" s="103" t="str">
        <f>VLOOKUP("hEmail",tblTranslation[],LangNameID,FALSE)</f>
        <v>Enter the email address of the person to be contacted</v>
      </c>
    </row>
    <row r="17" spans="1:8" x14ac:dyDescent="0.2">
      <c r="A17" s="245"/>
      <c r="B17" s="245"/>
      <c r="C17" s="245"/>
      <c r="D17" s="251"/>
      <c r="E17" s="251"/>
      <c r="F17" s="101" t="str">
        <f>VLOOKUP("hPhone",tblTranslation[],LangFieldID,FALSE)</f>
        <v>Phone</v>
      </c>
      <c r="G17" s="102" t="str">
        <f>VLOOKUP("hPhone",tblTranslation[],6,FALSE)</f>
        <v>string</v>
      </c>
      <c r="H17" s="103" t="str">
        <f>VLOOKUP("hPhone",tblTranslation[],LangNameID,FALSE)</f>
        <v>Enter the telephone number of the person to be contacted</v>
      </c>
    </row>
    <row r="18" spans="1:8" x14ac:dyDescent="0.2">
      <c r="A18" s="245"/>
      <c r="B18" s="245"/>
      <c r="C18" s="249"/>
      <c r="D18" s="260" t="str">
        <f>VLOOKUP("H30",tblTranslation[],LangFieldID,FALSE)</f>
        <v>Data set characteristics</v>
      </c>
      <c r="E18" s="148"/>
      <c r="F18" s="101" t="str">
        <f>VLOOKUP("hFlagRep1",tblTranslation[],LangFieldID,FALSE)</f>
        <v>Reporting Flag being granted access</v>
      </c>
      <c r="G18" s="102" t="str">
        <f>VLOOKUP("hFlagRep1",tblTranslation[],6,FALSE)</f>
        <v>ICCAT code</v>
      </c>
      <c r="H18" s="103" t="str">
        <f>VLOOKUP("hFlagRep1",tblTranslation[],LangNameID,FALSE)</f>
        <v>Enter the flag of the CPC, NCP (Party, Entity or Fishing Entity)  being granted access</v>
      </c>
    </row>
    <row r="19" spans="1:8" x14ac:dyDescent="0.2">
      <c r="A19" s="245"/>
      <c r="B19" s="245"/>
      <c r="C19" s="249"/>
      <c r="D19" s="261"/>
      <c r="E19" s="149"/>
      <c r="F19" s="101" t="str">
        <f>VLOOKUP("hFlagOth1",tblTranslation[],LangFieldID,FALSE)</f>
        <v>or Other (specify)</v>
      </c>
      <c r="G19" s="102" t="str">
        <f>VLOOKUP("hFlagOth1",tblTranslation[],6,FALSE)</f>
        <v>string</v>
      </c>
      <c r="H19" s="103" t="str">
        <f>VLOOKUP("hFlagOth1",tblTranslation[],LangNameID,FALSE)</f>
        <v>Enter the flag of the Non Contracting Party or other entity which is not included in the ICCAT codes and is being granted access</v>
      </c>
    </row>
    <row r="20" spans="1:8" x14ac:dyDescent="0.2">
      <c r="A20" s="245"/>
      <c r="B20" s="245"/>
      <c r="C20" s="249"/>
      <c r="D20" s="261"/>
      <c r="E20" s="149"/>
      <c r="F20" s="101" t="str">
        <f>VLOOKUP("hFlagRep2",tblTranslation[],LangFieldID,FALSE)</f>
        <v>Reporting Flag granting access</v>
      </c>
      <c r="G20" s="102" t="str">
        <f>VLOOKUP("hFlagRep2",tblTranslation[],6,FALSE)</f>
        <v>ICCAT code</v>
      </c>
      <c r="H20" s="103" t="str">
        <f>VLOOKUP("hFlagRep2",tblTranslation[],LangNameID,FALSE)</f>
        <v>Enter the flag of the CPC, NCP (Party, Entity or Fishing Entity) in whose waters access has been granted</v>
      </c>
    </row>
    <row r="21" spans="1:8" x14ac:dyDescent="0.2">
      <c r="A21" s="245"/>
      <c r="B21" s="245"/>
      <c r="C21" s="249"/>
      <c r="D21" s="261"/>
      <c r="E21" s="149"/>
      <c r="F21" s="101" t="str">
        <f>VLOOKUP("hFlagOth2",tblTranslation[],LangFieldID,FALSE)</f>
        <v>or Other (specify)</v>
      </c>
      <c r="G21" s="102" t="str">
        <f>VLOOKUP("hFlagOth2",tblTranslation[],6,FALSE)</f>
        <v>string</v>
      </c>
      <c r="H21" s="103" t="str">
        <f>VLOOKUP("hFlagOth2",tblTranslation[],LangNameID,FALSE)</f>
        <v>Enter the flag of the Non Contracting Party or other entity which is not included in the ICCAT codes and whose waters access has been granted</v>
      </c>
    </row>
    <row r="22" spans="1:8" x14ac:dyDescent="0.2">
      <c r="A22" s="245"/>
      <c r="B22" s="245"/>
      <c r="C22" s="249"/>
      <c r="D22" s="261"/>
      <c r="E22" s="251" t="str">
        <f>VLOOKUP("hPeriod",tblTranslation[],LangFieldID,FALSE)</f>
        <v>Time period covered by the agreement</v>
      </c>
      <c r="F22" s="101" t="str">
        <f>VLOOKUP("hPeriodFrom",tblTranslation[],LangFieldID,FALSE)</f>
        <v>From</v>
      </c>
      <c r="G22" s="102" t="str">
        <f>VLOOKUP("hPeriodFrom",tblTranslation[],6,FALSE)</f>
        <v>date</v>
      </c>
      <c r="H22" s="103" t="str">
        <f>VLOOKUP("hPeriodFrom",tblTranslation[],LangNameID,FALSE)</f>
        <v>Initial date for time period or periods covered by the agreement</v>
      </c>
    </row>
    <row r="23" spans="1:8" x14ac:dyDescent="0.2">
      <c r="A23" s="245"/>
      <c r="B23" s="245"/>
      <c r="C23" s="249"/>
      <c r="D23" s="261"/>
      <c r="E23" s="252"/>
      <c r="F23" s="101" t="str">
        <f>VLOOKUP("hPeriodTo",tblTranslation[],LangFieldID,FALSE)</f>
        <v>to</v>
      </c>
      <c r="G23" s="102" t="str">
        <f>VLOOKUP("hPeriodTo",tblTranslation[],6,FALSE)</f>
        <v>date</v>
      </c>
      <c r="H23" s="103" t="str">
        <f>VLOOKUP("hPeriodTo",tblTranslation[],LangNameID,FALSE)</f>
        <v>End date for time period or periods covered by the agreement</v>
      </c>
    </row>
    <row r="24" spans="1:8" x14ac:dyDescent="0.2">
      <c r="A24" s="245"/>
      <c r="B24" s="245"/>
      <c r="C24" s="249"/>
      <c r="D24" s="261"/>
      <c r="E24" s="251" t="str">
        <f>VLOOKUP("hContact",tblTranslation[],LangFieldID,FALSE)</f>
        <v>Contact Coordinates</v>
      </c>
      <c r="F24" s="101" t="str">
        <f>VLOOKUP("hContactIssuer",tblTranslation[],LangFieldID,FALSE)</f>
        <v>Issuer of fishing licenses or permits</v>
      </c>
      <c r="G24" s="102" t="str">
        <f>VLOOKUP("hContactIssuer",tblTranslation[],6,FALSE)</f>
        <v>string</v>
      </c>
      <c r="H24" s="103" t="str">
        <f>VLOOKUP("hContactIssuer",tblTranslation[],LangNameID,FALSE)</f>
        <v>Contact coordinates of the National Authority for the coastal State responsible for issuing fishing licenses or permits</v>
      </c>
    </row>
    <row r="25" spans="1:8" x14ac:dyDescent="0.2">
      <c r="A25" s="245"/>
      <c r="B25" s="245"/>
      <c r="C25" s="249"/>
      <c r="D25" s="261"/>
      <c r="E25" s="252"/>
      <c r="F25" s="101" t="str">
        <f>VLOOKUP("hContactMCS",tblTranslation[],LangFieldID,FALSE)</f>
        <v>Responsible for MCS activities</v>
      </c>
      <c r="G25" s="102" t="str">
        <f>VLOOKUP("hContactMCS",tblTranslation[],6,FALSE)</f>
        <v>string</v>
      </c>
      <c r="H25" s="103" t="str">
        <f>VLOOKUP("hContactMCS",tblTranslation[],LangNameID,FALSE)</f>
        <v>Contact coordinates of the National Authority for the coastal State responsible for monitoring, control, and surveillance activities</v>
      </c>
    </row>
    <row r="26" spans="1:8" x14ac:dyDescent="0.2">
      <c r="A26" s="245"/>
      <c r="B26" s="245"/>
      <c r="C26" s="249"/>
      <c r="D26" s="261"/>
      <c r="E26" s="251" t="str">
        <f>VLOOKUP("hAgreement",tblTranslation[],LangFieldID,FALSE)</f>
        <v>Written agreement</v>
      </c>
      <c r="F26" s="101" t="str">
        <f>VLOOKUP("hAgreementFile",tblTranslation[],LangFieldID,FALSE)</f>
        <v>File name</v>
      </c>
      <c r="G26" s="102" t="str">
        <f>VLOOKUP("hAgreementFile",tblTranslation[],6,FALSE)</f>
        <v>string</v>
      </c>
      <c r="H26" s="103" t="str">
        <f>VLOOKUP("hAgreementFile",tblTranslation[],LangNameID,FALSE)</f>
        <v xml:space="preserve">Name of file of the written agreement </v>
      </c>
    </row>
    <row r="27" spans="1:8" x14ac:dyDescent="0.2">
      <c r="A27" s="245"/>
      <c r="B27" s="245"/>
      <c r="C27" s="249"/>
      <c r="D27" s="261"/>
      <c r="E27" s="252"/>
      <c r="F27" s="101" t="str">
        <f>VLOOKUP("hAgreementYN",tblTranslation[],LangFieldID,FALSE)</f>
        <v>Attached</v>
      </c>
      <c r="G27" s="105" t="str">
        <f>VLOOKUP("tLang",tblTranslation[],6,FALSE)</f>
        <v>ICCAT code</v>
      </c>
      <c r="H27" s="103" t="str">
        <f>VLOOKUP("hAgreementYN",tblTranslation[],LangNameID,FALSE)</f>
        <v>Indicate whether the file is attached or not (Yes/No)</v>
      </c>
    </row>
    <row r="28" spans="1:8" ht="40.799999999999997" x14ac:dyDescent="0.2">
      <c r="A28" s="245"/>
      <c r="B28" s="245"/>
      <c r="C28" s="249"/>
      <c r="D28" s="261"/>
      <c r="E28" s="149"/>
      <c r="F28" s="101" t="str">
        <f>VLOOKUP("hMCSmeasures",tblTranslation[],LangFieldID,FALSE)</f>
        <v>Monitoring, control, and surveillance measures required by the flag CPC and coastal State involved (Max. 1000 characters)</v>
      </c>
      <c r="G28" s="102" t="str">
        <f>VLOOKUP("hMCSmeasures",tblTranslation[],6,FALSE)</f>
        <v>string</v>
      </c>
      <c r="H28" s="103" t="str">
        <f>VLOOKUP("hMCSmeasures",tblTranslation[],LangNameID,FALSE)</f>
        <v>Brief description of the monitoring, control, and surveillance measures required by the flag CPC and coastal State involved (e.g. VMS, port inspection, fisheries observers programs...)</v>
      </c>
    </row>
    <row r="29" spans="1:8" ht="51" x14ac:dyDescent="0.2">
      <c r="A29" s="245"/>
      <c r="B29" s="245"/>
      <c r="C29" s="249"/>
      <c r="D29" s="261"/>
      <c r="E29" s="149"/>
      <c r="F29" s="101" t="str">
        <f>VLOOKUP("hRepObligations",tblTranslation[],LangFieldID,FALSE)</f>
        <v>Data reporting obligations stipulated in the agreement, between the Parties involved and information that must be provided to the Commission (Max. 1000 characters)</v>
      </c>
      <c r="G29" s="102" t="str">
        <f>VLOOKUP("hRepObligations",tblTranslation[],6,FALSE)</f>
        <v>string</v>
      </c>
      <c r="H29" s="103" t="str">
        <f>VLOOKUP("hRepObligations",tblTranslation[],LangNameID,FALSE)</f>
        <v>Indicate the data reporting obligations stipulated in the agreement, including those between the Parties involved, as well as those regarding information that must be provided to the Commission (e.g. PNO, daily reports, fishing licence, authorizations, entry/exit zones, logbook transmissions...)</v>
      </c>
    </row>
    <row r="30" spans="1:8" x14ac:dyDescent="0.2">
      <c r="A30" s="245"/>
      <c r="B30" s="245"/>
      <c r="C30" s="249"/>
      <c r="D30" s="262"/>
      <c r="E30" s="150"/>
      <c r="F30" s="101" t="str">
        <f>VLOOKUP("hNotes",tblTranslation[],LangFieldID,FALSE)</f>
        <v>Notes</v>
      </c>
      <c r="G30" s="102" t="str">
        <f>VLOOKUP("hNotes",tblTranslation[],6,FALSE)</f>
        <v>string</v>
      </c>
      <c r="H30" s="103" t="str">
        <f>VLOOKUP("hNotes",tblTranslation[],LangNameID,FALSE)</f>
        <v>For any relevant notes (not covered in the rest of fields)</v>
      </c>
    </row>
    <row r="31" spans="1:8" x14ac:dyDescent="0.2">
      <c r="A31" s="245"/>
      <c r="B31" s="245"/>
      <c r="C31" s="245"/>
      <c r="D31" s="252" t="s">
        <v>391</v>
      </c>
      <c r="E31" s="252"/>
      <c r="F31" s="101" t="str">
        <f>VLOOKUP("hDateRep",tblTranslation[],LangFieldID,FALSE)</f>
        <v>Date reported</v>
      </c>
      <c r="G31" s="102" t="str">
        <f>VLOOKUP("hDateRep",tblTranslation[],6,FALSE)</f>
        <v>date</v>
      </c>
      <c r="H31" s="103" t="str">
        <f>VLOOKUP("hDateRep",tblTranslation[],LangNameID,FALSE)</f>
        <v>Secretariat use only</v>
      </c>
    </row>
    <row r="32" spans="1:8" x14ac:dyDescent="0.2">
      <c r="A32" s="245"/>
      <c r="B32" s="245"/>
      <c r="C32" s="245"/>
      <c r="D32" s="250"/>
      <c r="E32" s="250"/>
      <c r="F32" s="101" t="str">
        <f>VLOOKUP("hRef",tblTranslation[],LangFieldID,FALSE)</f>
        <v>Reference Nº</v>
      </c>
      <c r="G32" s="102" t="str">
        <f>VLOOKUP("hRef",tblTranslation[],6,FALSE)</f>
        <v>ICCAT code</v>
      </c>
      <c r="H32" s="103" t="str">
        <f>VLOOKUP("hRef",tblTranslation[],LangNameID,FALSE)</f>
        <v>Secretariat use only</v>
      </c>
    </row>
    <row r="33" spans="1:8" x14ac:dyDescent="0.2">
      <c r="A33" s="245"/>
      <c r="B33" s="245"/>
      <c r="C33" s="245"/>
      <c r="D33" s="250"/>
      <c r="E33" s="250"/>
      <c r="F33" s="101" t="str">
        <f>VLOOKUP("hFname",tblTranslation[],LangFieldID,FALSE)</f>
        <v>File name (proposed)</v>
      </c>
      <c r="G33" s="102" t="str">
        <f>VLOOKUP("hFName",tblTranslation[],6,FALSE)</f>
        <v>string</v>
      </c>
      <c r="H33" s="103" t="str">
        <f>VLOOKUP("hFName",tblTranslation[],LangNameID,FALSE)</f>
        <v>Send the form to ICCAT with the proposed file name (if required, adding a suffix at the end of the filename: [suffix])</v>
      </c>
    </row>
    <row r="34" spans="1:8" x14ac:dyDescent="0.2">
      <c r="A34" s="245"/>
      <c r="B34" s="245"/>
      <c r="C34" s="245" t="str">
        <f>VLOOKUP("D00",tblTranslation[],LangFieldID,FALSE)</f>
        <v>Detail</v>
      </c>
      <c r="D34" s="246" t="str">
        <f>VLOOKUP("D10",tblTranslation[],LangFieldID,FALSE)</f>
        <v>Mandatory information (Access Agreements)</v>
      </c>
      <c r="E34" s="247" t="str">
        <f>VLOOKUP("D11",tblTranslation[],LangFieldID,FALSE)</f>
        <v>Fishing Activities Authorized</v>
      </c>
      <c r="F34" s="47" t="str">
        <f>VLOOKUP("aGearCd",tblTranslation[],LangFieldID,FALSE)</f>
        <v>Gear (cod)</v>
      </c>
      <c r="G34" s="102" t="str">
        <f>VLOOKUP("aGearCd",tblTranslation[],6,FALSE)</f>
        <v>ICCAT code</v>
      </c>
      <c r="H34" s="103" t="str">
        <f>VLOOKUP("aGearCd",tblTranslation[],LangNameID,FALSE)</f>
        <v>Gear types authorized in the agreement</v>
      </c>
    </row>
    <row r="35" spans="1:8" x14ac:dyDescent="0.2">
      <c r="A35" s="245"/>
      <c r="B35" s="245"/>
      <c r="C35" s="245"/>
      <c r="D35" s="246"/>
      <c r="E35" s="247"/>
      <c r="F35" s="46" t="str">
        <f>VLOOKUP("aNrVessels",tblTranslation[],LangFieldID,FALSE)</f>
        <v>No. Vessels</v>
      </c>
      <c r="G35" s="102" t="str">
        <f>VLOOKUP("aNrVessels",tblTranslation[],6,FALSE)</f>
        <v>integer</v>
      </c>
      <c r="H35" s="103" t="str">
        <f>VLOOKUP("aNrVessels",tblTranslation[],LangNameID,FALSE)</f>
        <v>Number of vessels authorized in the agreement</v>
      </c>
    </row>
    <row r="36" spans="1:8" x14ac:dyDescent="0.2">
      <c r="A36" s="245"/>
      <c r="B36" s="245"/>
      <c r="C36" s="245"/>
      <c r="D36" s="246"/>
      <c r="E36" s="247"/>
      <c r="F36" s="47" t="str">
        <f>VLOOKUP("aSpeciesCd",tblTranslation[],LangFieldID,FALSE)</f>
        <v>Species (cod)</v>
      </c>
      <c r="G36" s="102" t="str">
        <f>VLOOKUP("aSpeciesCd",tblTranslation[],6,FALSE)</f>
        <v>ICCAT code</v>
      </c>
      <c r="H36" s="103" t="str">
        <f>VLOOKUP("aSpeciesCd",tblTranslation[],LangNameID,FALSE)</f>
        <v>Species authorized for harvest in the agreement (Just Major Species included)</v>
      </c>
    </row>
    <row r="37" spans="1:8" x14ac:dyDescent="0.2">
      <c r="A37" s="245"/>
      <c r="B37" s="245"/>
      <c r="C37" s="245"/>
      <c r="D37" s="246"/>
      <c r="E37" s="247"/>
      <c r="F37" s="46" t="str">
        <f>VLOOKUP("aAmountAuth",tblTranslation[],LangFieldID,FALSE)</f>
        <v>Amount Authorized (t)</v>
      </c>
      <c r="G37" s="102" t="str">
        <f>VLOOKUP("aAmountAuth",tblTranslation[],6,FALSE)</f>
        <v>integer</v>
      </c>
      <c r="H37" s="103" t="str">
        <f>VLOOKUP("aAmountAuth",tblTranslation[],LangNameID,FALSE)</f>
        <v>Amount in tonnes authorized for harvest in the agreement</v>
      </c>
    </row>
    <row r="38" spans="1:8" x14ac:dyDescent="0.2">
      <c r="A38" s="245"/>
      <c r="B38" s="245"/>
      <c r="C38" s="245"/>
      <c r="D38" s="246"/>
      <c r="E38" s="247"/>
      <c r="F38" s="46" t="str">
        <f>VLOOKUP("aQuotaCPC",tblTranslation[],LangFieldID,FALSE)</f>
        <v>CPC’s quota (t)</v>
      </c>
      <c r="G38" s="102" t="str">
        <f>VLOOKUP("aQuotaCPC",tblTranslation[],6,FALSE)</f>
        <v>float</v>
      </c>
      <c r="H38" s="103" t="str">
        <f>VLOOKUP("aQuotaCPC",tblTranslation[],LangNameID,FALSE)</f>
        <v>CPC’s quota or catch limit in tonnes to which the catch will be applied in the agreement</v>
      </c>
    </row>
    <row r="39" spans="1:8" x14ac:dyDescent="0.2">
      <c r="A39" s="245"/>
      <c r="B39" s="245" t="str">
        <f>VLOOKUP("T04",tblTranslation[],LangFieldID,FALSE)</f>
        <v>CP39B</v>
      </c>
      <c r="C39" s="241" t="str">
        <f>VLOOKUP("H01",tblTranslation[],LangFieldID,FALSE)</f>
        <v>Header</v>
      </c>
      <c r="D39" s="242"/>
      <c r="E39" s="242"/>
      <c r="F39" s="151"/>
      <c r="G39" s="152" t="str">
        <f>VLOOKUP("H01",tblTranslation[],6,FALSE)</f>
        <v>(auto)</v>
      </c>
      <c r="H39" s="153" t="str">
        <f>VLOOKUP("H01",tblTranslation[],LangNameID,FALSE)</f>
        <v>(automatic completion obtained from CP39A)</v>
      </c>
    </row>
    <row r="40" spans="1:8" ht="20.399999999999999" x14ac:dyDescent="0.2">
      <c r="A40" s="245"/>
      <c r="B40" s="245"/>
      <c r="C40" s="243"/>
      <c r="D40" s="244"/>
      <c r="E40" s="244"/>
      <c r="F40" s="101" t="str">
        <f>VLOOKUP("hSummary",tblTranslation[],LangFieldID,FALSE)</f>
        <v>Summary of Activities (Max. 1000 characters)</v>
      </c>
      <c r="G40" s="102" t="str">
        <f>VLOOKUP("hSummary",tblTranslation[],6,FALSE)</f>
        <v>string</v>
      </c>
      <c r="H40" s="103" t="str">
        <f>VLOOKUP("hSummary",tblTranslation[],LangNameID,FALSE)</f>
        <v>Summary of the activities carried out pursuant to these agreements</v>
      </c>
    </row>
    <row r="41" spans="1:8" x14ac:dyDescent="0.2">
      <c r="A41" s="245"/>
      <c r="B41" s="245"/>
      <c r="C41" s="245" t="str">
        <f>VLOOKUP("D00",tblTranslation[],LangFieldID,FALSE)</f>
        <v>Detail</v>
      </c>
      <c r="D41" s="246" t="str">
        <f>VLOOKUP("D30",tblTranslation[],LangFieldID,FALSE)</f>
        <v>Mandatory information (Summary of Activities)</v>
      </c>
      <c r="E41" s="247" t="str">
        <f>VLOOKUP("D30",tblTranslation[],LangFieldID,FALSE)</f>
        <v>Mandatory information (Summary of Activities)</v>
      </c>
      <c r="F41" s="47" t="str">
        <f>VLOOKUP("cGearCd",tblTranslation[],LangFieldID,FALSE)</f>
        <v>Gear (cod)</v>
      </c>
      <c r="G41" s="102" t="str">
        <f>VLOOKUP("cGearCd",tblTranslation[],6,FALSE)</f>
        <v>ICCAT code</v>
      </c>
      <c r="H41" s="103" t="str">
        <f>VLOOKUP("cGearCd",tblTranslation[],LangNameID,FALSE)</f>
        <v>Gear types used while carrying out the Fishing Activity</v>
      </c>
    </row>
    <row r="42" spans="1:8" x14ac:dyDescent="0.2">
      <c r="A42" s="245"/>
      <c r="B42" s="245"/>
      <c r="C42" s="245"/>
      <c r="D42" s="246"/>
      <c r="E42" s="247"/>
      <c r="F42" s="46" t="str">
        <f>VLOOKUP("cNrVessels",tblTranslation[],LangFieldID,FALSE)</f>
        <v>No. Vessels</v>
      </c>
      <c r="G42" s="102" t="str">
        <f>VLOOKUP("cNrVessels",tblTranslation[],6,FALSE)</f>
        <v>integer</v>
      </c>
      <c r="H42" s="103" t="str">
        <f>VLOOKUP("cNrVessels",tblTranslation[],LangNameID,FALSE)</f>
        <v>Number of vessels which performed the Fishing Activity</v>
      </c>
    </row>
    <row r="43" spans="1:8" x14ac:dyDescent="0.2">
      <c r="A43" s="245"/>
      <c r="B43" s="245"/>
      <c r="C43" s="245"/>
      <c r="D43" s="246"/>
      <c r="E43" s="247"/>
      <c r="F43" s="47" t="str">
        <f>VLOOKUP("cSpeciesCd",tblTranslation[],LangFieldID,FALSE)</f>
        <v>Species (cod)</v>
      </c>
      <c r="G43" s="102" t="str">
        <f>VLOOKUP("cSpeciesCd",tblTranslation[],6,FALSE)</f>
        <v>ICCAT code</v>
      </c>
      <c r="H43" s="103" t="str">
        <f>VLOOKUP("cSpeciesCd",tblTranslation[],LangNameID,FALSE)</f>
        <v>Species harvested during the Fishing Activity (All Species included)</v>
      </c>
    </row>
    <row r="44" spans="1:8" x14ac:dyDescent="0.2">
      <c r="A44" s="245"/>
      <c r="B44" s="245"/>
      <c r="C44" s="245"/>
      <c r="D44" s="246"/>
      <c r="E44" s="247"/>
      <c r="F44" s="46" t="str">
        <f>VLOOKUP("cAmountAuth",tblTranslation[],LangFieldID,FALSE)</f>
        <v>Amount Authorized (t)</v>
      </c>
      <c r="G44" s="102" t="str">
        <f>VLOOKUP("cAmountAuth",tblTranslation[],6,FALSE)</f>
        <v>integer</v>
      </c>
      <c r="H44" s="103" t="str">
        <f>VLOOKUP("cAmountAuth",tblTranslation[],LangNameID,FALSE)</f>
        <v>Amount in tonnes harvested during the Fishing Activity</v>
      </c>
    </row>
    <row r="45" spans="1:8" x14ac:dyDescent="0.2">
      <c r="A45" s="245"/>
      <c r="B45" s="245"/>
      <c r="C45" s="245"/>
      <c r="D45" s="246"/>
      <c r="E45" s="247"/>
      <c r="F45" s="46" t="str">
        <f>VLOOKUP("cQuotaCPC",tblTranslation[],LangFieldID,FALSE)</f>
        <v>CPC’s quota (t)</v>
      </c>
      <c r="G45" s="102" t="str">
        <f>VLOOKUP("cQuotaCPC",tblTranslation[],6,FALSE)</f>
        <v>float</v>
      </c>
      <c r="H45" s="103" t="str">
        <f>VLOOKUP("cQuotaCPC",tblTranslation[],LangNameID,FALSE)</f>
        <v>CPC’s quota or catch limit in tonnes to which the catch will be applied after the ending of the Fishing Activity</v>
      </c>
    </row>
  </sheetData>
  <sheetProtection algorithmName="SHA-512" hashValue="+P5mjE3c99xBjPShmveXlq/Vm6Qb3hMTw8jL8Fo18P4XWCcvbd/r67Q5AiXC7uElcECexNP26dEK8n7x93susw==" saltValue="krOGp5iw5W/sCiBHrjuAKg==" spinCount="100000" sheet="1" objects="1" scenarios="1"/>
  <mergeCells count="26">
    <mergeCell ref="A1:H1"/>
    <mergeCell ref="A2:E2"/>
    <mergeCell ref="B3:H3"/>
    <mergeCell ref="B4:H4"/>
    <mergeCell ref="B5:H5"/>
    <mergeCell ref="B6:H6"/>
    <mergeCell ref="C13:C33"/>
    <mergeCell ref="D13:E17"/>
    <mergeCell ref="D31:E33"/>
    <mergeCell ref="C34:C38"/>
    <mergeCell ref="B13:B38"/>
    <mergeCell ref="D34:D38"/>
    <mergeCell ref="B7:H7"/>
    <mergeCell ref="A9:E9"/>
    <mergeCell ref="B11:E12"/>
    <mergeCell ref="A11:A45"/>
    <mergeCell ref="E34:E38"/>
    <mergeCell ref="E22:E23"/>
    <mergeCell ref="E24:E25"/>
    <mergeCell ref="E26:E27"/>
    <mergeCell ref="D18:D30"/>
    <mergeCell ref="C39:E40"/>
    <mergeCell ref="C41:C45"/>
    <mergeCell ref="B39:B45"/>
    <mergeCell ref="D41:D45"/>
    <mergeCell ref="E41:E45"/>
  </mergeCells>
  <hyperlinks>
    <hyperlink ref="F34" location="GearCode" display="GearCode" xr:uid="{45993827-3F2C-4378-8DF6-CB27F53241E1}"/>
    <hyperlink ref="F41" location="GearCode" display="GearCode" xr:uid="{0A006D27-CD94-4BC5-A779-DF1B9FB58278}"/>
    <hyperlink ref="F36" location="SpeciesCodeMajor" display="SpeciesCodeMajor" xr:uid="{C1C14DDA-3172-4D8F-BF65-EA9C3D4100B3}"/>
    <hyperlink ref="F43" location="SpeciesCode" display="SpeciesCode" xr:uid="{C2EACCE5-7C4F-4BE8-9E57-31CC22106367}"/>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L72"/>
  <sheetViews>
    <sheetView topLeftCell="E1" zoomScale="60" zoomScaleNormal="60" workbookViewId="0">
      <pane ySplit="4" topLeftCell="A43" activePane="bottomLeft" state="frozen"/>
      <selection pane="bottomLeft" activeCell="A4" sqref="A4:L72"/>
    </sheetView>
  </sheetViews>
  <sheetFormatPr defaultColWidth="6.44140625" defaultRowHeight="12" x14ac:dyDescent="0.3"/>
  <cols>
    <col min="1" max="1" width="13.44140625" style="52" bestFit="1" customWidth="1"/>
    <col min="2" max="2" width="7.6640625" style="52" customWidth="1"/>
    <col min="3" max="3" width="11.6640625" style="52" customWidth="1"/>
    <col min="4" max="4" width="11.44140625" style="52" bestFit="1" customWidth="1"/>
    <col min="5" max="5" width="9.6640625" style="52" bestFit="1" customWidth="1"/>
    <col min="6" max="6" width="13.33203125" style="52" bestFit="1" customWidth="1"/>
    <col min="7" max="9" width="24.6640625" style="52" customWidth="1"/>
    <col min="10" max="12" width="59.5546875" style="52" customWidth="1"/>
    <col min="13" max="16384" width="6.44140625" style="52"/>
  </cols>
  <sheetData>
    <row r="1" spans="1:12" ht="13.8" x14ac:dyDescent="0.3">
      <c r="A1" s="265" t="s">
        <v>445</v>
      </c>
      <c r="B1" s="265"/>
      <c r="C1" s="265"/>
      <c r="D1" s="265"/>
      <c r="E1" s="265"/>
      <c r="F1" s="53"/>
      <c r="G1" s="54" t="s">
        <v>446</v>
      </c>
      <c r="H1" s="55">
        <f>IF(Idiom="ENG",7,IF(Idiom="FRA",8,9))</f>
        <v>7</v>
      </c>
    </row>
    <row r="2" spans="1:12" x14ac:dyDescent="0.3">
      <c r="A2" s="56"/>
      <c r="B2" s="56"/>
      <c r="C2" s="56"/>
      <c r="D2" s="56"/>
      <c r="E2" s="56"/>
      <c r="F2" s="56"/>
      <c r="G2" s="54" t="s">
        <v>447</v>
      </c>
      <c r="H2" s="55">
        <f>IF(Idiom="ENG",10,IF(Idiom="FRA",11,12))</f>
        <v>10</v>
      </c>
    </row>
    <row r="4" spans="1:12" x14ac:dyDescent="0.3">
      <c r="A4" s="74" t="s">
        <v>376</v>
      </c>
      <c r="B4" s="75" t="s">
        <v>435</v>
      </c>
      <c r="C4" s="75" t="s">
        <v>436</v>
      </c>
      <c r="D4" s="75" t="s">
        <v>372</v>
      </c>
      <c r="E4" s="75" t="s">
        <v>437</v>
      </c>
      <c r="F4" s="76" t="s">
        <v>438</v>
      </c>
      <c r="G4" s="76" t="s">
        <v>439</v>
      </c>
      <c r="H4" s="76" t="s">
        <v>440</v>
      </c>
      <c r="I4" s="76" t="s">
        <v>441</v>
      </c>
      <c r="J4" s="75" t="s">
        <v>600</v>
      </c>
      <c r="K4" s="75" t="s">
        <v>601</v>
      </c>
      <c r="L4" s="77" t="s">
        <v>602</v>
      </c>
    </row>
    <row r="5" spans="1:12" ht="26.25" customHeight="1" x14ac:dyDescent="0.3">
      <c r="A5" s="78" t="s">
        <v>531</v>
      </c>
      <c r="B5" s="59">
        <v>1</v>
      </c>
      <c r="C5" s="59" t="s">
        <v>646</v>
      </c>
      <c r="D5" s="59" t="s">
        <v>374</v>
      </c>
      <c r="E5" s="59" t="s">
        <v>455</v>
      </c>
      <c r="F5" s="59" t="s">
        <v>442</v>
      </c>
      <c r="G5" s="59" t="s">
        <v>653</v>
      </c>
      <c r="H5" s="59" t="s">
        <v>653</v>
      </c>
      <c r="I5" s="59" t="s">
        <v>653</v>
      </c>
      <c r="J5" s="59" t="s">
        <v>654</v>
      </c>
      <c r="K5" s="59" t="s">
        <v>1776</v>
      </c>
      <c r="L5" s="87" t="s">
        <v>1777</v>
      </c>
    </row>
    <row r="6" spans="1:12" x14ac:dyDescent="0.3">
      <c r="A6" s="79" t="s">
        <v>382</v>
      </c>
      <c r="B6" s="59">
        <v>2</v>
      </c>
      <c r="C6" s="59" t="s">
        <v>646</v>
      </c>
      <c r="D6" s="59" t="s">
        <v>374</v>
      </c>
      <c r="E6" s="80" t="s">
        <v>462</v>
      </c>
      <c r="F6" s="80" t="s">
        <v>442</v>
      </c>
      <c r="G6" s="80" t="s">
        <v>374</v>
      </c>
      <c r="H6" s="80" t="s">
        <v>512</v>
      </c>
      <c r="I6" s="80" t="s">
        <v>513</v>
      </c>
      <c r="J6" s="80" t="s">
        <v>514</v>
      </c>
      <c r="K6" s="80" t="s">
        <v>515</v>
      </c>
      <c r="L6" s="155" t="s">
        <v>516</v>
      </c>
    </row>
    <row r="7" spans="1:12" x14ac:dyDescent="0.3">
      <c r="A7" s="81" t="s">
        <v>523</v>
      </c>
      <c r="B7" s="59">
        <v>3</v>
      </c>
      <c r="C7" s="59" t="s">
        <v>646</v>
      </c>
      <c r="D7" s="59" t="s">
        <v>374</v>
      </c>
      <c r="E7" s="80" t="s">
        <v>462</v>
      </c>
      <c r="F7" s="80" t="s">
        <v>442</v>
      </c>
      <c r="G7" s="80" t="s">
        <v>517</v>
      </c>
      <c r="H7" s="80" t="s">
        <v>518</v>
      </c>
      <c r="I7" s="80" t="s">
        <v>519</v>
      </c>
      <c r="J7" s="80" t="s">
        <v>520</v>
      </c>
      <c r="K7" s="80" t="s">
        <v>521</v>
      </c>
      <c r="L7" s="155" t="s">
        <v>522</v>
      </c>
    </row>
    <row r="8" spans="1:12" x14ac:dyDescent="0.2">
      <c r="A8" s="78" t="s">
        <v>526</v>
      </c>
      <c r="B8" s="59">
        <v>4</v>
      </c>
      <c r="C8" s="59" t="s">
        <v>646</v>
      </c>
      <c r="D8" s="59" t="s">
        <v>374</v>
      </c>
      <c r="E8" s="59" t="s">
        <v>455</v>
      </c>
      <c r="F8" s="59" t="s">
        <v>442</v>
      </c>
      <c r="G8" s="59" t="s">
        <v>647</v>
      </c>
      <c r="H8" s="59" t="s">
        <v>647</v>
      </c>
      <c r="I8" s="59" t="s">
        <v>647</v>
      </c>
      <c r="J8" s="59" t="s">
        <v>657</v>
      </c>
      <c r="K8" s="156" t="s">
        <v>1778</v>
      </c>
      <c r="L8" s="157" t="s">
        <v>1779</v>
      </c>
    </row>
    <row r="9" spans="1:12" s="53" customFormat="1" x14ac:dyDescent="0.2">
      <c r="A9" s="82" t="s">
        <v>532</v>
      </c>
      <c r="B9" s="59">
        <v>5</v>
      </c>
      <c r="C9" s="83" t="s">
        <v>648</v>
      </c>
      <c r="D9" s="59" t="s">
        <v>374</v>
      </c>
      <c r="E9" s="83" t="s">
        <v>455</v>
      </c>
      <c r="F9" s="83" t="s">
        <v>442</v>
      </c>
      <c r="G9" s="83" t="s">
        <v>649</v>
      </c>
      <c r="H9" s="83" t="s">
        <v>649</v>
      </c>
      <c r="I9" s="83" t="s">
        <v>649</v>
      </c>
      <c r="J9" s="59" t="s">
        <v>656</v>
      </c>
      <c r="K9" s="156" t="s">
        <v>1780</v>
      </c>
      <c r="L9" s="157" t="s">
        <v>1781</v>
      </c>
    </row>
    <row r="10" spans="1:12" x14ac:dyDescent="0.3">
      <c r="A10" s="84" t="s">
        <v>572</v>
      </c>
      <c r="B10" s="59">
        <v>6</v>
      </c>
      <c r="C10" s="83" t="s">
        <v>646</v>
      </c>
      <c r="D10" s="59" t="s">
        <v>374</v>
      </c>
      <c r="E10" s="85" t="s">
        <v>443</v>
      </c>
      <c r="F10" s="85" t="s">
        <v>524</v>
      </c>
      <c r="G10" s="85" t="s">
        <v>393</v>
      </c>
      <c r="H10" s="85" t="s">
        <v>393</v>
      </c>
      <c r="I10" s="85" t="s">
        <v>525</v>
      </c>
      <c r="J10" s="80" t="s">
        <v>1782</v>
      </c>
      <c r="K10" s="80" t="s">
        <v>603</v>
      </c>
      <c r="L10" s="155" t="s">
        <v>604</v>
      </c>
    </row>
    <row r="11" spans="1:12" x14ac:dyDescent="0.3">
      <c r="A11" s="81" t="s">
        <v>573</v>
      </c>
      <c r="B11" s="59">
        <v>7</v>
      </c>
      <c r="C11" s="59" t="s">
        <v>646</v>
      </c>
      <c r="D11" s="59" t="s">
        <v>374</v>
      </c>
      <c r="E11" s="80" t="s">
        <v>443</v>
      </c>
      <c r="F11" s="80" t="s">
        <v>444</v>
      </c>
      <c r="G11" s="80" t="s">
        <v>527</v>
      </c>
      <c r="H11" s="80" t="s">
        <v>528</v>
      </c>
      <c r="I11" s="80" t="s">
        <v>529</v>
      </c>
      <c r="J11" s="80" t="s">
        <v>530</v>
      </c>
      <c r="K11" s="80" t="s">
        <v>605</v>
      </c>
      <c r="L11" s="155" t="s">
        <v>606</v>
      </c>
    </row>
    <row r="12" spans="1:12" x14ac:dyDescent="0.3">
      <c r="A12" s="79" t="s">
        <v>544</v>
      </c>
      <c r="B12" s="59">
        <v>8</v>
      </c>
      <c r="C12" s="59" t="s">
        <v>646</v>
      </c>
      <c r="D12" s="80" t="s">
        <v>4</v>
      </c>
      <c r="E12" s="80" t="s">
        <v>455</v>
      </c>
      <c r="F12" s="80" t="s">
        <v>442</v>
      </c>
      <c r="G12" s="80" t="s">
        <v>4</v>
      </c>
      <c r="H12" s="80" t="s">
        <v>547</v>
      </c>
      <c r="I12" s="80" t="s">
        <v>548</v>
      </c>
      <c r="J12" s="80" t="s">
        <v>442</v>
      </c>
      <c r="K12" s="80" t="s">
        <v>442</v>
      </c>
      <c r="L12" s="155" t="s">
        <v>442</v>
      </c>
    </row>
    <row r="13" spans="1:12" s="53" customFormat="1" x14ac:dyDescent="0.3">
      <c r="A13" s="82" t="s">
        <v>377</v>
      </c>
      <c r="B13" s="59">
        <v>9</v>
      </c>
      <c r="C13" s="83" t="s">
        <v>648</v>
      </c>
      <c r="D13" s="80" t="s">
        <v>4</v>
      </c>
      <c r="E13" s="83" t="s">
        <v>462</v>
      </c>
      <c r="F13" s="83" t="s">
        <v>569</v>
      </c>
      <c r="G13" s="83" t="s">
        <v>4</v>
      </c>
      <c r="H13" s="80" t="s">
        <v>547</v>
      </c>
      <c r="I13" s="80" t="s">
        <v>548</v>
      </c>
      <c r="J13" s="83" t="s">
        <v>650</v>
      </c>
      <c r="K13" s="83" t="s">
        <v>651</v>
      </c>
      <c r="L13" s="158" t="s">
        <v>652</v>
      </c>
    </row>
    <row r="14" spans="1:12" x14ac:dyDescent="0.3">
      <c r="A14" s="86" t="s">
        <v>545</v>
      </c>
      <c r="B14" s="59">
        <v>10</v>
      </c>
      <c r="C14" s="83" t="s">
        <v>646</v>
      </c>
      <c r="D14" s="59" t="s">
        <v>4</v>
      </c>
      <c r="E14" s="83" t="s">
        <v>533</v>
      </c>
      <c r="F14" s="83" t="s">
        <v>442</v>
      </c>
      <c r="G14" s="85" t="s">
        <v>566</v>
      </c>
      <c r="H14" s="80" t="s">
        <v>567</v>
      </c>
      <c r="I14" s="80" t="s">
        <v>568</v>
      </c>
      <c r="J14" s="85" t="s">
        <v>442</v>
      </c>
      <c r="K14" s="85" t="s">
        <v>442</v>
      </c>
      <c r="L14" s="159" t="s">
        <v>442</v>
      </c>
    </row>
    <row r="15" spans="1:12" x14ac:dyDescent="0.3">
      <c r="A15" s="78" t="s">
        <v>546</v>
      </c>
      <c r="B15" s="59">
        <v>11</v>
      </c>
      <c r="C15" s="59" t="s">
        <v>646</v>
      </c>
      <c r="D15" s="59" t="s">
        <v>4</v>
      </c>
      <c r="E15" s="59" t="s">
        <v>533</v>
      </c>
      <c r="F15" s="59" t="s">
        <v>442</v>
      </c>
      <c r="G15" s="83" t="s">
        <v>391</v>
      </c>
      <c r="H15" s="83" t="s">
        <v>551</v>
      </c>
      <c r="I15" s="83" t="s">
        <v>552</v>
      </c>
      <c r="J15" s="80" t="s">
        <v>442</v>
      </c>
      <c r="K15" s="80" t="s">
        <v>442</v>
      </c>
      <c r="L15" s="155" t="s">
        <v>442</v>
      </c>
    </row>
    <row r="16" spans="1:12" x14ac:dyDescent="0.3">
      <c r="A16" s="78" t="s">
        <v>553</v>
      </c>
      <c r="B16" s="59">
        <v>12</v>
      </c>
      <c r="C16" s="59" t="s">
        <v>646</v>
      </c>
      <c r="D16" s="59" t="s">
        <v>4</v>
      </c>
      <c r="E16" s="59" t="s">
        <v>533</v>
      </c>
      <c r="F16" s="59" t="s">
        <v>442</v>
      </c>
      <c r="G16" s="85" t="s">
        <v>554</v>
      </c>
      <c r="H16" s="85" t="s">
        <v>599</v>
      </c>
      <c r="I16" s="85" t="s">
        <v>598</v>
      </c>
      <c r="J16" s="80" t="s">
        <v>442</v>
      </c>
      <c r="K16" s="80" t="s">
        <v>442</v>
      </c>
      <c r="L16" s="155" t="s">
        <v>442</v>
      </c>
    </row>
    <row r="17" spans="1:12" x14ac:dyDescent="0.3">
      <c r="A17" s="78" t="s">
        <v>538</v>
      </c>
      <c r="B17" s="59">
        <v>13</v>
      </c>
      <c r="C17" s="59" t="s">
        <v>646</v>
      </c>
      <c r="D17" s="59" t="s">
        <v>4</v>
      </c>
      <c r="E17" s="59" t="s">
        <v>443</v>
      </c>
      <c r="F17" s="59" t="s">
        <v>534</v>
      </c>
      <c r="G17" s="59" t="s">
        <v>0</v>
      </c>
      <c r="H17" s="59" t="s">
        <v>378</v>
      </c>
      <c r="I17" s="59" t="s">
        <v>379</v>
      </c>
      <c r="J17" s="59" t="s">
        <v>584</v>
      </c>
      <c r="K17" s="59" t="s">
        <v>607</v>
      </c>
      <c r="L17" s="87" t="s">
        <v>587</v>
      </c>
    </row>
    <row r="18" spans="1:12" x14ac:dyDescent="0.3">
      <c r="A18" s="78" t="s">
        <v>537</v>
      </c>
      <c r="B18" s="59">
        <v>14</v>
      </c>
      <c r="C18" s="59" t="s">
        <v>646</v>
      </c>
      <c r="D18" s="59" t="s">
        <v>4</v>
      </c>
      <c r="E18" s="59" t="s">
        <v>443</v>
      </c>
      <c r="F18" s="59" t="s">
        <v>534</v>
      </c>
      <c r="G18" s="59" t="s">
        <v>375</v>
      </c>
      <c r="H18" s="59" t="s">
        <v>399</v>
      </c>
      <c r="I18" s="59" t="s">
        <v>392</v>
      </c>
      <c r="J18" s="59" t="s">
        <v>585</v>
      </c>
      <c r="K18" s="59" t="s">
        <v>608</v>
      </c>
      <c r="L18" s="87" t="s">
        <v>588</v>
      </c>
    </row>
    <row r="19" spans="1:12" x14ac:dyDescent="0.3">
      <c r="A19" s="78" t="s">
        <v>540</v>
      </c>
      <c r="B19" s="59">
        <v>15</v>
      </c>
      <c r="C19" s="59" t="s">
        <v>646</v>
      </c>
      <c r="D19" s="59" t="s">
        <v>4</v>
      </c>
      <c r="E19" s="59" t="s">
        <v>443</v>
      </c>
      <c r="F19" s="59" t="s">
        <v>534</v>
      </c>
      <c r="G19" s="59" t="s">
        <v>3</v>
      </c>
      <c r="H19" s="59" t="s">
        <v>380</v>
      </c>
      <c r="I19" s="59" t="s">
        <v>381</v>
      </c>
      <c r="J19" s="59" t="s">
        <v>586</v>
      </c>
      <c r="K19" s="59" t="s">
        <v>609</v>
      </c>
      <c r="L19" s="87" t="s">
        <v>589</v>
      </c>
    </row>
    <row r="20" spans="1:12" x14ac:dyDescent="0.3">
      <c r="A20" s="78" t="s">
        <v>574</v>
      </c>
      <c r="B20" s="59">
        <v>16</v>
      </c>
      <c r="C20" s="59" t="s">
        <v>646</v>
      </c>
      <c r="D20" s="59" t="s">
        <v>4</v>
      </c>
      <c r="E20" s="59" t="s">
        <v>443</v>
      </c>
      <c r="F20" s="59" t="s">
        <v>534</v>
      </c>
      <c r="G20" s="59" t="s">
        <v>2</v>
      </c>
      <c r="H20" s="59" t="s">
        <v>2</v>
      </c>
      <c r="I20" s="59" t="s">
        <v>2</v>
      </c>
      <c r="J20" s="59" t="s">
        <v>590</v>
      </c>
      <c r="K20" s="59" t="s">
        <v>610</v>
      </c>
      <c r="L20" s="87" t="s">
        <v>591</v>
      </c>
    </row>
    <row r="21" spans="1:12" x14ac:dyDescent="0.3">
      <c r="A21" s="78" t="s">
        <v>575</v>
      </c>
      <c r="B21" s="59">
        <v>17</v>
      </c>
      <c r="C21" s="59" t="s">
        <v>646</v>
      </c>
      <c r="D21" s="59" t="s">
        <v>4</v>
      </c>
      <c r="E21" s="59" t="s">
        <v>443</v>
      </c>
      <c r="F21" s="59" t="s">
        <v>534</v>
      </c>
      <c r="G21" s="59" t="s">
        <v>1</v>
      </c>
      <c r="H21" s="59" t="s">
        <v>383</v>
      </c>
      <c r="I21" s="59" t="s">
        <v>384</v>
      </c>
      <c r="J21" s="59" t="s">
        <v>592</v>
      </c>
      <c r="K21" s="59" t="s">
        <v>611</v>
      </c>
      <c r="L21" s="87" t="s">
        <v>593</v>
      </c>
    </row>
    <row r="22" spans="1:12" ht="20.399999999999999" x14ac:dyDescent="0.3">
      <c r="A22" s="78" t="s">
        <v>742</v>
      </c>
      <c r="B22" s="59">
        <v>18</v>
      </c>
      <c r="C22" s="59" t="s">
        <v>646</v>
      </c>
      <c r="D22" s="59" t="s">
        <v>4</v>
      </c>
      <c r="E22" s="59" t="s">
        <v>443</v>
      </c>
      <c r="F22" s="59" t="s">
        <v>444</v>
      </c>
      <c r="G22" s="59" t="s">
        <v>740</v>
      </c>
      <c r="H22" s="59" t="s">
        <v>1783</v>
      </c>
      <c r="I22" s="59" t="s">
        <v>1784</v>
      </c>
      <c r="J22" s="59" t="s">
        <v>746</v>
      </c>
      <c r="K22" s="59" t="s">
        <v>1785</v>
      </c>
      <c r="L22" s="87" t="s">
        <v>1786</v>
      </c>
    </row>
    <row r="23" spans="1:12" ht="20.399999999999999" x14ac:dyDescent="0.3">
      <c r="A23" s="78" t="s">
        <v>743</v>
      </c>
      <c r="B23" s="59">
        <v>19</v>
      </c>
      <c r="C23" s="59" t="s">
        <v>646</v>
      </c>
      <c r="D23" s="59" t="s">
        <v>4</v>
      </c>
      <c r="E23" s="59" t="s">
        <v>443</v>
      </c>
      <c r="F23" s="59" t="s">
        <v>444</v>
      </c>
      <c r="G23" s="59" t="s">
        <v>741</v>
      </c>
      <c r="H23" s="59" t="s">
        <v>1787</v>
      </c>
      <c r="I23" s="59" t="s">
        <v>1788</v>
      </c>
      <c r="J23" s="59" t="s">
        <v>749</v>
      </c>
      <c r="K23" s="59" t="s">
        <v>1789</v>
      </c>
      <c r="L23" s="87" t="s">
        <v>1790</v>
      </c>
    </row>
    <row r="24" spans="1:12" ht="20.399999999999999" x14ac:dyDescent="0.3">
      <c r="A24" s="78" t="s">
        <v>744</v>
      </c>
      <c r="B24" s="59">
        <v>20</v>
      </c>
      <c r="C24" s="59" t="s">
        <v>646</v>
      </c>
      <c r="D24" s="59" t="s">
        <v>4</v>
      </c>
      <c r="E24" s="59" t="s">
        <v>443</v>
      </c>
      <c r="F24" s="59" t="s">
        <v>534</v>
      </c>
      <c r="G24" s="59" t="s">
        <v>658</v>
      </c>
      <c r="H24" s="59" t="s">
        <v>1791</v>
      </c>
      <c r="I24" s="59" t="s">
        <v>1792</v>
      </c>
      <c r="J24" s="59" t="s">
        <v>1793</v>
      </c>
      <c r="K24" s="59" t="s">
        <v>1794</v>
      </c>
      <c r="L24" s="87" t="s">
        <v>1795</v>
      </c>
    </row>
    <row r="25" spans="1:12" ht="20.399999999999999" x14ac:dyDescent="0.3">
      <c r="A25" s="78" t="s">
        <v>745</v>
      </c>
      <c r="B25" s="59">
        <v>21</v>
      </c>
      <c r="C25" s="59" t="s">
        <v>646</v>
      </c>
      <c r="D25" s="59" t="s">
        <v>4</v>
      </c>
      <c r="E25" s="59" t="s">
        <v>443</v>
      </c>
      <c r="F25" s="59" t="s">
        <v>534</v>
      </c>
      <c r="G25" s="59" t="s">
        <v>658</v>
      </c>
      <c r="H25" s="59" t="s">
        <v>1791</v>
      </c>
      <c r="I25" s="59" t="s">
        <v>1792</v>
      </c>
      <c r="J25" s="59" t="s">
        <v>1796</v>
      </c>
      <c r="K25" s="59" t="s">
        <v>1797</v>
      </c>
      <c r="L25" s="87" t="s">
        <v>1798</v>
      </c>
    </row>
    <row r="26" spans="1:12" ht="20.399999999999999" x14ac:dyDescent="0.3">
      <c r="A26" s="78" t="s">
        <v>761</v>
      </c>
      <c r="B26" s="59">
        <v>22</v>
      </c>
      <c r="C26" s="59" t="s">
        <v>646</v>
      </c>
      <c r="D26" s="59" t="s">
        <v>4</v>
      </c>
      <c r="E26" s="59" t="s">
        <v>550</v>
      </c>
      <c r="F26" s="59" t="s">
        <v>442</v>
      </c>
      <c r="G26" s="59" t="s">
        <v>760</v>
      </c>
      <c r="H26" s="59" t="s">
        <v>1799</v>
      </c>
      <c r="I26" s="59" t="s">
        <v>1800</v>
      </c>
      <c r="J26" s="59" t="s">
        <v>442</v>
      </c>
      <c r="K26" s="59" t="s">
        <v>442</v>
      </c>
      <c r="L26" s="87" t="s">
        <v>442</v>
      </c>
    </row>
    <row r="27" spans="1:12" x14ac:dyDescent="0.3">
      <c r="A27" s="78" t="s">
        <v>747</v>
      </c>
      <c r="B27" s="59">
        <v>23</v>
      </c>
      <c r="C27" s="59" t="s">
        <v>646</v>
      </c>
      <c r="D27" s="59" t="s">
        <v>4</v>
      </c>
      <c r="E27" s="59" t="s">
        <v>443</v>
      </c>
      <c r="F27" s="59" t="s">
        <v>555</v>
      </c>
      <c r="G27" s="59" t="s">
        <v>767</v>
      </c>
      <c r="H27" s="59" t="s">
        <v>1801</v>
      </c>
      <c r="I27" s="59" t="s">
        <v>1880</v>
      </c>
      <c r="J27" s="59" t="s">
        <v>750</v>
      </c>
      <c r="K27" s="59" t="s">
        <v>1802</v>
      </c>
      <c r="L27" s="87" t="s">
        <v>1803</v>
      </c>
    </row>
    <row r="28" spans="1:12" x14ac:dyDescent="0.3">
      <c r="A28" s="78" t="s">
        <v>748</v>
      </c>
      <c r="B28" s="59">
        <v>24</v>
      </c>
      <c r="C28" s="59" t="s">
        <v>646</v>
      </c>
      <c r="D28" s="59" t="s">
        <v>4</v>
      </c>
      <c r="E28" s="59" t="s">
        <v>443</v>
      </c>
      <c r="F28" s="59" t="s">
        <v>555</v>
      </c>
      <c r="G28" s="59" t="s">
        <v>768</v>
      </c>
      <c r="H28" s="59" t="s">
        <v>1804</v>
      </c>
      <c r="I28" s="59" t="s">
        <v>1805</v>
      </c>
      <c r="J28" s="59" t="s">
        <v>751</v>
      </c>
      <c r="K28" s="59" t="s">
        <v>1806</v>
      </c>
      <c r="L28" s="87" t="s">
        <v>1807</v>
      </c>
    </row>
    <row r="29" spans="1:12" x14ac:dyDescent="0.3">
      <c r="A29" s="78" t="s">
        <v>762</v>
      </c>
      <c r="B29" s="59">
        <v>25</v>
      </c>
      <c r="C29" s="59" t="s">
        <v>646</v>
      </c>
      <c r="D29" s="59" t="s">
        <v>4</v>
      </c>
      <c r="E29" s="59" t="s">
        <v>550</v>
      </c>
      <c r="F29" s="59" t="s">
        <v>442</v>
      </c>
      <c r="G29" s="59" t="s">
        <v>757</v>
      </c>
      <c r="H29" s="59" t="s">
        <v>1808</v>
      </c>
      <c r="I29" s="59" t="s">
        <v>1809</v>
      </c>
      <c r="J29" s="59" t="s">
        <v>442</v>
      </c>
      <c r="K29" s="59" t="s">
        <v>442</v>
      </c>
      <c r="L29" s="87" t="s">
        <v>442</v>
      </c>
    </row>
    <row r="30" spans="1:12" ht="20.399999999999999" x14ac:dyDescent="0.3">
      <c r="A30" s="78" t="s">
        <v>755</v>
      </c>
      <c r="B30" s="59">
        <v>26</v>
      </c>
      <c r="C30" s="59" t="s">
        <v>646</v>
      </c>
      <c r="D30" s="59" t="s">
        <v>4</v>
      </c>
      <c r="E30" s="59" t="s">
        <v>443</v>
      </c>
      <c r="F30" s="59" t="s">
        <v>534</v>
      </c>
      <c r="G30" s="59" t="s">
        <v>758</v>
      </c>
      <c r="H30" s="59" t="s">
        <v>1810</v>
      </c>
      <c r="I30" s="59" t="s">
        <v>1811</v>
      </c>
      <c r="J30" s="59" t="s">
        <v>753</v>
      </c>
      <c r="K30" s="59" t="s">
        <v>1812</v>
      </c>
      <c r="L30" s="87" t="s">
        <v>1813</v>
      </c>
    </row>
    <row r="31" spans="1:12" ht="20.399999999999999" x14ac:dyDescent="0.3">
      <c r="A31" s="78" t="s">
        <v>756</v>
      </c>
      <c r="B31" s="59">
        <v>27</v>
      </c>
      <c r="C31" s="59" t="s">
        <v>646</v>
      </c>
      <c r="D31" s="59" t="s">
        <v>4</v>
      </c>
      <c r="E31" s="59" t="s">
        <v>443</v>
      </c>
      <c r="F31" s="59" t="s">
        <v>534</v>
      </c>
      <c r="G31" s="59" t="s">
        <v>759</v>
      </c>
      <c r="H31" s="59" t="s">
        <v>1814</v>
      </c>
      <c r="I31" s="59" t="s">
        <v>1815</v>
      </c>
      <c r="J31" s="59" t="s">
        <v>754</v>
      </c>
      <c r="K31" s="59" t="s">
        <v>1816</v>
      </c>
      <c r="L31" s="87" t="s">
        <v>1817</v>
      </c>
    </row>
    <row r="32" spans="1:12" x14ac:dyDescent="0.3">
      <c r="A32" s="78" t="s">
        <v>779</v>
      </c>
      <c r="B32" s="59">
        <v>28</v>
      </c>
      <c r="C32" s="59" t="s">
        <v>646</v>
      </c>
      <c r="D32" s="59" t="s">
        <v>4</v>
      </c>
      <c r="E32" s="59" t="s">
        <v>550</v>
      </c>
      <c r="F32" s="59" t="s">
        <v>442</v>
      </c>
      <c r="G32" s="59" t="s">
        <v>763</v>
      </c>
      <c r="H32" s="59" t="s">
        <v>1818</v>
      </c>
      <c r="I32" s="59" t="s">
        <v>1819</v>
      </c>
      <c r="J32" s="59" t="s">
        <v>442</v>
      </c>
      <c r="K32" s="59" t="s">
        <v>442</v>
      </c>
      <c r="L32" s="87" t="s">
        <v>442</v>
      </c>
    </row>
    <row r="33" spans="1:12" x14ac:dyDescent="0.3">
      <c r="A33" s="78" t="s">
        <v>780</v>
      </c>
      <c r="B33" s="59">
        <v>29</v>
      </c>
      <c r="C33" s="59" t="s">
        <v>646</v>
      </c>
      <c r="D33" s="59" t="s">
        <v>4</v>
      </c>
      <c r="E33" s="59" t="s">
        <v>443</v>
      </c>
      <c r="F33" s="59" t="s">
        <v>534</v>
      </c>
      <c r="G33" s="59" t="s">
        <v>766</v>
      </c>
      <c r="H33" s="59" t="s">
        <v>1820</v>
      </c>
      <c r="I33" s="59" t="s">
        <v>1821</v>
      </c>
      <c r="J33" s="59" t="s">
        <v>1822</v>
      </c>
      <c r="K33" s="59" t="s">
        <v>1823</v>
      </c>
      <c r="L33" s="87" t="s">
        <v>1824</v>
      </c>
    </row>
    <row r="34" spans="1:12" x14ac:dyDescent="0.3">
      <c r="A34" s="78" t="s">
        <v>781</v>
      </c>
      <c r="B34" s="59">
        <v>30</v>
      </c>
      <c r="C34" s="59" t="s">
        <v>646</v>
      </c>
      <c r="D34" s="59" t="s">
        <v>4</v>
      </c>
      <c r="E34" s="59" t="s">
        <v>443</v>
      </c>
      <c r="F34" s="59" t="s">
        <v>524</v>
      </c>
      <c r="G34" s="59" t="s">
        <v>764</v>
      </c>
      <c r="H34" s="59" t="s">
        <v>1825</v>
      </c>
      <c r="I34" s="59" t="s">
        <v>1826</v>
      </c>
      <c r="J34" s="59" t="s">
        <v>1827</v>
      </c>
      <c r="K34" s="59" t="s">
        <v>1828</v>
      </c>
      <c r="L34" s="87" t="s">
        <v>1829</v>
      </c>
    </row>
    <row r="35" spans="1:12" ht="40.799999999999997" x14ac:dyDescent="0.3">
      <c r="A35" s="78" t="s">
        <v>782</v>
      </c>
      <c r="B35" s="59">
        <v>31</v>
      </c>
      <c r="C35" s="59" t="s">
        <v>646</v>
      </c>
      <c r="D35" s="59" t="s">
        <v>4</v>
      </c>
      <c r="E35" s="59" t="s">
        <v>443</v>
      </c>
      <c r="F35" s="59" t="s">
        <v>534</v>
      </c>
      <c r="G35" s="59" t="s">
        <v>783</v>
      </c>
      <c r="H35" s="59" t="s">
        <v>1830</v>
      </c>
      <c r="I35" s="59" t="s">
        <v>1831</v>
      </c>
      <c r="J35" s="59" t="s">
        <v>1832</v>
      </c>
      <c r="K35" s="59" t="s">
        <v>1833</v>
      </c>
      <c r="L35" s="87" t="s">
        <v>1834</v>
      </c>
    </row>
    <row r="36" spans="1:12" ht="61.2" x14ac:dyDescent="0.3">
      <c r="A36" s="78" t="s">
        <v>784</v>
      </c>
      <c r="B36" s="59">
        <v>32</v>
      </c>
      <c r="C36" s="59" t="s">
        <v>646</v>
      </c>
      <c r="D36" s="59" t="s">
        <v>4</v>
      </c>
      <c r="E36" s="59" t="s">
        <v>443</v>
      </c>
      <c r="F36" s="59" t="s">
        <v>534</v>
      </c>
      <c r="G36" s="59" t="s">
        <v>785</v>
      </c>
      <c r="H36" s="59" t="s">
        <v>1835</v>
      </c>
      <c r="I36" s="59" t="s">
        <v>1881</v>
      </c>
      <c r="J36" s="59" t="s">
        <v>765</v>
      </c>
      <c r="K36" s="59" t="s">
        <v>1836</v>
      </c>
      <c r="L36" s="87" t="s">
        <v>1837</v>
      </c>
    </row>
    <row r="37" spans="1:12" x14ac:dyDescent="0.3">
      <c r="A37" s="78" t="s">
        <v>539</v>
      </c>
      <c r="B37" s="59">
        <v>33</v>
      </c>
      <c r="C37" s="59" t="s">
        <v>646</v>
      </c>
      <c r="D37" s="59" t="s">
        <v>4</v>
      </c>
      <c r="E37" s="59" t="s">
        <v>443</v>
      </c>
      <c r="F37" s="59" t="s">
        <v>534</v>
      </c>
      <c r="G37" s="59" t="s">
        <v>394</v>
      </c>
      <c r="H37" s="59" t="s">
        <v>395</v>
      </c>
      <c r="I37" s="59" t="s">
        <v>396</v>
      </c>
      <c r="J37" s="59" t="s">
        <v>752</v>
      </c>
      <c r="K37" s="59" t="s">
        <v>1838</v>
      </c>
      <c r="L37" s="87" t="s">
        <v>1839</v>
      </c>
    </row>
    <row r="38" spans="1:12" x14ac:dyDescent="0.3">
      <c r="A38" s="82" t="s">
        <v>576</v>
      </c>
      <c r="B38" s="59">
        <v>34</v>
      </c>
      <c r="C38" s="59" t="s">
        <v>646</v>
      </c>
      <c r="D38" s="83" t="s">
        <v>4</v>
      </c>
      <c r="E38" s="83" t="s">
        <v>443</v>
      </c>
      <c r="F38" s="83" t="s">
        <v>555</v>
      </c>
      <c r="G38" s="83" t="s">
        <v>556</v>
      </c>
      <c r="H38" s="83" t="s">
        <v>557</v>
      </c>
      <c r="I38" s="83" t="s">
        <v>558</v>
      </c>
      <c r="J38" s="83" t="s">
        <v>391</v>
      </c>
      <c r="K38" s="83" t="s">
        <v>551</v>
      </c>
      <c r="L38" s="160" t="s">
        <v>559</v>
      </c>
    </row>
    <row r="39" spans="1:12" x14ac:dyDescent="0.3">
      <c r="A39" s="88" t="s">
        <v>560</v>
      </c>
      <c r="B39" s="59">
        <v>35</v>
      </c>
      <c r="C39" s="59" t="s">
        <v>646</v>
      </c>
      <c r="D39" s="83" t="s">
        <v>4</v>
      </c>
      <c r="E39" s="83" t="s">
        <v>443</v>
      </c>
      <c r="F39" s="83" t="s">
        <v>444</v>
      </c>
      <c r="G39" s="83" t="s">
        <v>561</v>
      </c>
      <c r="H39" s="83" t="s">
        <v>562</v>
      </c>
      <c r="I39" s="83" t="s">
        <v>563</v>
      </c>
      <c r="J39" s="83" t="s">
        <v>391</v>
      </c>
      <c r="K39" s="83" t="s">
        <v>551</v>
      </c>
      <c r="L39" s="160" t="s">
        <v>552</v>
      </c>
    </row>
    <row r="40" spans="1:12" ht="20.399999999999999" x14ac:dyDescent="0.3">
      <c r="A40" s="82" t="s">
        <v>577</v>
      </c>
      <c r="B40" s="59">
        <v>36</v>
      </c>
      <c r="C40" s="59" t="s">
        <v>646</v>
      </c>
      <c r="D40" s="83" t="s">
        <v>4</v>
      </c>
      <c r="E40" s="83" t="s">
        <v>443</v>
      </c>
      <c r="F40" s="83" t="s">
        <v>534</v>
      </c>
      <c r="G40" s="83" t="s">
        <v>564</v>
      </c>
      <c r="H40" s="83" t="s">
        <v>596</v>
      </c>
      <c r="I40" s="83" t="s">
        <v>597</v>
      </c>
      <c r="J40" s="83" t="s">
        <v>594</v>
      </c>
      <c r="K40" s="83" t="s">
        <v>612</v>
      </c>
      <c r="L40" s="160" t="s">
        <v>595</v>
      </c>
    </row>
    <row r="41" spans="1:12" x14ac:dyDescent="0.3">
      <c r="A41" s="86" t="s">
        <v>578</v>
      </c>
      <c r="B41" s="59">
        <v>37</v>
      </c>
      <c r="C41" s="59" t="s">
        <v>646</v>
      </c>
      <c r="D41" s="83" t="s">
        <v>373</v>
      </c>
      <c r="E41" s="83" t="s">
        <v>455</v>
      </c>
      <c r="F41" s="59" t="s">
        <v>442</v>
      </c>
      <c r="G41" s="83" t="s">
        <v>373</v>
      </c>
      <c r="H41" s="83" t="s">
        <v>579</v>
      </c>
      <c r="I41" s="83" t="s">
        <v>580</v>
      </c>
      <c r="J41" s="83" t="s">
        <v>442</v>
      </c>
      <c r="K41" s="83" t="s">
        <v>442</v>
      </c>
      <c r="L41" s="158" t="s">
        <v>442</v>
      </c>
    </row>
    <row r="42" spans="1:12" ht="20.399999999999999" x14ac:dyDescent="0.3">
      <c r="A42" s="78" t="s">
        <v>581</v>
      </c>
      <c r="B42" s="59">
        <v>38</v>
      </c>
      <c r="C42" s="59" t="s">
        <v>646</v>
      </c>
      <c r="D42" s="59" t="s">
        <v>373</v>
      </c>
      <c r="E42" s="59" t="s">
        <v>533</v>
      </c>
      <c r="F42" s="59" t="s">
        <v>442</v>
      </c>
      <c r="G42" s="59" t="s">
        <v>660</v>
      </c>
      <c r="H42" s="59" t="s">
        <v>1840</v>
      </c>
      <c r="I42" s="59" t="s">
        <v>1841</v>
      </c>
      <c r="J42" s="59" t="s">
        <v>442</v>
      </c>
      <c r="K42" s="59" t="s">
        <v>442</v>
      </c>
      <c r="L42" s="87" t="s">
        <v>442</v>
      </c>
    </row>
    <row r="43" spans="1:12" x14ac:dyDescent="0.3">
      <c r="A43" s="78" t="s">
        <v>582</v>
      </c>
      <c r="B43" s="59">
        <v>39</v>
      </c>
      <c r="C43" s="59" t="s">
        <v>646</v>
      </c>
      <c r="D43" s="59" t="s">
        <v>373</v>
      </c>
      <c r="E43" s="59" t="s">
        <v>550</v>
      </c>
      <c r="F43" s="59" t="s">
        <v>442</v>
      </c>
      <c r="G43" s="59" t="s">
        <v>659</v>
      </c>
      <c r="H43" s="59" t="s">
        <v>1842</v>
      </c>
      <c r="I43" s="59" t="s">
        <v>1843</v>
      </c>
      <c r="J43" s="59" t="s">
        <v>442</v>
      </c>
      <c r="K43" s="59" t="s">
        <v>442</v>
      </c>
      <c r="L43" s="87" t="s">
        <v>442</v>
      </c>
    </row>
    <row r="44" spans="1:12" x14ac:dyDescent="0.3">
      <c r="A44" s="78" t="s">
        <v>769</v>
      </c>
      <c r="B44" s="59">
        <v>40</v>
      </c>
      <c r="C44" s="59" t="s">
        <v>646</v>
      </c>
      <c r="D44" s="59" t="s">
        <v>373</v>
      </c>
      <c r="E44" s="59" t="s">
        <v>443</v>
      </c>
      <c r="F44" s="59" t="s">
        <v>444</v>
      </c>
      <c r="G44" s="59" t="s">
        <v>661</v>
      </c>
      <c r="H44" s="59" t="s">
        <v>662</v>
      </c>
      <c r="I44" s="59" t="s">
        <v>663</v>
      </c>
      <c r="J44" s="59" t="s">
        <v>667</v>
      </c>
      <c r="K44" s="161" t="s">
        <v>1844</v>
      </c>
      <c r="L44" s="162" t="s">
        <v>1845</v>
      </c>
    </row>
    <row r="45" spans="1:12" x14ac:dyDescent="0.3">
      <c r="A45" s="78" t="s">
        <v>770</v>
      </c>
      <c r="B45" s="59">
        <v>41</v>
      </c>
      <c r="C45" s="59" t="s">
        <v>646</v>
      </c>
      <c r="D45" s="59" t="s">
        <v>373</v>
      </c>
      <c r="E45" s="59" t="s">
        <v>443</v>
      </c>
      <c r="F45" s="59" t="s">
        <v>535</v>
      </c>
      <c r="G45" s="59" t="s">
        <v>664</v>
      </c>
      <c r="H45" s="59" t="s">
        <v>665</v>
      </c>
      <c r="I45" s="59" t="s">
        <v>666</v>
      </c>
      <c r="J45" s="59" t="s">
        <v>668</v>
      </c>
      <c r="K45" s="161" t="s">
        <v>1846</v>
      </c>
      <c r="L45" s="162" t="s">
        <v>1847</v>
      </c>
    </row>
    <row r="46" spans="1:12" ht="20.399999999999999" x14ac:dyDescent="0.3">
      <c r="A46" s="78" t="s">
        <v>771</v>
      </c>
      <c r="B46" s="59">
        <v>42</v>
      </c>
      <c r="C46" s="59" t="s">
        <v>646</v>
      </c>
      <c r="D46" s="59" t="s">
        <v>373</v>
      </c>
      <c r="E46" s="59" t="s">
        <v>443</v>
      </c>
      <c r="F46" s="59" t="s">
        <v>444</v>
      </c>
      <c r="G46" s="59" t="s">
        <v>669</v>
      </c>
      <c r="H46" s="59" t="s">
        <v>670</v>
      </c>
      <c r="I46" s="59" t="s">
        <v>1848</v>
      </c>
      <c r="J46" s="59" t="s">
        <v>1773</v>
      </c>
      <c r="K46" s="161" t="s">
        <v>1849</v>
      </c>
      <c r="L46" s="162" t="s">
        <v>1850</v>
      </c>
    </row>
    <row r="47" spans="1:12" x14ac:dyDescent="0.3">
      <c r="A47" s="78" t="s">
        <v>772</v>
      </c>
      <c r="B47" s="59">
        <v>43</v>
      </c>
      <c r="C47" s="59" t="s">
        <v>646</v>
      </c>
      <c r="D47" s="59" t="s">
        <v>373</v>
      </c>
      <c r="E47" s="59" t="s">
        <v>443</v>
      </c>
      <c r="F47" s="59" t="s">
        <v>535</v>
      </c>
      <c r="G47" s="59" t="s">
        <v>673</v>
      </c>
      <c r="H47" s="59" t="s">
        <v>1851</v>
      </c>
      <c r="I47" s="59" t="s">
        <v>1852</v>
      </c>
      <c r="J47" s="59" t="s">
        <v>672</v>
      </c>
      <c r="K47" s="161" t="s">
        <v>1853</v>
      </c>
      <c r="L47" s="162" t="s">
        <v>1854</v>
      </c>
    </row>
    <row r="48" spans="1:12" x14ac:dyDescent="0.3">
      <c r="A48" s="78" t="s">
        <v>773</v>
      </c>
      <c r="B48" s="59">
        <v>44</v>
      </c>
      <c r="C48" s="59" t="s">
        <v>646</v>
      </c>
      <c r="D48" s="59" t="s">
        <v>373</v>
      </c>
      <c r="E48" s="59" t="s">
        <v>443</v>
      </c>
      <c r="F48" s="59" t="s">
        <v>536</v>
      </c>
      <c r="G48" s="59" t="s">
        <v>674</v>
      </c>
      <c r="H48" s="59" t="s">
        <v>1855</v>
      </c>
      <c r="I48" s="59" t="s">
        <v>1856</v>
      </c>
      <c r="J48" s="59" t="s">
        <v>675</v>
      </c>
      <c r="K48" s="161" t="s">
        <v>1857</v>
      </c>
      <c r="L48" s="162" t="s">
        <v>1858</v>
      </c>
    </row>
    <row r="49" spans="1:12" ht="20.399999999999999" x14ac:dyDescent="0.3">
      <c r="A49" s="78" t="s">
        <v>987</v>
      </c>
      <c r="B49" s="59">
        <v>45</v>
      </c>
      <c r="C49" s="59" t="s">
        <v>648</v>
      </c>
      <c r="D49" s="59" t="s">
        <v>4</v>
      </c>
      <c r="E49" s="59" t="s">
        <v>443</v>
      </c>
      <c r="F49" s="59" t="s">
        <v>534</v>
      </c>
      <c r="G49" s="59" t="s">
        <v>1775</v>
      </c>
      <c r="H49" s="59" t="s">
        <v>1859</v>
      </c>
      <c r="I49" s="59" t="s">
        <v>1860</v>
      </c>
      <c r="J49" s="59" t="s">
        <v>656</v>
      </c>
      <c r="K49" s="161" t="s">
        <v>1780</v>
      </c>
      <c r="L49" s="162" t="s">
        <v>1781</v>
      </c>
    </row>
    <row r="50" spans="1:12" ht="20.399999999999999" x14ac:dyDescent="0.3">
      <c r="A50" s="78" t="s">
        <v>583</v>
      </c>
      <c r="B50" s="59">
        <v>46</v>
      </c>
      <c r="C50" s="59" t="s">
        <v>648</v>
      </c>
      <c r="D50" s="59" t="s">
        <v>373</v>
      </c>
      <c r="E50" s="59" t="s">
        <v>533</v>
      </c>
      <c r="F50" s="59" t="s">
        <v>442</v>
      </c>
      <c r="G50" s="59" t="s">
        <v>786</v>
      </c>
      <c r="H50" s="59" t="s">
        <v>1861</v>
      </c>
      <c r="I50" s="59" t="s">
        <v>1862</v>
      </c>
      <c r="J50" s="59" t="s">
        <v>442</v>
      </c>
      <c r="K50" s="59" t="s">
        <v>442</v>
      </c>
      <c r="L50" s="87" t="s">
        <v>442</v>
      </c>
    </row>
    <row r="51" spans="1:12" x14ac:dyDescent="0.3">
      <c r="A51" s="78" t="s">
        <v>787</v>
      </c>
      <c r="B51" s="59">
        <v>47</v>
      </c>
      <c r="C51" s="59" t="s">
        <v>648</v>
      </c>
      <c r="D51" s="59" t="s">
        <v>373</v>
      </c>
      <c r="E51" s="59" t="s">
        <v>550</v>
      </c>
      <c r="F51" s="59" t="s">
        <v>442</v>
      </c>
      <c r="G51" s="59" t="s">
        <v>788</v>
      </c>
      <c r="H51" s="59" t="s">
        <v>1863</v>
      </c>
      <c r="I51" s="80" t="s">
        <v>1864</v>
      </c>
      <c r="J51" s="59" t="s">
        <v>442</v>
      </c>
      <c r="K51" s="59" t="s">
        <v>442</v>
      </c>
      <c r="L51" s="87" t="s">
        <v>442</v>
      </c>
    </row>
    <row r="52" spans="1:12" x14ac:dyDescent="0.3">
      <c r="A52" s="78" t="s">
        <v>774</v>
      </c>
      <c r="B52" s="59">
        <v>48</v>
      </c>
      <c r="C52" s="59" t="s">
        <v>648</v>
      </c>
      <c r="D52" s="59" t="s">
        <v>373</v>
      </c>
      <c r="E52" s="59" t="s">
        <v>443</v>
      </c>
      <c r="F52" s="59" t="s">
        <v>444</v>
      </c>
      <c r="G52" s="59" t="s">
        <v>661</v>
      </c>
      <c r="H52" s="59" t="s">
        <v>1865</v>
      </c>
      <c r="I52" s="59" t="s">
        <v>663</v>
      </c>
      <c r="J52" s="59" t="s">
        <v>789</v>
      </c>
      <c r="K52" s="59" t="s">
        <v>1866</v>
      </c>
      <c r="L52" s="162" t="s">
        <v>1867</v>
      </c>
    </row>
    <row r="53" spans="1:12" x14ac:dyDescent="0.3">
      <c r="A53" s="78" t="s">
        <v>775</v>
      </c>
      <c r="B53" s="59">
        <v>49</v>
      </c>
      <c r="C53" s="59" t="s">
        <v>648</v>
      </c>
      <c r="D53" s="59" t="s">
        <v>373</v>
      </c>
      <c r="E53" s="59" t="s">
        <v>443</v>
      </c>
      <c r="F53" s="59" t="s">
        <v>535</v>
      </c>
      <c r="G53" s="59" t="s">
        <v>664</v>
      </c>
      <c r="H53" s="59" t="s">
        <v>1868</v>
      </c>
      <c r="I53" s="59" t="s">
        <v>666</v>
      </c>
      <c r="J53" s="59" t="s">
        <v>790</v>
      </c>
      <c r="K53" s="59" t="s">
        <v>1869</v>
      </c>
      <c r="L53" s="162" t="s">
        <v>1870</v>
      </c>
    </row>
    <row r="54" spans="1:12" x14ac:dyDescent="0.3">
      <c r="A54" s="78" t="s">
        <v>776</v>
      </c>
      <c r="B54" s="59">
        <v>50</v>
      </c>
      <c r="C54" s="59" t="s">
        <v>648</v>
      </c>
      <c r="D54" s="59" t="s">
        <v>373</v>
      </c>
      <c r="E54" s="59" t="s">
        <v>443</v>
      </c>
      <c r="F54" s="59" t="s">
        <v>444</v>
      </c>
      <c r="G54" s="59" t="s">
        <v>669</v>
      </c>
      <c r="H54" s="59" t="s">
        <v>1871</v>
      </c>
      <c r="I54" s="59" t="s">
        <v>671</v>
      </c>
      <c r="J54" s="59" t="s">
        <v>1774</v>
      </c>
      <c r="K54" s="59" t="s">
        <v>1872</v>
      </c>
      <c r="L54" s="162" t="s">
        <v>1873</v>
      </c>
    </row>
    <row r="55" spans="1:12" x14ac:dyDescent="0.3">
      <c r="A55" s="78" t="s">
        <v>777</v>
      </c>
      <c r="B55" s="59">
        <v>51</v>
      </c>
      <c r="C55" s="59" t="s">
        <v>648</v>
      </c>
      <c r="D55" s="59" t="s">
        <v>373</v>
      </c>
      <c r="E55" s="59" t="s">
        <v>443</v>
      </c>
      <c r="F55" s="59" t="s">
        <v>535</v>
      </c>
      <c r="G55" s="59" t="s">
        <v>673</v>
      </c>
      <c r="H55" s="59" t="s">
        <v>1851</v>
      </c>
      <c r="I55" s="59" t="s">
        <v>1852</v>
      </c>
      <c r="J55" s="59" t="s">
        <v>791</v>
      </c>
      <c r="K55" s="59" t="s">
        <v>1874</v>
      </c>
      <c r="L55" s="162" t="s">
        <v>1875</v>
      </c>
    </row>
    <row r="56" spans="1:12" ht="20.399999999999999" x14ac:dyDescent="0.3">
      <c r="A56" s="78" t="s">
        <v>778</v>
      </c>
      <c r="B56" s="59">
        <v>52</v>
      </c>
      <c r="C56" s="59" t="s">
        <v>648</v>
      </c>
      <c r="D56" s="59" t="s">
        <v>373</v>
      </c>
      <c r="E56" s="59" t="s">
        <v>443</v>
      </c>
      <c r="F56" s="59" t="s">
        <v>536</v>
      </c>
      <c r="G56" s="59" t="s">
        <v>674</v>
      </c>
      <c r="H56" s="59" t="s">
        <v>1855</v>
      </c>
      <c r="I56" s="59" t="s">
        <v>1856</v>
      </c>
      <c r="J56" s="59" t="s">
        <v>792</v>
      </c>
      <c r="K56" s="59" t="s">
        <v>1876</v>
      </c>
      <c r="L56" s="162" t="s">
        <v>1877</v>
      </c>
    </row>
    <row r="57" spans="1:12" x14ac:dyDescent="0.3">
      <c r="A57" s="78" t="s">
        <v>453</v>
      </c>
      <c r="B57" s="59">
        <v>53</v>
      </c>
      <c r="C57" s="59" t="s">
        <v>511</v>
      </c>
      <c r="D57" s="59" t="s">
        <v>454</v>
      </c>
      <c r="E57" s="59" t="s">
        <v>455</v>
      </c>
      <c r="F57" s="59" t="s">
        <v>442</v>
      </c>
      <c r="G57" s="59" t="s">
        <v>456</v>
      </c>
      <c r="H57" s="59" t="s">
        <v>456</v>
      </c>
      <c r="I57" s="59" t="s">
        <v>457</v>
      </c>
      <c r="J57" s="59" t="s">
        <v>458</v>
      </c>
      <c r="K57" s="59" t="s">
        <v>459</v>
      </c>
      <c r="L57" s="87" t="s">
        <v>460</v>
      </c>
    </row>
    <row r="58" spans="1:12" x14ac:dyDescent="0.3">
      <c r="A58" s="78" t="s">
        <v>461</v>
      </c>
      <c r="B58" s="59">
        <v>54</v>
      </c>
      <c r="C58" s="59" t="s">
        <v>511</v>
      </c>
      <c r="D58" s="59" t="s">
        <v>454</v>
      </c>
      <c r="E58" s="59" t="s">
        <v>462</v>
      </c>
      <c r="F58" s="59" t="s">
        <v>442</v>
      </c>
      <c r="G58" s="59" t="s">
        <v>454</v>
      </c>
      <c r="H58" s="59" t="s">
        <v>454</v>
      </c>
      <c r="I58" s="59" t="s">
        <v>454</v>
      </c>
      <c r="J58" s="59" t="s">
        <v>442</v>
      </c>
      <c r="K58" s="59" t="s">
        <v>442</v>
      </c>
      <c r="L58" s="87" t="s">
        <v>442</v>
      </c>
    </row>
    <row r="59" spans="1:12" ht="20.399999999999999" x14ac:dyDescent="0.3">
      <c r="A59" s="78" t="s">
        <v>463</v>
      </c>
      <c r="B59" s="59">
        <v>55</v>
      </c>
      <c r="C59" s="59" t="s">
        <v>511</v>
      </c>
      <c r="D59" s="59" t="s">
        <v>454</v>
      </c>
      <c r="E59" s="59" t="s">
        <v>464</v>
      </c>
      <c r="F59" s="59" t="s">
        <v>442</v>
      </c>
      <c r="G59" s="59" t="s">
        <v>465</v>
      </c>
      <c r="H59" s="59" t="s">
        <v>465</v>
      </c>
      <c r="I59" s="59" t="s">
        <v>465</v>
      </c>
      <c r="J59" s="59" t="s">
        <v>466</v>
      </c>
      <c r="K59" s="59" t="s">
        <v>613</v>
      </c>
      <c r="L59" s="87" t="s">
        <v>614</v>
      </c>
    </row>
    <row r="60" spans="1:12" ht="20.399999999999999" x14ac:dyDescent="0.3">
      <c r="A60" s="78" t="s">
        <v>467</v>
      </c>
      <c r="B60" s="59">
        <v>56</v>
      </c>
      <c r="C60" s="59" t="s">
        <v>511</v>
      </c>
      <c r="D60" s="59" t="s">
        <v>454</v>
      </c>
      <c r="E60" s="59" t="s">
        <v>464</v>
      </c>
      <c r="F60" s="59" t="s">
        <v>442</v>
      </c>
      <c r="G60" s="59" t="s">
        <v>468</v>
      </c>
      <c r="H60" s="59" t="s">
        <v>468</v>
      </c>
      <c r="I60" s="59" t="s">
        <v>468</v>
      </c>
      <c r="J60" s="59" t="s">
        <v>469</v>
      </c>
      <c r="K60" s="59" t="s">
        <v>615</v>
      </c>
      <c r="L60" s="87" t="s">
        <v>616</v>
      </c>
    </row>
    <row r="61" spans="1:12" ht="30.6" x14ac:dyDescent="0.3">
      <c r="A61" s="78" t="s">
        <v>470</v>
      </c>
      <c r="B61" s="59">
        <v>57</v>
      </c>
      <c r="C61" s="59" t="s">
        <v>511</v>
      </c>
      <c r="D61" s="59" t="s">
        <v>454</v>
      </c>
      <c r="E61" s="59" t="s">
        <v>464</v>
      </c>
      <c r="F61" s="59" t="s">
        <v>442</v>
      </c>
      <c r="G61" s="59" t="s">
        <v>471</v>
      </c>
      <c r="H61" s="59" t="s">
        <v>471</v>
      </c>
      <c r="I61" s="59" t="s">
        <v>471</v>
      </c>
      <c r="J61" s="59" t="s">
        <v>472</v>
      </c>
      <c r="K61" s="59" t="s">
        <v>617</v>
      </c>
      <c r="L61" s="87" t="s">
        <v>618</v>
      </c>
    </row>
    <row r="62" spans="1:12" ht="30.6" x14ac:dyDescent="0.3">
      <c r="A62" s="78" t="s">
        <v>473</v>
      </c>
      <c r="B62" s="59">
        <v>58</v>
      </c>
      <c r="C62" s="59" t="s">
        <v>511</v>
      </c>
      <c r="D62" s="59" t="s">
        <v>454</v>
      </c>
      <c r="E62" s="59" t="s">
        <v>464</v>
      </c>
      <c r="F62" s="59" t="s">
        <v>442</v>
      </c>
      <c r="G62" s="59" t="s">
        <v>474</v>
      </c>
      <c r="H62" s="59" t="s">
        <v>474</v>
      </c>
      <c r="I62" s="59" t="s">
        <v>474</v>
      </c>
      <c r="J62" s="59" t="s">
        <v>1878</v>
      </c>
      <c r="K62" s="59" t="s">
        <v>619</v>
      </c>
      <c r="L62" s="87" t="s">
        <v>620</v>
      </c>
    </row>
    <row r="63" spans="1:12" x14ac:dyDescent="0.3">
      <c r="A63" s="78" t="s">
        <v>475</v>
      </c>
      <c r="B63" s="59">
        <v>59</v>
      </c>
      <c r="C63" s="59" t="s">
        <v>511</v>
      </c>
      <c r="D63" s="59" t="s">
        <v>454</v>
      </c>
      <c r="E63" s="59" t="s">
        <v>464</v>
      </c>
      <c r="F63" s="59" t="s">
        <v>442</v>
      </c>
      <c r="G63" s="59" t="s">
        <v>476</v>
      </c>
      <c r="H63" s="59" t="s">
        <v>476</v>
      </c>
      <c r="I63" s="59" t="s">
        <v>476</v>
      </c>
      <c r="J63" s="59" t="s">
        <v>1879</v>
      </c>
      <c r="K63" s="59" t="s">
        <v>621</v>
      </c>
      <c r="L63" s="87" t="s">
        <v>622</v>
      </c>
    </row>
    <row r="64" spans="1:12" x14ac:dyDescent="0.3">
      <c r="A64" s="78" t="s">
        <v>477</v>
      </c>
      <c r="B64" s="59">
        <v>60</v>
      </c>
      <c r="C64" s="59" t="s">
        <v>511</v>
      </c>
      <c r="D64" s="59" t="s">
        <v>478</v>
      </c>
      <c r="E64" s="59" t="s">
        <v>462</v>
      </c>
      <c r="F64" s="59" t="s">
        <v>442</v>
      </c>
      <c r="G64" s="59" t="s">
        <v>479</v>
      </c>
      <c r="H64" s="59" t="s">
        <v>480</v>
      </c>
      <c r="I64" s="59" t="s">
        <v>481</v>
      </c>
      <c r="J64" s="59" t="s">
        <v>442</v>
      </c>
      <c r="K64" s="59" t="s">
        <v>442</v>
      </c>
      <c r="L64" s="87" t="s">
        <v>442</v>
      </c>
    </row>
    <row r="65" spans="1:12" x14ac:dyDescent="0.3">
      <c r="A65" s="78" t="s">
        <v>482</v>
      </c>
      <c r="B65" s="59">
        <v>61</v>
      </c>
      <c r="C65" s="59" t="s">
        <v>511</v>
      </c>
      <c r="D65" s="59" t="s">
        <v>478</v>
      </c>
      <c r="E65" s="59" t="s">
        <v>464</v>
      </c>
      <c r="F65" s="59" t="s">
        <v>442</v>
      </c>
      <c r="G65" s="59" t="s">
        <v>483</v>
      </c>
      <c r="H65" s="59" t="s">
        <v>484</v>
      </c>
      <c r="I65" s="59" t="s">
        <v>485</v>
      </c>
      <c r="J65" s="59" t="s">
        <v>442</v>
      </c>
      <c r="K65" s="59" t="s">
        <v>442</v>
      </c>
      <c r="L65" s="87" t="s">
        <v>442</v>
      </c>
    </row>
    <row r="66" spans="1:12" x14ac:dyDescent="0.3">
      <c r="A66" s="78" t="s">
        <v>486</v>
      </c>
      <c r="B66" s="59">
        <v>62</v>
      </c>
      <c r="C66" s="59" t="s">
        <v>511</v>
      </c>
      <c r="D66" s="59" t="s">
        <v>478</v>
      </c>
      <c r="E66" s="59" t="s">
        <v>464</v>
      </c>
      <c r="F66" s="59" t="s">
        <v>442</v>
      </c>
      <c r="G66" s="59" t="s">
        <v>487</v>
      </c>
      <c r="H66" s="59" t="s">
        <v>488</v>
      </c>
      <c r="I66" s="59" t="s">
        <v>489</v>
      </c>
      <c r="J66" s="59" t="s">
        <v>442</v>
      </c>
      <c r="K66" s="59" t="s">
        <v>442</v>
      </c>
      <c r="L66" s="87" t="s">
        <v>442</v>
      </c>
    </row>
    <row r="67" spans="1:12" x14ac:dyDescent="0.3">
      <c r="A67" s="78" t="s">
        <v>490</v>
      </c>
      <c r="B67" s="59">
        <v>63</v>
      </c>
      <c r="C67" s="59" t="s">
        <v>511</v>
      </c>
      <c r="D67" s="59" t="s">
        <v>478</v>
      </c>
      <c r="E67" s="59" t="s">
        <v>464</v>
      </c>
      <c r="F67" s="59" t="s">
        <v>442</v>
      </c>
      <c r="G67" s="59" t="s">
        <v>491</v>
      </c>
      <c r="H67" s="59" t="s">
        <v>492</v>
      </c>
      <c r="I67" s="59" t="s">
        <v>493</v>
      </c>
      <c r="J67" s="59" t="s">
        <v>442</v>
      </c>
      <c r="K67" s="59" t="s">
        <v>442</v>
      </c>
      <c r="L67" s="87" t="s">
        <v>442</v>
      </c>
    </row>
    <row r="68" spans="1:12" x14ac:dyDescent="0.3">
      <c r="A68" s="78" t="s">
        <v>494</v>
      </c>
      <c r="B68" s="59">
        <v>64</v>
      </c>
      <c r="C68" s="59" t="s">
        <v>511</v>
      </c>
      <c r="D68" s="59" t="s">
        <v>478</v>
      </c>
      <c r="E68" s="59" t="s">
        <v>464</v>
      </c>
      <c r="F68" s="59" t="s">
        <v>442</v>
      </c>
      <c r="G68" s="59" t="s">
        <v>372</v>
      </c>
      <c r="H68" s="59" t="s">
        <v>495</v>
      </c>
      <c r="I68" s="59" t="s">
        <v>496</v>
      </c>
      <c r="J68" s="59" t="s">
        <v>442</v>
      </c>
      <c r="K68" s="59" t="s">
        <v>442</v>
      </c>
      <c r="L68" s="87" t="s">
        <v>442</v>
      </c>
    </row>
    <row r="69" spans="1:12" x14ac:dyDescent="0.3">
      <c r="A69" s="78" t="s">
        <v>497</v>
      </c>
      <c r="B69" s="59">
        <v>65</v>
      </c>
      <c r="C69" s="59" t="s">
        <v>511</v>
      </c>
      <c r="D69" s="59" t="s">
        <v>478</v>
      </c>
      <c r="E69" s="59" t="s">
        <v>464</v>
      </c>
      <c r="F69" s="59" t="s">
        <v>442</v>
      </c>
      <c r="G69" s="59" t="s">
        <v>498</v>
      </c>
      <c r="H69" s="59" t="s">
        <v>499</v>
      </c>
      <c r="I69" s="59" t="s">
        <v>500</v>
      </c>
      <c r="J69" s="59" t="s">
        <v>442</v>
      </c>
      <c r="K69" s="59" t="s">
        <v>442</v>
      </c>
      <c r="L69" s="87" t="s">
        <v>442</v>
      </c>
    </row>
    <row r="70" spans="1:12" x14ac:dyDescent="0.3">
      <c r="A70" s="78" t="s">
        <v>501</v>
      </c>
      <c r="B70" s="59">
        <v>66</v>
      </c>
      <c r="C70" s="59" t="s">
        <v>511</v>
      </c>
      <c r="D70" s="59" t="s">
        <v>478</v>
      </c>
      <c r="E70" s="59" t="s">
        <v>464</v>
      </c>
      <c r="F70" s="59" t="s">
        <v>442</v>
      </c>
      <c r="G70" s="59" t="s">
        <v>502</v>
      </c>
      <c r="H70" s="59" t="s">
        <v>503</v>
      </c>
      <c r="I70" s="59" t="s">
        <v>504</v>
      </c>
      <c r="J70" s="59" t="s">
        <v>442</v>
      </c>
      <c r="K70" s="59" t="s">
        <v>442</v>
      </c>
      <c r="L70" s="87" t="s">
        <v>442</v>
      </c>
    </row>
    <row r="71" spans="1:12" x14ac:dyDescent="0.3">
      <c r="A71" s="78" t="s">
        <v>505</v>
      </c>
      <c r="B71" s="59">
        <v>67</v>
      </c>
      <c r="C71" s="59" t="s">
        <v>511</v>
      </c>
      <c r="D71" s="59" t="s">
        <v>478</v>
      </c>
      <c r="E71" s="59" t="s">
        <v>464</v>
      </c>
      <c r="F71" s="59" t="s">
        <v>442</v>
      </c>
      <c r="G71" s="59" t="s">
        <v>506</v>
      </c>
      <c r="H71" s="59" t="s">
        <v>507</v>
      </c>
      <c r="I71" s="59" t="s">
        <v>508</v>
      </c>
      <c r="J71" s="59" t="s">
        <v>442</v>
      </c>
      <c r="K71" s="59" t="s">
        <v>442</v>
      </c>
      <c r="L71" s="87" t="s">
        <v>442</v>
      </c>
    </row>
    <row r="72" spans="1:12" x14ac:dyDescent="0.3">
      <c r="A72" s="89" t="s">
        <v>509</v>
      </c>
      <c r="B72" s="59">
        <v>68</v>
      </c>
      <c r="C72" s="90" t="s">
        <v>511</v>
      </c>
      <c r="D72" s="90" t="s">
        <v>478</v>
      </c>
      <c r="E72" s="90" t="s">
        <v>464</v>
      </c>
      <c r="F72" s="90" t="s">
        <v>442</v>
      </c>
      <c r="G72" s="90" t="s">
        <v>424</v>
      </c>
      <c r="H72" s="90" t="s">
        <v>424</v>
      </c>
      <c r="I72" s="90" t="s">
        <v>510</v>
      </c>
      <c r="J72" s="90" t="s">
        <v>442</v>
      </c>
      <c r="K72" s="90" t="s">
        <v>442</v>
      </c>
      <c r="L72" s="91" t="s">
        <v>442</v>
      </c>
    </row>
  </sheetData>
  <sheetProtection algorithmName="SHA-512" hashValue="oqTDgbczLpfcBu8lHsrdiGfigeCIkJlq0OPkROxhjSbe+SJxbXcJFmmduSVnXS6deNqLlquKX5TX4oSQvrE/HQ==" saltValue="nWZnv1hqaqnoKMdHojSRew==" spinCount="100000" sheet="1" objects="1" scenarios="1" formatCells="0" autoFilter="0"/>
  <mergeCells count="1">
    <mergeCell ref="A1:E1"/>
  </mergeCells>
  <pageMargins left="0.23622047244094488" right="0.23622047244094488" top="0.39370078740157483" bottom="0.3543307086614173" header="0.19685039370078741" footer="0.11811023622047244"/>
  <pageSetup paperSize="9" scale="91"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10</vt:i4>
      </vt:variant>
    </vt:vector>
  </HeadingPairs>
  <TitlesOfParts>
    <vt:vector size="14" baseType="lpstr">
      <vt:lpstr>CP39A (AcessAgreements)</vt:lpstr>
      <vt:lpstr>CP39B (SummActivities)</vt:lpstr>
      <vt:lpstr>Codes</vt:lpstr>
      <vt:lpstr>Instructions</vt:lpstr>
      <vt:lpstr>FlagA2ISO</vt:lpstr>
      <vt:lpstr>FlagCod</vt:lpstr>
      <vt:lpstr>FlagName</vt:lpstr>
      <vt:lpstr>GearCode</vt:lpstr>
      <vt:lpstr>Idiom</vt:lpstr>
      <vt:lpstr>LangFieldID</vt:lpstr>
      <vt:lpstr>LangNameID</vt:lpstr>
      <vt:lpstr>SpeciesCode</vt:lpstr>
      <vt:lpstr>SpeciesCodeMajor</vt:lpstr>
      <vt:lpstr>Status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Cheatle</dc:creator>
  <cp:lastModifiedBy>Felix Mergarejo</cp:lastModifiedBy>
  <cp:lastPrinted>2014-01-21T11:28:28Z</cp:lastPrinted>
  <dcterms:created xsi:type="dcterms:W3CDTF">2011-12-05T10:28:25Z</dcterms:created>
  <dcterms:modified xsi:type="dcterms:W3CDTF">2025-04-04T08:55:00Z</dcterms:modified>
</cp:coreProperties>
</file>