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V:\2023_SharedDocs\ComplianceTables\COC-304-2023\"/>
    </mc:Choice>
  </mc:AlternateContent>
  <xr:revisionPtr revIDLastSave="0" documentId="13_ncr:1_{2C3C0FFD-E60D-4528-B2AF-34C2513BC191}" xr6:coauthVersionLast="47" xr6:coauthVersionMax="47" xr10:uidLastSave="{00000000-0000-0000-0000-000000000000}"/>
  <bookViews>
    <workbookView xWindow="0" yWindow="972" windowWidth="23040" windowHeight="11388" xr2:uid="{00000000-000D-0000-FFFF-FFFF00000000}"/>
  </bookViews>
  <sheets>
    <sheet name="Adjustement data" sheetId="1" r:id="rId1"/>
  </sheets>
  <definedNames>
    <definedName name="_xlnm.Print_Area" localSheetId="0">'Adjustement data'!$A$1:$R$1691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5" i="1" l="1"/>
  <c r="G205" i="1"/>
  <c r="K205" i="1"/>
  <c r="J205" i="1"/>
  <c r="I205" i="1"/>
  <c r="F1739" i="1"/>
  <c r="D1498" i="1"/>
  <c r="L1139" i="1"/>
  <c r="C580" i="1"/>
  <c r="K409" i="1"/>
  <c r="P292" i="1"/>
  <c r="J108" i="1"/>
  <c r="I90" i="1" l="1"/>
  <c r="C72" i="1" l="1"/>
  <c r="B72" i="1"/>
  <c r="F69" i="1"/>
  <c r="F72" i="1" s="1"/>
  <c r="H69" i="1" s="1"/>
  <c r="H72" i="1" s="1"/>
  <c r="J69" i="1" s="1"/>
  <c r="J72" i="1" s="1"/>
  <c r="L69" i="1" s="1"/>
  <c r="E69" i="1"/>
  <c r="E72" i="1" s="1"/>
  <c r="G69" i="1" s="1"/>
  <c r="G72" i="1" s="1"/>
  <c r="I69" i="1" s="1"/>
  <c r="I72" i="1" s="1"/>
  <c r="K69" i="1" s="1"/>
  <c r="K72" i="1" s="1"/>
  <c r="D69" i="1"/>
  <c r="D72" i="1" s="1"/>
  <c r="C54" i="1"/>
  <c r="E51" i="1" s="1"/>
  <c r="E54" i="1" s="1"/>
  <c r="G51" i="1" s="1"/>
  <c r="G54" i="1" s="1"/>
  <c r="I51" i="1" s="1"/>
  <c r="I54" i="1" s="1"/>
  <c r="K51" i="1" s="1"/>
  <c r="K54" i="1" s="1"/>
  <c r="B54" i="1"/>
  <c r="D51" i="1" s="1"/>
  <c r="D54" i="1" s="1"/>
  <c r="F51" i="1" s="1"/>
  <c r="F54" i="1" s="1"/>
  <c r="H51" i="1" s="1"/>
  <c r="H54" i="1" s="1"/>
  <c r="J51" i="1" s="1"/>
  <c r="J54" i="1" s="1"/>
  <c r="L51" i="1" s="1"/>
  <c r="J169" i="1" l="1"/>
  <c r="D1798" i="1" l="1"/>
  <c r="G1531" i="1" l="1"/>
  <c r="F1528" i="1"/>
  <c r="C1528" i="1"/>
  <c r="B1531" i="1"/>
  <c r="E1528" i="1"/>
  <c r="E1531" i="1" s="1"/>
  <c r="D1528" i="1"/>
  <c r="D1531" i="1" s="1"/>
  <c r="C1531" i="1" l="1"/>
  <c r="F1534" i="1"/>
  <c r="F1531" i="1"/>
  <c r="H1528" i="1" l="1"/>
  <c r="H1531" i="1" s="1"/>
  <c r="I1528" i="1" s="1"/>
  <c r="D1511" i="1"/>
  <c r="E1511" i="1"/>
  <c r="B1514" i="1"/>
  <c r="C1511" i="1" s="1"/>
  <c r="B1427" i="1"/>
  <c r="C1424" i="1" s="1"/>
  <c r="C1427" i="1" s="1"/>
  <c r="D1424" i="1" s="1"/>
  <c r="D1427" i="1" s="1"/>
  <c r="E1424" i="1" s="1"/>
  <c r="E1427" i="1" s="1"/>
  <c r="F1424" i="1" s="1"/>
  <c r="F1427" i="1" s="1"/>
  <c r="G1424" i="1" s="1"/>
  <c r="G1427" i="1" s="1"/>
  <c r="H1424" i="1" s="1"/>
  <c r="H1427" i="1" s="1"/>
  <c r="I1424" i="1" s="1"/>
  <c r="C1514" i="1" l="1"/>
  <c r="D1514" i="1" s="1"/>
  <c r="E1514" i="1" s="1"/>
  <c r="F877" i="1"/>
  <c r="E877" i="1"/>
  <c r="F1511" i="1" l="1"/>
  <c r="F1514" i="1" s="1"/>
  <c r="F1517" i="1"/>
  <c r="G1511" i="1" l="1"/>
  <c r="G1514" i="1" s="1"/>
  <c r="H1511" i="1" l="1"/>
  <c r="H1514" i="1" s="1"/>
  <c r="I1511" i="1" s="1"/>
  <c r="C620" i="1" l="1"/>
  <c r="D617" i="1" s="1"/>
  <c r="D620" i="1" s="1"/>
  <c r="E617" i="1" s="1"/>
  <c r="E620" i="1" s="1"/>
  <c r="F617" i="1" s="1"/>
  <c r="F620" i="1" s="1"/>
  <c r="G617" i="1" s="1"/>
  <c r="G620" i="1" s="1"/>
  <c r="B620" i="1"/>
  <c r="P617" i="1"/>
  <c r="O617" i="1"/>
  <c r="N617" i="1"/>
  <c r="M617" i="1"/>
  <c r="L617" i="1"/>
  <c r="K617" i="1"/>
  <c r="J617" i="1"/>
  <c r="I617" i="1"/>
  <c r="H617" i="1"/>
  <c r="H620" i="1" s="1"/>
  <c r="B564" i="1"/>
  <c r="C561" i="1" s="1"/>
  <c r="C564" i="1" s="1"/>
  <c r="D561" i="1" s="1"/>
  <c r="D564" i="1" s="1"/>
  <c r="E561" i="1" s="1"/>
  <c r="E564" i="1" s="1"/>
  <c r="F561" i="1" s="1"/>
  <c r="F564" i="1" s="1"/>
  <c r="G561" i="1" l="1"/>
  <c r="G564" i="1" s="1"/>
  <c r="H561" i="1" s="1"/>
  <c r="H564" i="1" s="1"/>
  <c r="I561" i="1" s="1"/>
  <c r="C1498" i="1" l="1"/>
  <c r="B1498" i="1"/>
  <c r="B1501" i="1" s="1"/>
  <c r="J791" i="1" l="1"/>
  <c r="K686" i="1"/>
  <c r="N921" i="1"/>
  <c r="I605" i="1" l="1"/>
  <c r="J605" i="1"/>
  <c r="I594" i="1"/>
  <c r="J594" i="1"/>
  <c r="J761" i="1"/>
  <c r="J749" i="1"/>
  <c r="K704" i="1"/>
  <c r="K732" i="1" l="1"/>
  <c r="B720" i="1"/>
  <c r="C717" i="1" s="1"/>
  <c r="J409" i="1" l="1"/>
  <c r="I1866" i="1" l="1"/>
  <c r="I1869" i="1" s="1"/>
  <c r="J1866" i="1" s="1"/>
  <c r="H1852" i="1"/>
  <c r="I1849" i="1" s="1"/>
  <c r="H1835" i="1"/>
  <c r="J1812" i="1"/>
  <c r="D1705" i="1"/>
  <c r="C1707" i="1"/>
  <c r="D1704" i="1" s="1"/>
  <c r="E1785" i="1"/>
  <c r="E1774" i="1"/>
  <c r="D1766" i="1"/>
  <c r="F1750" i="1"/>
  <c r="E1750" i="1"/>
  <c r="D1753" i="1"/>
  <c r="D1742" i="1"/>
  <c r="F1726" i="1"/>
  <c r="H1922" i="1" l="1"/>
  <c r="I1906" i="1"/>
  <c r="H1690" i="1" l="1"/>
  <c r="K1652" i="1" l="1"/>
  <c r="J1640" i="1"/>
  <c r="G1580" i="1" l="1"/>
  <c r="H1580" i="1"/>
  <c r="I1580" i="1"/>
  <c r="J1580" i="1"/>
  <c r="K1580" i="1"/>
  <c r="L1580" i="1"/>
  <c r="M1580" i="1"/>
  <c r="N1580" i="1"/>
  <c r="O1580" i="1"/>
  <c r="F1580" i="1"/>
  <c r="E1583" i="1"/>
  <c r="H1565" i="1"/>
  <c r="G1567" i="1"/>
  <c r="H1548" i="1"/>
  <c r="H1547" i="1" s="1"/>
  <c r="D1460" i="1" l="1"/>
  <c r="L1413" i="1" l="1"/>
  <c r="J1413" i="1"/>
  <c r="F1413" i="1"/>
  <c r="F1416" i="1" s="1"/>
  <c r="G1413" i="1"/>
  <c r="G1416" i="1" s="1"/>
  <c r="H1413" i="1"/>
  <c r="H1416" i="1" s="1"/>
  <c r="I1413" i="1"/>
  <c r="I1416" i="1" s="1"/>
  <c r="K1413" i="1" s="1"/>
  <c r="E1413" i="1"/>
  <c r="E1416" i="1" s="1"/>
  <c r="C1413" i="1"/>
  <c r="C1416" i="1" s="1"/>
  <c r="D1416" i="1"/>
  <c r="J1397" i="1"/>
  <c r="I1397" i="1"/>
  <c r="I1400" i="1" s="1"/>
  <c r="J1213" i="1"/>
  <c r="K1191" i="1"/>
  <c r="J1153" i="1"/>
  <c r="K1129" i="1"/>
  <c r="K169" i="1" l="1"/>
  <c r="E1798" i="1"/>
  <c r="D1801" i="1"/>
  <c r="J1609" i="1"/>
  <c r="D1115" i="1" l="1"/>
  <c r="P1094" i="1"/>
  <c r="P1073" i="1"/>
  <c r="R1070" i="1" s="1"/>
  <c r="P1043" i="1"/>
  <c r="P976" i="1"/>
  <c r="O924" i="1" l="1"/>
  <c r="Q921" i="1" s="1"/>
  <c r="O903" i="1"/>
  <c r="K1381" i="1" l="1"/>
  <c r="K1365" i="1"/>
  <c r="K1330" i="1"/>
  <c r="I1317" i="1"/>
  <c r="G771" i="1" l="1"/>
  <c r="H771" i="1"/>
  <c r="H774" i="1" s="1"/>
  <c r="I771" i="1"/>
  <c r="I774" i="1" s="1"/>
  <c r="J771" i="1"/>
  <c r="F771" i="1"/>
  <c r="K194" i="1"/>
  <c r="K183" i="1"/>
  <c r="J172" i="1"/>
  <c r="K159" i="1"/>
  <c r="J1486" i="1" l="1"/>
  <c r="F648" i="1" l="1"/>
  <c r="E631" i="1" l="1"/>
  <c r="I524" i="1" l="1"/>
  <c r="I510" i="1"/>
  <c r="I495" i="1"/>
  <c r="J476" i="1"/>
  <c r="J443" i="1"/>
  <c r="J391" i="1"/>
  <c r="N378" i="1" l="1"/>
  <c r="N362" i="1"/>
  <c r="O343" i="1"/>
  <c r="O327" i="1"/>
  <c r="O310" i="1"/>
  <c r="J240" i="1" l="1"/>
  <c r="J139" i="1" l="1"/>
  <c r="J123" i="1"/>
  <c r="G24" i="1" l="1"/>
  <c r="F24" i="1"/>
  <c r="F27" i="1" s="1"/>
  <c r="F43" i="1"/>
  <c r="D11" i="1" l="1"/>
  <c r="D14" i="1" s="1"/>
  <c r="C14" i="1"/>
  <c r="H1443" i="1"/>
  <c r="G1443" i="1"/>
  <c r="G1446" i="1" s="1"/>
  <c r="I1254" i="1"/>
  <c r="I832" i="1" l="1"/>
  <c r="E1739" i="1" l="1"/>
  <c r="O292" i="1"/>
  <c r="C260" i="1"/>
  <c r="D257" i="1" s="1"/>
  <c r="D260" i="1" s="1"/>
  <c r="F257" i="1"/>
  <c r="F260" i="1" s="1"/>
  <c r="G257" i="1" s="1"/>
  <c r="G260" i="1" s="1"/>
  <c r="H257" i="1" s="1"/>
  <c r="H260" i="1" s="1"/>
  <c r="I257" i="1" s="1"/>
  <c r="I260" i="1" s="1"/>
  <c r="J257" i="1" s="1"/>
  <c r="E257" i="1"/>
  <c r="E260" i="1" s="1"/>
  <c r="F1339" i="1"/>
  <c r="F1338" i="1" s="1"/>
  <c r="F1341" i="1" s="1"/>
  <c r="G1339" i="1" s="1"/>
  <c r="G1338" i="1" s="1"/>
  <c r="G1341" i="1" s="1"/>
  <c r="H1339" i="1" s="1"/>
  <c r="H1338" i="1" s="1"/>
  <c r="H1341" i="1" s="1"/>
  <c r="I1339" i="1" s="1"/>
  <c r="I1338" i="1" s="1"/>
  <c r="I1341" i="1" s="1"/>
  <c r="J1339" i="1" s="1"/>
  <c r="J1338" i="1" s="1"/>
  <c r="J1341" i="1" s="1"/>
  <c r="K1339" i="1" s="1"/>
  <c r="K1338" i="1" s="1"/>
  <c r="K1341" i="1" s="1"/>
  <c r="L1339" i="1" s="1"/>
  <c r="L1338" i="1" s="1"/>
  <c r="L1341" i="1" s="1"/>
  <c r="M1339" i="1" s="1"/>
  <c r="M1338" i="1" s="1"/>
  <c r="M1341" i="1" s="1"/>
  <c r="N1339" i="1" s="1"/>
  <c r="N1338" i="1" s="1"/>
  <c r="N1341" i="1" s="1"/>
  <c r="D1339" i="1"/>
  <c r="D1338" i="1" s="1"/>
  <c r="D1341" i="1" s="1"/>
  <c r="E1339" i="1" s="1"/>
  <c r="E1338" i="1" s="1"/>
  <c r="E1341" i="1" s="1"/>
  <c r="B1339" i="1"/>
  <c r="B1338" i="1" s="1"/>
  <c r="B1341" i="1" s="1"/>
  <c r="C1339" i="1" s="1"/>
  <c r="C1338" i="1" s="1"/>
  <c r="C1341" i="1" s="1"/>
  <c r="D208" i="1"/>
  <c r="F205" i="1" s="1"/>
  <c r="I108" i="1"/>
  <c r="K673" i="1"/>
  <c r="D1583" i="1"/>
  <c r="C1583" i="1"/>
  <c r="C1753" i="1"/>
  <c r="F1567" i="1"/>
  <c r="G1548" i="1"/>
  <c r="G1547" i="1" s="1"/>
  <c r="G1550" i="1" s="1"/>
  <c r="H1486" i="1"/>
  <c r="H1489" i="1" s="1"/>
  <c r="G1489" i="1"/>
  <c r="I1486" i="1" s="1"/>
  <c r="I1489" i="1" s="1"/>
  <c r="C1460" i="1"/>
  <c r="B1934" i="1"/>
  <c r="C1931" i="1" s="1"/>
  <c r="C1934" i="1" s="1"/>
  <c r="D1931" i="1" s="1"/>
  <c r="D1934" i="1" s="1"/>
  <c r="E1931" i="1" s="1"/>
  <c r="E1934" i="1" s="1"/>
  <c r="F1931" i="1" s="1"/>
  <c r="F1934" i="1" s="1"/>
  <c r="G1931" i="1" s="1"/>
  <c r="G1934" i="1" s="1"/>
  <c r="H1906" i="1"/>
  <c r="J1365" i="1"/>
  <c r="J1330" i="1"/>
  <c r="H1317" i="1"/>
  <c r="H1320" i="1" s="1"/>
  <c r="H183" i="1"/>
  <c r="H186" i="1" s="1"/>
  <c r="I183" i="1"/>
  <c r="I186" i="1" s="1"/>
  <c r="J183" i="1"/>
  <c r="J186" i="1" s="1"/>
  <c r="D1785" i="1"/>
  <c r="D1788" i="1" s="1"/>
  <c r="C1788" i="1"/>
  <c r="D1774" i="1"/>
  <c r="D1777" i="1" s="1"/>
  <c r="C1777" i="1"/>
  <c r="C1742" i="1"/>
  <c r="D1726" i="1"/>
  <c r="D1729" i="1" s="1"/>
  <c r="C1725" i="1"/>
  <c r="E1726" i="1" s="1"/>
  <c r="H662" i="1"/>
  <c r="J659" i="1" s="1"/>
  <c r="J662" i="1" s="1"/>
  <c r="I1213" i="1"/>
  <c r="I1191" i="1"/>
  <c r="I1194" i="1" s="1"/>
  <c r="J1191" i="1"/>
  <c r="J1194" i="1" s="1"/>
  <c r="J1174" i="1"/>
  <c r="J1177" i="1" s="1"/>
  <c r="K1174" i="1" s="1"/>
  <c r="H1177" i="1"/>
  <c r="I1174" i="1" s="1"/>
  <c r="I1177" i="1" s="1"/>
  <c r="I1162" i="1"/>
  <c r="I1165" i="1" s="1"/>
  <c r="J1162" i="1"/>
  <c r="J1165" i="1" s="1"/>
  <c r="I1153" i="1"/>
  <c r="I1142" i="1"/>
  <c r="K1139" i="1" s="1"/>
  <c r="I1129" i="1"/>
  <c r="I1132" i="1" s="1"/>
  <c r="G139" i="1"/>
  <c r="G142" i="1" s="1"/>
  <c r="H139" i="1"/>
  <c r="H142" i="1" s="1"/>
  <c r="I139" i="1"/>
  <c r="G123" i="1"/>
  <c r="G126" i="1" s="1"/>
  <c r="I123" i="1"/>
  <c r="G108" i="1"/>
  <c r="G111" i="1" s="1"/>
  <c r="G90" i="1"/>
  <c r="G93" i="1" s="1"/>
  <c r="F93" i="1"/>
  <c r="H1869" i="1"/>
  <c r="H1397" i="1"/>
  <c r="H1400" i="1" s="1"/>
  <c r="H1849" i="1"/>
  <c r="G1835" i="1"/>
  <c r="I1812" i="1"/>
  <c r="I1815" i="1" s="1"/>
  <c r="H1812" i="1"/>
  <c r="H1815" i="1" s="1"/>
  <c r="G1672" i="1"/>
  <c r="H1669" i="1" s="1"/>
  <c r="H1672" i="1" s="1"/>
  <c r="I1669" i="1" s="1"/>
  <c r="I1672" i="1" s="1"/>
  <c r="J1669" i="1" s="1"/>
  <c r="J1652" i="1"/>
  <c r="J1655" i="1" s="1"/>
  <c r="G1655" i="1"/>
  <c r="H1652" i="1" s="1"/>
  <c r="H1655" i="1" s="1"/>
  <c r="I1652" i="1" s="1"/>
  <c r="I1655" i="1" s="1"/>
  <c r="I1640" i="1"/>
  <c r="I1609" i="1"/>
  <c r="I1612" i="1" s="1"/>
  <c r="H1609" i="1"/>
  <c r="H1612" i="1" s="1"/>
  <c r="E1593" i="1"/>
  <c r="E1596" i="1" s="1"/>
  <c r="G1593" i="1" s="1"/>
  <c r="G1596" i="1" s="1"/>
  <c r="I1593" i="1" s="1"/>
  <c r="C888" i="1"/>
  <c r="C891" i="1" s="1"/>
  <c r="D888" i="1" s="1"/>
  <c r="D891" i="1" s="1"/>
  <c r="E888" i="1" s="1"/>
  <c r="E891" i="1" s="1"/>
  <c r="F888" i="1" s="1"/>
  <c r="F891" i="1" s="1"/>
  <c r="G888" i="1" s="1"/>
  <c r="G891" i="1" s="1"/>
  <c r="H888" i="1" s="1"/>
  <c r="H891" i="1" s="1"/>
  <c r="I888" i="1" s="1"/>
  <c r="B879" i="1"/>
  <c r="C876" i="1" s="1"/>
  <c r="C879" i="1" s="1"/>
  <c r="D876" i="1" s="1"/>
  <c r="D879" i="1" s="1"/>
  <c r="C865" i="1"/>
  <c r="C868" i="1" s="1"/>
  <c r="D865" i="1" s="1"/>
  <c r="D868" i="1" s="1"/>
  <c r="E865" i="1" s="1"/>
  <c r="E868" i="1" s="1"/>
  <c r="F865" i="1" s="1"/>
  <c r="F868" i="1" s="1"/>
  <c r="G865" i="1" s="1"/>
  <c r="G868" i="1" s="1"/>
  <c r="H865" i="1" s="1"/>
  <c r="H868" i="1" s="1"/>
  <c r="I865" i="1" s="1"/>
  <c r="B865" i="1"/>
  <c r="D631" i="1"/>
  <c r="D634" i="1" s="1"/>
  <c r="C634" i="1"/>
  <c r="D510" i="1"/>
  <c r="E510" i="1"/>
  <c r="F510" i="1"/>
  <c r="C510" i="1"/>
  <c r="I476" i="1"/>
  <c r="I479" i="1" s="1"/>
  <c r="I461" i="1"/>
  <c r="I444" i="1"/>
  <c r="H446" i="1"/>
  <c r="I443" i="1" s="1"/>
  <c r="I446" i="1" s="1"/>
  <c r="I425" i="1"/>
  <c r="I428" i="1" s="1"/>
  <c r="J194" i="1"/>
  <c r="J197" i="1" s="1"/>
  <c r="I194" i="1"/>
  <c r="I197" i="1" s="1"/>
  <c r="I169" i="1"/>
  <c r="I172" i="1" s="1"/>
  <c r="J159" i="1"/>
  <c r="J162" i="1" s="1"/>
  <c r="I159" i="1"/>
  <c r="I162" i="1" s="1"/>
  <c r="E43" i="1"/>
  <c r="C1115" i="1"/>
  <c r="O1094" i="1"/>
  <c r="O1073" i="1"/>
  <c r="O1043" i="1"/>
  <c r="O1046" i="1" s="1"/>
  <c r="N1026" i="1"/>
  <c r="O1023" i="1" s="1"/>
  <c r="O1026" i="1" s="1"/>
  <c r="P1023" i="1" s="1"/>
  <c r="O976" i="1"/>
  <c r="O979" i="1" s="1"/>
  <c r="N979" i="1"/>
  <c r="N924" i="1"/>
  <c r="P921" i="1" s="1"/>
  <c r="N903" i="1"/>
  <c r="I761" i="1"/>
  <c r="J686" i="1"/>
  <c r="J689" i="1" s="1"/>
  <c r="I686" i="1"/>
  <c r="I689" i="1" s="1"/>
  <c r="B546" i="1"/>
  <c r="C543" i="1" s="1"/>
  <c r="C546" i="1" s="1"/>
  <c r="D543" i="1" s="1"/>
  <c r="D546" i="1" s="1"/>
  <c r="E543" i="1" s="1"/>
  <c r="E546" i="1" s="1"/>
  <c r="F543" i="1" s="1"/>
  <c r="F546" i="1" s="1"/>
  <c r="G543" i="1" s="1"/>
  <c r="G546" i="1" s="1"/>
  <c r="H543" i="1" s="1"/>
  <c r="H546" i="1" s="1"/>
  <c r="I543" i="1" s="1"/>
  <c r="H524" i="1"/>
  <c r="H527" i="1" s="1"/>
  <c r="G524" i="1"/>
  <c r="G527" i="1" s="1"/>
  <c r="F524" i="1"/>
  <c r="F527" i="1" s="1"/>
  <c r="E524" i="1"/>
  <c r="E527" i="1" s="1"/>
  <c r="D524" i="1"/>
  <c r="D527" i="1" s="1"/>
  <c r="C524" i="1"/>
  <c r="C527" i="1" s="1"/>
  <c r="B524" i="1"/>
  <c r="B527" i="1" s="1"/>
  <c r="N343" i="1"/>
  <c r="N346" i="1" s="1"/>
  <c r="N327" i="1"/>
  <c r="N330" i="1" s="1"/>
  <c r="N276" i="1"/>
  <c r="N279" i="1" s="1"/>
  <c r="I240" i="1"/>
  <c r="I243" i="1" s="1"/>
  <c r="C832" i="1"/>
  <c r="C835" i="1" s="1"/>
  <c r="B835" i="1"/>
  <c r="H832" i="1"/>
  <c r="H835" i="1" s="1"/>
  <c r="E832" i="1"/>
  <c r="E835" i="1" s="1"/>
  <c r="G832" i="1" s="1"/>
  <c r="G835" i="1" s="1"/>
  <c r="E648" i="1"/>
  <c r="D648" i="1"/>
  <c r="I791" i="1"/>
  <c r="I794" i="1" s="1"/>
  <c r="F1289" i="1"/>
  <c r="G1286" i="1" s="1"/>
  <c r="G1289" i="1" s="1"/>
  <c r="H1286" i="1" s="1"/>
  <c r="H1269" i="1"/>
  <c r="F1272" i="1"/>
  <c r="H1254" i="1"/>
  <c r="G1687" i="1"/>
  <c r="G1690" i="1" s="1"/>
  <c r="F1690" i="1"/>
  <c r="E1690" i="1"/>
  <c r="N1043" i="1"/>
  <c r="N1046" i="1" s="1"/>
  <c r="I391" i="1"/>
  <c r="I394" i="1" s="1"/>
  <c r="J732" i="1"/>
  <c r="J735" i="1" s="1"/>
  <c r="N292" i="1"/>
  <c r="N295" i="1" s="1"/>
  <c r="J1129" i="1"/>
  <c r="J1132" i="1" s="1"/>
  <c r="H123" i="1"/>
  <c r="H126" i="1" s="1"/>
  <c r="H108" i="1"/>
  <c r="H111" i="1" s="1"/>
  <c r="H90" i="1"/>
  <c r="H93" i="1" s="1"/>
  <c r="G1317" i="1"/>
  <c r="G1320" i="1" s="1"/>
  <c r="F1317" i="1"/>
  <c r="F1320" i="1" s="1"/>
  <c r="E1317" i="1"/>
  <c r="E1320" i="1" s="1"/>
  <c r="D1317" i="1"/>
  <c r="D1320" i="1" s="1"/>
  <c r="C1317" i="1"/>
  <c r="C1320" i="1" s="1"/>
  <c r="B1317" i="1"/>
  <c r="B1320" i="1" s="1"/>
  <c r="E1272" i="1"/>
  <c r="G1269" i="1" s="1"/>
  <c r="G1272" i="1" s="1"/>
  <c r="D1272" i="1"/>
  <c r="C1272" i="1"/>
  <c r="B1272" i="1"/>
  <c r="G1132" i="1"/>
  <c r="H1132" i="1"/>
  <c r="N1094" i="1"/>
  <c r="N1073" i="1"/>
  <c r="M1046" i="1"/>
  <c r="M979" i="1"/>
  <c r="D428" i="1"/>
  <c r="C428" i="1"/>
  <c r="C208" i="1"/>
  <c r="E205" i="1" s="1"/>
  <c r="E208" i="1" s="1"/>
  <c r="C1919" i="1"/>
  <c r="C1922" i="1" s="1"/>
  <c r="D1919" i="1" s="1"/>
  <c r="D1922" i="1" s="1"/>
  <c r="E1922" i="1"/>
  <c r="F1919" i="1"/>
  <c r="F1922" i="1" s="1"/>
  <c r="G1919" i="1"/>
  <c r="G1922" i="1" s="1"/>
  <c r="B1919" i="1"/>
  <c r="B1922" i="1" s="1"/>
  <c r="G1906" i="1"/>
  <c r="G1909" i="1" s="1"/>
  <c r="F1906" i="1"/>
  <c r="F1909" i="1" s="1"/>
  <c r="E1906" i="1"/>
  <c r="E1909" i="1" s="1"/>
  <c r="D1906" i="1"/>
  <c r="D1909" i="1" s="1"/>
  <c r="C1906" i="1"/>
  <c r="C1909" i="1" s="1"/>
  <c r="B1906" i="1"/>
  <c r="B1909" i="1" s="1"/>
  <c r="B1892" i="1"/>
  <c r="C1889" i="1" s="1"/>
  <c r="C1892" i="1" s="1"/>
  <c r="D1889" i="1" s="1"/>
  <c r="D1892" i="1" s="1"/>
  <c r="E1889" i="1" s="1"/>
  <c r="E1892" i="1" s="1"/>
  <c r="F1889" i="1" s="1"/>
  <c r="F1892" i="1" s="1"/>
  <c r="G1889" i="1" s="1"/>
  <c r="G1892" i="1" s="1"/>
  <c r="H1889" i="1" s="1"/>
  <c r="H1892" i="1" s="1"/>
  <c r="I1889" i="1" s="1"/>
  <c r="G1869" i="1"/>
  <c r="E1835" i="1"/>
  <c r="F1835" i="1"/>
  <c r="G1815" i="1"/>
  <c r="H1637" i="1"/>
  <c r="H686" i="1"/>
  <c r="H689" i="1" s="1"/>
  <c r="F1548" i="1"/>
  <c r="F1547" i="1" s="1"/>
  <c r="F1550" i="1" s="1"/>
  <c r="G240" i="1"/>
  <c r="G243" i="1" s="1"/>
  <c r="F1443" i="1"/>
  <c r="F1446" i="1" s="1"/>
  <c r="G1254" i="1"/>
  <c r="G1257" i="1" s="1"/>
  <c r="F1254" i="1"/>
  <c r="F1257" i="1" s="1"/>
  <c r="H1225" i="1"/>
  <c r="G1225" i="1"/>
  <c r="H1213" i="1"/>
  <c r="H1191" i="1"/>
  <c r="H1194" i="1" s="1"/>
  <c r="H1153" i="1"/>
  <c r="H1142" i="1"/>
  <c r="J1139" i="1" s="1"/>
  <c r="J1142" i="1" s="1"/>
  <c r="G774" i="1"/>
  <c r="G794" i="1"/>
  <c r="C720" i="1"/>
  <c r="H761" i="1"/>
  <c r="I746" i="1"/>
  <c r="I749" i="1" s="1"/>
  <c r="H749" i="1"/>
  <c r="D717" i="1"/>
  <c r="D720" i="1" s="1"/>
  <c r="E717" i="1" s="1"/>
  <c r="J704" i="1"/>
  <c r="J707" i="1" s="1"/>
  <c r="I704" i="1"/>
  <c r="I707" i="1" s="1"/>
  <c r="H676" i="1"/>
  <c r="J673" i="1"/>
  <c r="J676" i="1" s="1"/>
  <c r="F1609" i="1"/>
  <c r="F1612" i="1" s="1"/>
  <c r="G1609" i="1"/>
  <c r="G1612" i="1" s="1"/>
  <c r="E1609" i="1"/>
  <c r="E1612" i="1" s="1"/>
  <c r="D1609" i="1"/>
  <c r="D1612" i="1" s="1"/>
  <c r="C1609" i="1"/>
  <c r="C1612" i="1" s="1"/>
  <c r="N1000" i="1"/>
  <c r="N1003" i="1" s="1"/>
  <c r="O1000" i="1" s="1"/>
  <c r="O1003" i="1" s="1"/>
  <c r="P1000" i="1" s="1"/>
  <c r="F1397" i="1"/>
  <c r="F1400" i="1" s="1"/>
  <c r="G1397" i="1"/>
  <c r="G1400" i="1" s="1"/>
  <c r="E1397" i="1"/>
  <c r="E1400" i="1" s="1"/>
  <c r="D1397" i="1"/>
  <c r="D1400" i="1" s="1"/>
  <c r="C1397" i="1"/>
  <c r="C1400" i="1" s="1"/>
  <c r="H476" i="1"/>
  <c r="H479" i="1" s="1"/>
  <c r="G446" i="1"/>
  <c r="G394" i="1"/>
  <c r="H391" i="1"/>
  <c r="H394" i="1" s="1"/>
  <c r="H507" i="1"/>
  <c r="H510" i="1" s="1"/>
  <c r="H492" i="1"/>
  <c r="H495" i="1" s="1"/>
  <c r="H461" i="1"/>
  <c r="H464" i="1" s="1"/>
  <c r="H425" i="1"/>
  <c r="H428" i="1" s="1"/>
  <c r="L375" i="1"/>
  <c r="L378" i="1" s="1"/>
  <c r="L359" i="1"/>
  <c r="L362" i="1" s="1"/>
  <c r="L343" i="1"/>
  <c r="L346" i="1" s="1"/>
  <c r="M343" i="1"/>
  <c r="M346" i="1" s="1"/>
  <c r="M327" i="1"/>
  <c r="M330" i="1" s="1"/>
  <c r="L330" i="1"/>
  <c r="L313" i="1"/>
  <c r="N310" i="1" s="1"/>
  <c r="N313" i="1" s="1"/>
  <c r="L295" i="1"/>
  <c r="M276" i="1"/>
  <c r="M279" i="1" s="1"/>
  <c r="O276" i="1" s="1"/>
  <c r="L279" i="1"/>
  <c r="H240" i="1"/>
  <c r="H243" i="1" s="1"/>
  <c r="D27" i="1"/>
  <c r="C27" i="1"/>
  <c r="B888" i="1"/>
  <c r="H194" i="1"/>
  <c r="H197" i="1" s="1"/>
  <c r="H169" i="1"/>
  <c r="H172" i="1" s="1"/>
  <c r="H159" i="1"/>
  <c r="H162" i="1" s="1"/>
  <c r="D43" i="1"/>
  <c r="E24" i="1"/>
  <c r="E27" i="1" s="1"/>
  <c r="G1627" i="1"/>
  <c r="J1379" i="1"/>
  <c r="J1378" i="1" s="1"/>
  <c r="J1381" i="1" s="1"/>
  <c r="I1379" i="1"/>
  <c r="I1378" i="1" s="1"/>
  <c r="I1381" i="1" s="1"/>
  <c r="I1363" i="1"/>
  <c r="I1365" i="1"/>
  <c r="I1330" i="1"/>
  <c r="B1238" i="1"/>
  <c r="C1235" i="1" s="1"/>
  <c r="C1238" i="1" s="1"/>
  <c r="D1235" i="1" s="1"/>
  <c r="D1238" i="1" s="1"/>
  <c r="E1235" i="1" s="1"/>
  <c r="E1238" i="1" s="1"/>
  <c r="F1235" i="1" s="1"/>
  <c r="F1238" i="1" s="1"/>
  <c r="G1235" i="1" s="1"/>
  <c r="G1238" i="1" s="1"/>
  <c r="K948" i="1"/>
  <c r="K951" i="1" s="1"/>
  <c r="L948" i="1" s="1"/>
  <c r="L951" i="1" s="1"/>
  <c r="M948" i="1" s="1"/>
  <c r="M951" i="1" s="1"/>
  <c r="N948" i="1" s="1"/>
  <c r="N951" i="1" s="1"/>
  <c r="O948" i="1" s="1"/>
  <c r="O951" i="1" s="1"/>
  <c r="H948" i="1"/>
  <c r="H951" i="1" s="1"/>
  <c r="I948" i="1" s="1"/>
  <c r="I951" i="1" s="1"/>
  <c r="J948" i="1" s="1"/>
  <c r="J951" i="1" s="1"/>
  <c r="D1486" i="1"/>
  <c r="D1489" i="1" s="1"/>
  <c r="C1486" i="1"/>
  <c r="C1489" i="1" s="1"/>
  <c r="E1486" i="1" s="1"/>
  <c r="E1489" i="1" s="1"/>
  <c r="G159" i="1"/>
  <c r="G162" i="1" s="1"/>
  <c r="F811" i="1"/>
  <c r="F814" i="1" s="1"/>
  <c r="G811" i="1" s="1"/>
  <c r="G814" i="1" s="1"/>
  <c r="H811" i="1" s="1"/>
  <c r="H814" i="1" s="1"/>
  <c r="I811" i="1" s="1"/>
  <c r="I814" i="1" s="1"/>
  <c r="J811" i="1" s="1"/>
  <c r="F794" i="1"/>
  <c r="E794" i="1"/>
  <c r="D794" i="1"/>
  <c r="C791" i="1"/>
  <c r="C794" i="1" s="1"/>
  <c r="B791" i="1"/>
  <c r="B794" i="1" s="1"/>
  <c r="F774" i="1"/>
  <c r="E771" i="1"/>
  <c r="D771" i="1"/>
  <c r="D774" i="1" s="1"/>
  <c r="C771" i="1"/>
  <c r="C774" i="1" s="1"/>
  <c r="B771" i="1"/>
  <c r="B774" i="1" s="1"/>
  <c r="B1379" i="1"/>
  <c r="B1378" i="1" s="1"/>
  <c r="B1363" i="1"/>
  <c r="B1362" i="1" s="1"/>
  <c r="B295" i="1"/>
  <c r="B172" i="1"/>
  <c r="B43" i="1"/>
  <c r="H1162" i="1"/>
  <c r="H1165" i="1" s="1"/>
  <c r="G507" i="1"/>
  <c r="G510" i="1" s="1"/>
  <c r="G492" i="1"/>
  <c r="G495" i="1" s="1"/>
  <c r="F495" i="1"/>
  <c r="F479" i="1"/>
  <c r="G476" i="1"/>
  <c r="G479" i="1" s="1"/>
  <c r="F464" i="1"/>
  <c r="G461" i="1"/>
  <c r="G464" i="1" s="1"/>
  <c r="F428" i="1"/>
  <c r="G425" i="1"/>
  <c r="G428" i="1" s="1"/>
  <c r="G409" i="1"/>
  <c r="G412" i="1" s="1"/>
  <c r="I409" i="1" s="1"/>
  <c r="I412" i="1" s="1"/>
  <c r="F409" i="1"/>
  <c r="F412" i="1" s="1"/>
  <c r="H409" i="1" s="1"/>
  <c r="K378" i="1"/>
  <c r="M375" i="1"/>
  <c r="M378" i="1" s="1"/>
  <c r="K362" i="1"/>
  <c r="M359" i="1" s="1"/>
  <c r="M362" i="1" s="1"/>
  <c r="K346" i="1"/>
  <c r="K330" i="1"/>
  <c r="K310" i="1"/>
  <c r="K313" i="1" s="1"/>
  <c r="M310" i="1" s="1"/>
  <c r="M313" i="1" s="1"/>
  <c r="M292" i="1"/>
  <c r="M295" i="1" s="1"/>
  <c r="J295" i="1"/>
  <c r="C295" i="1"/>
  <c r="D295" i="1"/>
  <c r="E295" i="1"/>
  <c r="F295" i="1"/>
  <c r="G295" i="1"/>
  <c r="I292" i="1" s="1"/>
  <c r="I295" i="1" s="1"/>
  <c r="K292" i="1" s="1"/>
  <c r="K295" i="1" s="1"/>
  <c r="H295" i="1"/>
  <c r="G602" i="1"/>
  <c r="G605" i="1" s="1"/>
  <c r="H602" i="1"/>
  <c r="H605" i="1" s="1"/>
  <c r="F602" i="1"/>
  <c r="F605" i="1" s="1"/>
  <c r="E602" i="1"/>
  <c r="E605" i="1" s="1"/>
  <c r="D602" i="1"/>
  <c r="D605" i="1" s="1"/>
  <c r="C602" i="1"/>
  <c r="C605" i="1" s="1"/>
  <c r="G594" i="1"/>
  <c r="F1593" i="1"/>
  <c r="F1596" i="1" s="1"/>
  <c r="H1593" i="1" s="1"/>
  <c r="H1596" i="1" s="1"/>
  <c r="D1596" i="1"/>
  <c r="G194" i="1"/>
  <c r="G197" i="1" s="1"/>
  <c r="C194" i="1"/>
  <c r="C197" i="1" s="1"/>
  <c r="D194" i="1"/>
  <c r="D197" i="1" s="1"/>
  <c r="E194" i="1"/>
  <c r="E197" i="1" s="1"/>
  <c r="B194" i="1"/>
  <c r="B197" i="1" s="1"/>
  <c r="F194" i="1"/>
  <c r="F197" i="1" s="1"/>
  <c r="C186" i="1"/>
  <c r="D186" i="1"/>
  <c r="B186" i="1"/>
  <c r="G183" i="1"/>
  <c r="G186" i="1" s="1"/>
  <c r="F183" i="1"/>
  <c r="F186" i="1" s="1"/>
  <c r="E183" i="1"/>
  <c r="E186" i="1" s="1"/>
  <c r="G172" i="1"/>
  <c r="F172" i="1"/>
  <c r="E172" i="1"/>
  <c r="D172" i="1"/>
  <c r="C172" i="1"/>
  <c r="D1567" i="1"/>
  <c r="E1565" i="1"/>
  <c r="E1564" i="1" s="1"/>
  <c r="E1567" i="1" s="1"/>
  <c r="E1548" i="1"/>
  <c r="E1547" i="1" s="1"/>
  <c r="E1550" i="1" s="1"/>
  <c r="H1379" i="1"/>
  <c r="H1330" i="1"/>
  <c r="F1869" i="1"/>
  <c r="E1869" i="1"/>
  <c r="D1869" i="1"/>
  <c r="C1869" i="1"/>
  <c r="D1835" i="1"/>
  <c r="F1815" i="1"/>
  <c r="E1815" i="1"/>
  <c r="C43" i="1"/>
  <c r="G1213" i="1"/>
  <c r="G1194" i="1"/>
  <c r="G1165" i="1"/>
  <c r="F1165" i="1"/>
  <c r="G1153" i="1"/>
  <c r="G1142" i="1"/>
  <c r="G761" i="1"/>
  <c r="F761" i="1"/>
  <c r="E761" i="1"/>
  <c r="D749" i="1"/>
  <c r="G749" i="1"/>
  <c r="E749" i="1"/>
  <c r="H732" i="1"/>
  <c r="H735" i="1" s="1"/>
  <c r="G735" i="1"/>
  <c r="I732" i="1" s="1"/>
  <c r="I735" i="1" s="1"/>
  <c r="G676" i="1"/>
  <c r="I673" i="1"/>
  <c r="I676" i="1" s="1"/>
  <c r="G662" i="1"/>
  <c r="I659" i="1" s="1"/>
  <c r="I662" i="1" s="1"/>
  <c r="K659" i="1" s="1"/>
  <c r="D1446" i="1"/>
  <c r="E1443" i="1"/>
  <c r="E1446" i="1" s="1"/>
  <c r="G1640" i="1"/>
  <c r="G1638" i="1"/>
  <c r="F1640" i="1"/>
  <c r="F1638" i="1"/>
  <c r="F1627" i="1"/>
  <c r="F139" i="1"/>
  <c r="F142" i="1" s="1"/>
  <c r="E139" i="1"/>
  <c r="E142" i="1" s="1"/>
  <c r="D142" i="1"/>
  <c r="C142" i="1"/>
  <c r="F123" i="1"/>
  <c r="F126" i="1" s="1"/>
  <c r="E123" i="1"/>
  <c r="E126" i="1" s="1"/>
  <c r="D126" i="1"/>
  <c r="C126" i="1"/>
  <c r="D111" i="1"/>
  <c r="F108" i="1" s="1"/>
  <c r="F111" i="1" s="1"/>
  <c r="E111" i="1"/>
  <c r="C111" i="1"/>
  <c r="D93" i="1"/>
  <c r="C93" i="1"/>
  <c r="E90" i="1" s="1"/>
  <c r="E93" i="1" s="1"/>
  <c r="G1330" i="1"/>
  <c r="F1330" i="1"/>
  <c r="E1330" i="1"/>
  <c r="D1330" i="1"/>
  <c r="F594" i="1"/>
  <c r="H591" i="1" s="1"/>
  <c r="H594" i="1" s="1"/>
  <c r="E594" i="1"/>
  <c r="D594" i="1"/>
  <c r="D1379" i="1"/>
  <c r="D1378" i="1" s="1"/>
  <c r="D1381" i="1" s="1"/>
  <c r="E1379" i="1" s="1"/>
  <c r="E1378" i="1" s="1"/>
  <c r="E1381" i="1" s="1"/>
  <c r="H1378" i="1"/>
  <c r="H1381" i="1" s="1"/>
  <c r="F1378" i="1"/>
  <c r="F1381" i="1" s="1"/>
  <c r="D1365" i="1"/>
  <c r="C1363" i="1"/>
  <c r="C1362" i="1" s="1"/>
  <c r="D476" i="1"/>
  <c r="C1328" i="1"/>
  <c r="C1327" i="1" s="1"/>
  <c r="C1330" i="1" s="1"/>
  <c r="B1328" i="1"/>
  <c r="B1327" i="1" s="1"/>
  <c r="B1330" i="1" s="1"/>
  <c r="C1627" i="1"/>
  <c r="D1627" i="1"/>
  <c r="E1627" i="1"/>
  <c r="H1931" i="1" l="1"/>
  <c r="H1934" i="1" s="1"/>
  <c r="I1931" i="1" s="1"/>
  <c r="H1235" i="1"/>
  <c r="H1238" i="1" s="1"/>
  <c r="I1235" i="1" s="1"/>
  <c r="E876" i="1"/>
  <c r="E879" i="1" s="1"/>
  <c r="F876" i="1" s="1"/>
  <c r="O1339" i="1"/>
  <c r="O1338" i="1" s="1"/>
  <c r="C1726" i="1"/>
  <c r="C1729" i="1" s="1"/>
  <c r="C1365" i="1"/>
  <c r="E1363" i="1" s="1"/>
  <c r="E1362" i="1" s="1"/>
  <c r="E1365" i="1" s="1"/>
  <c r="F1363" i="1" s="1"/>
  <c r="F1362" i="1" s="1"/>
  <c r="F1365" i="1" s="1"/>
  <c r="G1363" i="1" s="1"/>
  <c r="G1362" i="1" s="1"/>
  <c r="G1365" i="1" s="1"/>
  <c r="H1363" i="1" s="1"/>
  <c r="H1362" i="1" s="1"/>
  <c r="H1365" i="1" s="1"/>
  <c r="B1365" i="1"/>
  <c r="D1363" i="1" s="1"/>
  <c r="D832" i="1"/>
  <c r="D835" i="1" s="1"/>
  <c r="F832" i="1" s="1"/>
  <c r="F835" i="1" s="1"/>
</calcChain>
</file>

<file path=xl/sharedStrings.xml><?xml version="1.0" encoding="utf-8"?>
<sst xmlns="http://schemas.openxmlformats.org/spreadsheetml/2006/main" count="3097" uniqueCount="1004">
  <si>
    <t>MAROC</t>
  </si>
  <si>
    <t>Stock :</t>
  </si>
  <si>
    <t>Unités: t</t>
  </si>
  <si>
    <t>Année</t>
  </si>
  <si>
    <t>Limite</t>
  </si>
  <si>
    <t>Limite ajustée (A)</t>
  </si>
  <si>
    <t>Formule *</t>
  </si>
  <si>
    <t>Prise (B)</t>
  </si>
  <si>
    <t>Solde (A-B)</t>
  </si>
  <si>
    <t>Année d'ajustement**</t>
  </si>
  <si>
    <t>Décrire la raison utilisée dans l'application de la sur/sous-consommation</t>
  </si>
  <si>
    <t>Pavillon :</t>
  </si>
  <si>
    <t>Flag:</t>
  </si>
  <si>
    <t>SYRIA</t>
  </si>
  <si>
    <t>Stock:</t>
  </si>
  <si>
    <t>Units: t</t>
  </si>
  <si>
    <t>Year</t>
  </si>
  <si>
    <t>Limit</t>
  </si>
  <si>
    <t>Adjusted limit (A)</t>
  </si>
  <si>
    <t>Formula *</t>
  </si>
  <si>
    <t>Catch (B)</t>
  </si>
  <si>
    <t>Balance (A-B)</t>
  </si>
  <si>
    <t>Adjustment year**</t>
  </si>
  <si>
    <t>Describe the rationale used in the application of overage / underage:</t>
  </si>
  <si>
    <t>Pabellón:</t>
  </si>
  <si>
    <t>MEXICO</t>
  </si>
  <si>
    <t>Unidades: t</t>
  </si>
  <si>
    <t>Año</t>
  </si>
  <si>
    <t>Límite</t>
  </si>
  <si>
    <t>Límite ajustado (A)</t>
  </si>
  <si>
    <t>Fórmula *</t>
  </si>
  <si>
    <t>Captura (B)</t>
  </si>
  <si>
    <t>Saldo (A-B)</t>
  </si>
  <si>
    <t>Año de ajuste**</t>
  </si>
  <si>
    <t>Describir la lógica utilizada en la aplicación de los excesos/remanentes:</t>
  </si>
  <si>
    <t>2010=95t+47.5t-(86.5t to Canada for 2011) por Rec. 08-04</t>
  </si>
  <si>
    <t xml:space="preserve">Desembarque </t>
  </si>
  <si>
    <t>Saldo</t>
  </si>
  <si>
    <t>TUNISIE</t>
  </si>
  <si>
    <t>EUROPEAN UNION</t>
  </si>
  <si>
    <t>Limit+Balance 2012-20</t>
  </si>
  <si>
    <t>Limit*1.25</t>
  </si>
  <si>
    <t>Limit+2014 balance</t>
  </si>
  <si>
    <t>Limit 2017 + 25%  2015 limit</t>
  </si>
  <si>
    <t>Limit 2018 +  2016 balance</t>
  </si>
  <si>
    <t>Limit 2019 +   2017 balance</t>
  </si>
  <si>
    <t>Limit 2020 +   2018 balance</t>
  </si>
  <si>
    <t>NA</t>
  </si>
  <si>
    <t>1470+249</t>
  </si>
  <si>
    <t>Limit 2016 + 25%  2014 limit</t>
  </si>
  <si>
    <t>Limit 2018 + 25%  2016 limit</t>
  </si>
  <si>
    <t>Limit 2019 + 25%  2017 limit</t>
  </si>
  <si>
    <t>Limit 2020 + 25%  2018 limit</t>
  </si>
  <si>
    <t>(Limit*1.25)-470-40</t>
  </si>
  <si>
    <t>(Limit*1.25)-450-50</t>
  </si>
  <si>
    <t>(Limit*1.15)-40-295</t>
  </si>
  <si>
    <t>(2017 limit + 0,15*2015 limit)-300</t>
  </si>
  <si>
    <t>(2018 limit + 0,15*2016 limit)-40-300</t>
  </si>
  <si>
    <t>(2019 limit + 0,15*2017 limit)-40-300</t>
  </si>
  <si>
    <t>Limit +2012 balance</t>
  </si>
  <si>
    <t>Limit + 2013 balance</t>
  </si>
  <si>
    <t>Limit + 2014 balance</t>
  </si>
  <si>
    <t>Limit 2017 +  2015 balance</t>
  </si>
  <si>
    <t xml:space="preserve">Limit 2018 + 2016 balance </t>
  </si>
  <si>
    <t xml:space="preserve">Limit 2019 + 2017 balance </t>
  </si>
  <si>
    <t xml:space="preserve">Limit 2020 +  2018 balance </t>
  </si>
  <si>
    <t>BET</t>
  </si>
  <si>
    <t>Limit*1.3</t>
  </si>
  <si>
    <t>Limit 2016+Limit 2014*0.3</t>
  </si>
  <si>
    <t>Limit 2017+Limit 2015*0.15</t>
  </si>
  <si>
    <t>Limit 2018+Limit 2016*0.15</t>
  </si>
  <si>
    <t>Limit 2019 + 2017 balance</t>
  </si>
  <si>
    <t> 2020</t>
  </si>
  <si>
    <t> 2021</t>
  </si>
  <si>
    <t>BUM</t>
  </si>
  <si>
    <t>2016 Limit + Balance 2014</t>
  </si>
  <si>
    <t>2017 limit + 0.5*Balance 2015</t>
  </si>
  <si>
    <t>2018 limit + 0.5*Balance 2015 + 0,1*2016 limit</t>
  </si>
  <si>
    <t>2019 Limit + 0.1*2017 limit</t>
  </si>
  <si>
    <t>WHM</t>
  </si>
  <si>
    <t>2016 limit +0.5*Balance 2014</t>
  </si>
  <si>
    <t>2017 limit +0.5*Balance 2014</t>
  </si>
  <si>
    <t>2018 limit +0.33*Balance 2015</t>
  </si>
  <si>
    <t>2019 limit +0.33 Balance 2015</t>
  </si>
  <si>
    <t>2020 limit + 0,33*Balance 2015 +0.10*limit 2018</t>
  </si>
  <si>
    <t>CHINESE TAIPEI</t>
  </si>
  <si>
    <t>=3271.7*(1+25%)-100-200</t>
    <phoneticPr fontId="2" type="noConversion"/>
  </si>
  <si>
    <t>=3926+655.62-100-200</t>
    <phoneticPr fontId="2" type="noConversion"/>
  </si>
  <si>
    <t>Regarding Rec.17-04 amends para.4 of Rec.16-06, Chinese Taipei is allocated 3926 t as its 2019 initial catch quota.</t>
    <phoneticPr fontId="2" type="noConversion"/>
  </si>
  <si>
    <t>=9400+2106.75</t>
    <phoneticPr fontId="2" type="noConversion"/>
  </si>
  <si>
    <t>=9400+2350</t>
    <phoneticPr fontId="2" type="noConversion"/>
  </si>
  <si>
    <t>2019 adjusted quota is 11750.00 t (=9400+2350), which was approved by the Commission at the 21st Special Meeting.</t>
    <phoneticPr fontId="2" type="noConversion"/>
  </si>
  <si>
    <t>=270*(1+50%)-35</t>
    <phoneticPr fontId="2" type="noConversion"/>
  </si>
  <si>
    <t>=270*(1+40%)-35</t>
    <phoneticPr fontId="2" type="noConversion"/>
  </si>
  <si>
    <t>Regarding Rec.17-02 replacing Rec.16-03, Chinese Taipei may carryover to the maximum of 40% of its 2017 underage in 2019.</t>
    <phoneticPr fontId="2" type="noConversion"/>
  </si>
  <si>
    <t>=459+128.9</t>
    <phoneticPr fontId="2" type="noConversion"/>
  </si>
  <si>
    <t>=459+76.9</t>
    <phoneticPr fontId="2" type="noConversion"/>
  </si>
  <si>
    <t>=459+57.9</t>
    <phoneticPr fontId="2" type="noConversion"/>
  </si>
  <si>
    <t>Regarding Rec.17-03 replaceing Rec.16-04, Chinese Taipei may carryover to the maximum of 20% of its 2018 underage in 2019.</t>
    <phoneticPr fontId="2" type="noConversion"/>
  </si>
  <si>
    <t>=48.76-10</t>
    <phoneticPr fontId="2" type="noConversion"/>
  </si>
  <si>
    <t>=58.28-10</t>
    <phoneticPr fontId="2" type="noConversion"/>
  </si>
  <si>
    <t>=69.97-10</t>
    <phoneticPr fontId="2" type="noConversion"/>
  </si>
  <si>
    <t>=79-50</t>
    <phoneticPr fontId="2" type="noConversion"/>
  </si>
  <si>
    <t>=84-50</t>
    <phoneticPr fontId="2" type="noConversion"/>
  </si>
  <si>
    <t>2019 adjusted quota is 34 t (=84-50) due to a transfer of 50 t to Korea.</t>
    <phoneticPr fontId="2" type="noConversion"/>
  </si>
  <si>
    <t>=15583*(1+30%)-70</t>
    <phoneticPr fontId="2" type="noConversion"/>
  </si>
  <si>
    <t>=11679+(15583*30%)</t>
    <phoneticPr fontId="2" type="noConversion"/>
  </si>
  <si>
    <t>=11679+(15583*15%)</t>
    <phoneticPr fontId="2" type="noConversion"/>
  </si>
  <si>
    <t>=11679*(1+15%)+223</t>
    <phoneticPr fontId="2" type="noConversion"/>
  </si>
  <si>
    <t>2019 adjusted quota is 13653.85 t (=11679+11679*15%+223) due to the underage of 2017 exceeding 15% of 2019 initial catch limit and a transfer of 223 t from Korea.</t>
    <phoneticPr fontId="2" type="noConversion"/>
  </si>
  <si>
    <t>=150*(1+10%)</t>
    <phoneticPr fontId="2" type="noConversion"/>
  </si>
  <si>
    <t>2019 adjusted quota is 165t (=150+150*10%) due to the underage of 2017 exceeding 15% of 2019 initial catch limit.</t>
    <phoneticPr fontId="2" type="noConversion"/>
  </si>
  <si>
    <t>=50*(1+10%)</t>
    <phoneticPr fontId="2" type="noConversion"/>
  </si>
  <si>
    <t>2019 adjusted quota is 55t (=50+50*10%) due to the underage of 2017 exceeding 10% of 2019 initial catch limit.</t>
    <phoneticPr fontId="2" type="noConversion"/>
  </si>
  <si>
    <t>USA</t>
  </si>
  <si>
    <t>* Adjusted limit = initial limit + available balance (not to exceed 25% of initial quota)</t>
  </si>
  <si>
    <t>Adjusted limit for 2016 = 527 +131.75 = 658.75 t</t>
  </si>
  <si>
    <t>Adjusted limit for 2017 = 527 +131.75 = 658.75 t</t>
  </si>
  <si>
    <t>Adjusted limit for 2018 = 632.4 +131.75 = 764.15***</t>
  </si>
  <si>
    <t>Adjusted limit for 2019 = 632.4 +158.1 = 790.5</t>
  </si>
  <si>
    <t>* Adjusted limit = (initial limit) - (any transfers) + (underharvest from previous year (capped at 15% of baseline))</t>
  </si>
  <si>
    <t>Adjusted limit for 2017 = 3907.0 - (25 t to Mauritania) + (0.15)(3907) = 4468.05 t</t>
  </si>
  <si>
    <t>Adjusted limit for 2018 = 3907.0 + (0.15)(3907) = 4493.05 t</t>
  </si>
  <si>
    <t>Adjusted limit for 2019 = 3907.0 + (0.15)(3907) = 4493.05 t</t>
  </si>
  <si>
    <t>* Adjusted limit = (initial limit) - (any transfers) + (underharvest from previous year (capped at 100 t WW))</t>
  </si>
  <si>
    <t>Adjusted limit for 2017 = 100.0 - (100 t (Namibia (50 t), Cote d'Ivoire (25 t), Belize (25 t)) + 99.94</t>
  </si>
  <si>
    <t>Adjusted limit for 2018 = 100.0 - (100 t (Namibia (50 t), Cote d'Ivoire (25 t), Belize (25 t)) + 99.94</t>
  </si>
  <si>
    <t>Adjusted limit for 2019 = 100.0 - (100 t (Namibia (50 t), Cote d'Ivoire (25 t), Belize (25 t)) + 99.94</t>
  </si>
  <si>
    <t>Adjusted limit for 2016 = 1083.79 + (.1)(1083.79) = 1192.17 t</t>
  </si>
  <si>
    <t>Adjusted limit for 2017 = 1083.79 + (.1)(1083.79) = 1192.17 t</t>
  </si>
  <si>
    <t>Adjusted limit for 2018 = 1272.86 + (.1)(1083.79) = 1381.24 t***</t>
  </si>
  <si>
    <t>Adjusted limit for 2019 = 1272.86 + (.1)(1272.86) = 1400.15 t</t>
  </si>
  <si>
    <t>(200/4)+200</t>
  </si>
  <si>
    <t>(200-184.4)+200</t>
  </si>
  <si>
    <t>(200*0.25)+200</t>
  </si>
  <si>
    <t xml:space="preserve">Underage up to 25% of the initial catch quota has been carried over biennially. </t>
  </si>
  <si>
    <t>-</t>
  </si>
  <si>
    <t>(150*0.25)+140</t>
  </si>
  <si>
    <t>(140*0.25)+140</t>
  </si>
  <si>
    <t>50-4.4</t>
  </si>
  <si>
    <t>50+15.34</t>
  </si>
  <si>
    <t>50+(50*0.5)</t>
  </si>
  <si>
    <t>50+10.7</t>
  </si>
  <si>
    <t>50-2.63</t>
  </si>
  <si>
    <t>50+(50*0.3)</t>
  </si>
  <si>
    <t>(1983*0.3)+1983-20</t>
  </si>
  <si>
    <t>(1983*0.3)+1486</t>
  </si>
  <si>
    <t>(1486*0.15)+1486</t>
  </si>
  <si>
    <t xml:space="preserve">20 tons of Bigeye catch quota had been annually transferred to Ghana until 2015.  </t>
  </si>
  <si>
    <t>(35*0.2)+35</t>
  </si>
  <si>
    <t>Underage up to 20% of the initial catch quota has been carried over to following year.</t>
  </si>
  <si>
    <t>(20*0.2)+20</t>
  </si>
  <si>
    <t>Units : t</t>
  </si>
  <si>
    <t>CHINA</t>
  </si>
  <si>
    <t>Describe the rationale used in the application of over-underharvest:</t>
  </si>
  <si>
    <t>Adjusted Lmit=initial limt +available balance(not to exceed 25% of initial quota)</t>
  </si>
  <si>
    <t>Adjusted limit for 2019=initial quota(200)+200*25%(not exceeding the balance of 2017)=220.05</t>
    <phoneticPr fontId="2" type="noConversion"/>
  </si>
  <si>
    <t>NOTE:pay back plan for the over-harvest of 2015: pay back 12t in 2017, pay back 12t in 2018, pay back 12.726t in 2019</t>
    <phoneticPr fontId="2" type="noConversion"/>
  </si>
  <si>
    <t>Adjusted Lmit=initial limt +available balance(not to exceed 30%of initial quota)</t>
    <phoneticPr fontId="2" type="noConversion"/>
  </si>
  <si>
    <t>Adjusted Lmit=initial limt +available balance(not to exceed 15% of initial quota)</t>
    <phoneticPr fontId="2" type="noConversion"/>
  </si>
  <si>
    <t>Adjusted limite for 2019=initial quota(5376)+5376*15%+1000 ton transfer from japan=7182.4</t>
    <phoneticPr fontId="2" type="noConversion"/>
  </si>
  <si>
    <t>n.a.</t>
  </si>
  <si>
    <t>No adjustment for 2015</t>
  </si>
  <si>
    <t>Adjusted limit for 2019=initial quota(10)+10*20%=12</t>
  </si>
  <si>
    <t>Insuffisance d'activité lié au déploiement de l'armement</t>
  </si>
  <si>
    <t>BRAZIL</t>
  </si>
  <si>
    <t>BELIZE</t>
  </si>
  <si>
    <t>Limit + Underages + Transfer</t>
  </si>
  <si>
    <t xml:space="preserve">2016 = Initial allocation + transfers (from Senegal 125t, Japan 35t, Chinese Taipe 35t, and the EU 295t) + underage from 2014 (202.2t - max. carry forward) </t>
  </si>
  <si>
    <t xml:space="preserve">2017 = Initial allocation + transfers (from Senegal 150t, Japan 35t, Chinese Taipe 35t, and the EU 300t) + underage from 2015 (202.2t - max. carry forward) </t>
  </si>
  <si>
    <t>2018 = Initial allocation + transfers (from Senegal 150t, Japan 35t, Chinese Taipe 35t, and the EU 300t) + underage from 2016 (202.2t - max. carry forward)</t>
  </si>
  <si>
    <t>CANADA</t>
  </si>
  <si>
    <t>TRINIDAD&amp;TOBAGO</t>
  </si>
  <si>
    <t>JAPAN</t>
  </si>
  <si>
    <t xml:space="preserve">JAPAN-N-ALB:is to endeavour to limit North Albacore catches to no more than 4% of its total bigeye tuna catch. </t>
  </si>
  <si>
    <t>For reference</t>
  </si>
  <si>
    <t>% (N-ALB/BET)</t>
  </si>
  <si>
    <t>Year:</t>
  </si>
  <si>
    <t>Catch</t>
  </si>
  <si>
    <t>Describe the rationale used in the application of overage / underage</t>
  </si>
  <si>
    <t xml:space="preserve">JAPAN-S-ALB up to 2013: is to endeavour to limit its total South Albacore catches to no more than 4% of its total bigeye tuna catch in South of 5 degrees North. </t>
  </si>
  <si>
    <t xml:space="preserve">JAPAN-S-ALB: 2014 adjusted limit included 50t transferred from Namibia, 220t transferred from Uruguay and 100t transferred from  Brazil
. </t>
  </si>
  <si>
    <t xml:space="preserve">JAPAN-S-ALB: 2015 adjusted limit included 100t transferred from Brazil amd 100t transferred from South Africa.
. </t>
  </si>
  <si>
    <t>JAPAN-S-ALB: 2016 adjusted limit included 25% of the original limit as carry-over from 2014 underage[Rec.13-06]</t>
  </si>
  <si>
    <t>JAPAN-S-ALB: 2017 adjusted limit included 100t transferred from Brazil amd 100t transferred from Uruguay.[Rec.16-07]</t>
  </si>
  <si>
    <t>JAPAN-S-ALB: 2018 adjusted limit included 100t transferred from Brazil amd 100t transferred from Uruguay.[Rec.16-07]</t>
  </si>
  <si>
    <t>JAPAN-N-SWO: adjusted limit in 2011 excluded 50 t transfered to Morocco. [Rec. 10-02].</t>
  </si>
  <si>
    <t>JAPAN-N-SWO: adjusted limit in 2012 and 2013 excluded 50 t transfered to Morocco, and 35 transferred to Canada. [Rec. 11-02].</t>
  </si>
  <si>
    <t>JAPAN-N-SWO: adjusted limit in 2014, 2015 and 2016 excluded 50 t transfered to Morocco, and 35 transferred to Canada, and 25 transferred to Mauritania. [Rec. 13-02].</t>
  </si>
  <si>
    <t>JAPAN-N-SWO: adjusted limit in 2017 excluded 100 t transfered to Morocco, and 35 transferred to Canada, and 25 transferred to Mauritania. [Rec. 16-03].</t>
  </si>
  <si>
    <t>JAPAN-N-SWO: underage may be added to the subsequent years' catch limits. [Rec. 13-02][Rec. 16-03].</t>
  </si>
  <si>
    <t>JAPAN-N-SWO:400 t of its swordfish catch taken from the South Atlantic management area was counted against its uncaught catch limits in 2015.[Rec.13-02]</t>
  </si>
  <si>
    <t>JAPAN-E-BFT: adjusted quota in 2015 included 45t transferred from Korea.[Rec.14-04]</t>
  </si>
  <si>
    <t>JAPAN-E-BFT: adjusted quota in 2016 excluded 25 t transfered to Korea.[Rec.14-04]</t>
  </si>
  <si>
    <t>JAPAN-E-BFT: adjusted quota in 2017 excluded 20 t transfered to Korea.[Rec.14-04]</t>
  </si>
  <si>
    <t>JAPAN-E-BFT: Current catch for 2017 includes 5.3 t of dead discard as reported in Task I data.</t>
  </si>
  <si>
    <t xml:space="preserve">JAPAN-BIGEYE: adjusted limit of Japan in 2011excludes 3000 t transferred to China and 800 t transferred to Korea [Rec. 10-01].  </t>
  </si>
  <si>
    <t xml:space="preserve">JAPAN-BIGEYE: adjusted limit of Japan in 2012,2013, and 2014 excluded 3000 t transferred to China and 70 t transferred to Ghana [Rec. 11-01].  </t>
  </si>
  <si>
    <t>JAPAN-BUM: the 2015 adjusted limit included 10% of the initial limit as carry-over from 2013 underage[Rec.12-04]</t>
  </si>
  <si>
    <t>JAPAN-BUM: the 2016 adjusted limit included 10% of the initial limit as carry-over from 2014 underage[Rec.15-05].</t>
  </si>
  <si>
    <t xml:space="preserve">Figures up to 2012 are for only White Marlin[Rec.6-9 &amp; 11-07] </t>
  </si>
  <si>
    <t>Figures from 2013 are for both White Marlin and Spearfish[Rec.12-04]</t>
  </si>
  <si>
    <t>BARBADOS</t>
  </si>
  <si>
    <t xml:space="preserve">Stock: </t>
  </si>
  <si>
    <t xml:space="preserve">Flag: </t>
  </si>
  <si>
    <t>SOUTH AFRICA</t>
  </si>
  <si>
    <t>*Belize is carrying forward its underages of 1.56t of its unused catch limit in 2017 to be used in 2019</t>
  </si>
  <si>
    <t xml:space="preserve">*Belize is carrying forward 25% of its initial catch limit (62.5t) from its balance of 93.47t in 2017 to be used in 2019 </t>
  </si>
  <si>
    <t>*Belize is carrying forward 40% of its initial catch limit (65t) from its balance of 197.92t in 2017 to be used in 2019.</t>
  </si>
  <si>
    <t>*Belize is carrying forward 20% of its initial catch limit (25t) from its balance of 108.99t in 2017 to be used in 2019.</t>
  </si>
  <si>
    <t>JAPAN-W-BFT:The underharvest may be added to next year to 10% of the initial quota allocation[Rec.13-09、14-05、17-06]</t>
  </si>
  <si>
    <t>Japan's 2019 adjusted limit = 17,696(Limit)+2,654.4(2018 carry over(17696*15%)(Para8 of Rec16-01)-1000(transfer to China(Para7 of Rec.16-01))-70(transfer to Ghana(Para7 of Rec.16-01))</t>
  </si>
  <si>
    <t>JAPAN-WHM・SPF: the 2015 adjusted limit included 20% of the initial limit as carry-over from 2013 underage[Rec.12-04]</t>
  </si>
  <si>
    <t>JAPAN-WHM・SPF: the 2016 adjusted limit included 20% of the initial limit as carry-over from 2014 underage[Rec.12-04][Rec.15-05]</t>
  </si>
  <si>
    <t>JAPAN-WHM・SPF: the 2017 adjusted limit included 20% of the initial limit as carry-over from 2015 underage[Rec.12-04][Rec.15-05]</t>
  </si>
  <si>
    <t>(1486*0.15)+1486-223</t>
  </si>
  <si>
    <t>(1486*0.15)+1486 - 223</t>
  </si>
  <si>
    <t>SENEGAL</t>
  </si>
  <si>
    <t xml:space="preserve">Déficit de collecte au niveau des sites de débarquement de la pêche artisanale. </t>
  </si>
  <si>
    <t>le calcul du quota ajusté 2019 prend en compte le solde  MAX de 2018 (Limite 2018 * 0.2 = 417*0.2=83.4) auquel est ajouté la limite 2019 (417 t) ce qui donne (83.4+417=500.4) t</t>
  </si>
  <si>
    <t>Japan's 2018 adjusted limit = BET 2018 catch * 4%(Para6 of Rec16-06)</t>
    <phoneticPr fontId="11"/>
  </si>
  <si>
    <t>JAPAN-S-ALB: adjusted limit from 2019 to 2020 included 100t transferred from Brazil amd 100t transferred from South Africa [Rec.16-07].</t>
    <phoneticPr fontId="5" type="noConversion"/>
  </si>
  <si>
    <t>JAPAN-S-ALB: Japan's underage in 2016 was carried over to the 2018 initial limit [Rec.16-07]</t>
    <phoneticPr fontId="11"/>
  </si>
  <si>
    <t>JAPAN-S-ALB: Japan's overage in 2017 was deducted from the 2019 initial limit [Rec.16-07]</t>
    <phoneticPr fontId="11"/>
  </si>
  <si>
    <t>JAPAN-S-ALB: Japan's underage in 2018 was carried over to the 2020 initial limit [Rec.16-07]</t>
    <phoneticPr fontId="11"/>
  </si>
  <si>
    <t>Japan's 2019 adjusted limit = 1355t(Limit)-418.7t(2017 overage(Para5 of Rec16-07))+100t(transfer from Brasil (Para3 of Rec.16-07))+100t(transfer from S.Africa(Para3 of Rec.16-07))+800t(transfer from S.Africa(circular#888/2019))</t>
    <phoneticPr fontId="11"/>
  </si>
  <si>
    <t>JAPAN-N-SWO: As Mauritania did not submit its North Atlantic Swordfish development plan in 2018, the transfers provided for in Rec.17-02 are considered null.</t>
    <phoneticPr fontId="5" type="noConversion"/>
  </si>
  <si>
    <t>JAPAN-N-SWO: adjusted limit from 2019 to 2020 excluded 100t transfered to Morocco, and 35t transferred to Canada , and 25t transferred to Mauritania [Rec. 17-02].</t>
    <phoneticPr fontId="5" type="noConversion"/>
  </si>
  <si>
    <t>Japan's 2019 adjusted limit = 901t(Limit)+340.2t(2017 carry over(Para1(3) of Rec17-03)-50t(transfer to Namibia(Para5 of Rec.17-03))</t>
    <phoneticPr fontId="11"/>
  </si>
  <si>
    <t>Japan's 2020 adjusted limit  = 901t(Limit)+600t(2018 carry over(Para1(3) of Rec17-03))-50t(transfer to Namibia(Para5 of Rec.17-03))</t>
    <phoneticPr fontId="11"/>
  </si>
  <si>
    <t>JAPAN-E-BFT: current catch for 2018 includes 7.42 t of dead discard.</t>
    <phoneticPr fontId="5" type="noConversion"/>
  </si>
  <si>
    <t>Japan's 2019 adjusted limit = 2544.00t(Limit)(Para5 of Rec18-02)</t>
    <phoneticPr fontId="11"/>
  </si>
  <si>
    <t>JAPAN-W-BFT: current catch for 2018 includes 1.10 t of dead discard.</t>
    <phoneticPr fontId="5" type="noConversion"/>
  </si>
  <si>
    <t>Japan's 2018 adjusted limit =15415.88(It was deducted by the "pay back" provision  in para 2(a) of Rec 16-01.)</t>
    <phoneticPr fontId="11"/>
  </si>
  <si>
    <t>JAPAN-BIGEYE: current catch for 2018 includes 26.09 t of dead discard.</t>
    <phoneticPr fontId="5" type="noConversion"/>
  </si>
  <si>
    <t>JAPAN-BIGEYE: the 2015 adjusted limit included 30% of the initial limit as carry-over from 2014 underage and excluded 3000 t  transferred to China and 70 t transferred to Ghana [Rec. 14-01].</t>
  </si>
  <si>
    <t>JAPAN-BIGEYE: the 2016 adjusted limit included 30% of the initial limit as carry-over from 2015 underage and excluded 1000 t transferred to China and 70 t transferred to Ghana. [Rec. 14-01][Rec.15-01]</t>
  </si>
  <si>
    <t>JAPAN-BIGEYE: the 2017 adjusted limit included 15% of the initial limit as carry-over from 2016 underage and excluded 1000 t  transferred to China and 70 t transferred to Ghana [Rec. 16-01]</t>
  </si>
  <si>
    <t>JAPAN-BIGEYE: the 2018 adjusted limit included 15% of the initial limit as carry-over from 2017 underage and excluded 1000 t  transferred to China and 70 t transferred to Ghana [Rec. 16-01]</t>
  </si>
  <si>
    <t>JAPAN-BUM: the 2017 adjusted limit included 10% of the initial limit as carry-over from 2015 underage[Rec.15-05].</t>
    <phoneticPr fontId="11"/>
  </si>
  <si>
    <t>Japan's 2018 adjusted limit = 390t(Limt)+16.6t(2016 carry over(Para3 of Rec15-05))</t>
    <phoneticPr fontId="11"/>
  </si>
  <si>
    <t>Japan's 2018 adjusted limit =35t(Limt)+7t(2016 carry over(35*20%)(Para3 of Rec15-05))</t>
    <phoneticPr fontId="11"/>
  </si>
  <si>
    <t>2017*</t>
  </si>
  <si>
    <t>2018**</t>
  </si>
  <si>
    <t>2019**</t>
  </si>
  <si>
    <t>50+(50*0.4)</t>
  </si>
  <si>
    <t>CÔTE D'IVOIRE</t>
  </si>
  <si>
    <t>200+(200*0.5)</t>
  </si>
  <si>
    <t>200+(200*0.4)</t>
  </si>
  <si>
    <t>GHANA</t>
  </si>
  <si>
    <t>*transfer of 200t from Chinese Taipei to Belize in 2019 and 2020.</t>
  </si>
  <si>
    <t>Les prises accessoires n'ont pas encore été arretées ,</t>
  </si>
  <si>
    <t>*Belize is carrying forward its underages of 1.98t of its unused catch limit in 2018 to be used in 2020.</t>
  </si>
  <si>
    <t>*transfer of 75t from Trinidad &amp; Tobago to Belize in 2019 and 2020.</t>
  </si>
  <si>
    <t>*Belize is carrying forward 40% of its initial catch limit (52t) from its balance of 111.68t in 2018 to be used in 2020.</t>
  </si>
  <si>
    <t>*Belize is carrying forward 20% of its initial catch limit (25t) from its balance of 172.28t in 2018 to be used in 2020.</t>
  </si>
  <si>
    <t>*transfer of 25t from the United States of America to Belize in 2019 and 2020.</t>
  </si>
  <si>
    <t>*transfer of 50t from Brazil to Belize in 2019 and 2020.</t>
  </si>
  <si>
    <t>*transfer of 50t from Uruguay to Belize in 2019 and 2020.</t>
  </si>
  <si>
    <t>EL SALVADOR</t>
  </si>
  <si>
    <t>2019: The 2018 underage is greater than the maximum amount that can be carried over to 2019 (&lt;= 40% of original catch limit); hence the amount carried over is 50 t (0.4*125).
Additionally, 75 t were transferred to Belize; hence 75 is subtracted from the sum of the initial catch limit and the allowed carry over, to arrive at the final adjusted limit of 100 t.</t>
  </si>
  <si>
    <t>NORWAY</t>
  </si>
  <si>
    <t>MIN((A-B), 5% * A)</t>
  </si>
  <si>
    <t>According to Recommendation 19-04 paragraph 5, Norway was initially  allocated a quota of 300 tonnes eastern BFT in 2020. Referring to Recommendation 19-04 Paragraph 7, Norway requested in panel 2 to transfer a maximum of 5 % of its 2019 quota to 2020. A total of 49,3 tonnes of the Norwegian catch quota (239 tonnes) was utilised in 2019, and 11,95 tonnes (5 % of 239 tonnes) may, according to Paragraph 7, be transferred to 2020.</t>
  </si>
  <si>
    <t>Limit 2021 + 25%  2019 limit</t>
  </si>
  <si>
    <t xml:space="preserve">Limit 2021 +  2019 balance </t>
  </si>
  <si>
    <t>Limit 2020 + 2018 balance + 300¹ t</t>
  </si>
  <si>
    <t>Limit 2021 + 2019 balance</t>
  </si>
  <si>
    <t>2020 Limit + 0.1*2018 limit - 2t</t>
  </si>
  <si>
    <t>2021 Limit + 0.1*2019 limit -2t</t>
  </si>
  <si>
    <t>2021 limit + 0.10*limit 2019</t>
  </si>
  <si>
    <t>JAPAN-N-ALB:Japan's 2019 adjusted limit = BET 2019 catch * 4% (Para6 of Rec16-06)</t>
  </si>
  <si>
    <t>JAPAN-S-ALB: Japan's underage in 2019 was carried over to the 2021 initial limit [Rec.16-07]</t>
  </si>
  <si>
    <t>JAPAN-E-BFT: current catch for 2019 includes  9.25t of dead discard.</t>
  </si>
  <si>
    <t>JAPAN-E-BFT:Japan's 2020 adjusted limit = 2819.00t(Limit)(Para5 of Rec19-04)+20.27t(2019 carry over (Para7 of Rec 19-04))</t>
  </si>
  <si>
    <t>JAPAN-W-BFT:Japan's 2019 adjusted limit = 407.48t(Limit)+1.73t(2018 carry over(Para7a of Rec17-06 )</t>
  </si>
  <si>
    <t>JAPAN-W-BFT: current catch for 2019 includes 0.21 t of dead discard.</t>
  </si>
  <si>
    <t>JAPAN-W-BFT:Japan's 2020 adjusted limit = 407.48t(Limit)+2.92t(2019 carry over(Para7a of Rec17-06 )</t>
  </si>
  <si>
    <t>JAPAN-BIGEYE: current catch for 2019 includes  14.10t of dead discard.</t>
  </si>
  <si>
    <t>JAPAN-BIGEYE: Adjusted catch limit for 2017 does not take into account of the “pay back” stipulated in para 2(a) of Rec 16-01.</t>
  </si>
  <si>
    <t>JAPAN-BUM:Japan's 2019 adjusted limit = 390t(Limit)+39t(2017 carry over(390*10%)(Para3 of Rec15-05))</t>
  </si>
  <si>
    <t>JAPAN-BUM:Japan's 2020 adjusted limit = 328.1t(Limit)+39t(2018 carry over(390*10%)(Para3 of Rec18-04))</t>
  </si>
  <si>
    <t>JAPAN-BUM:Japan's 2021 adjusted limit = 328.1t(Limit)+39t(2019 carry over(390*10%)(Para3 of Rec18-04))</t>
  </si>
  <si>
    <t>JAPAN-WHM・SPF:Japan's 2019 adjusted limit =35t(Limit)+7t(2017 carry over(35*20%)(Para3 of Rec15-05))</t>
  </si>
  <si>
    <t>JAPAN-WHM・SPF:Japan's 2020 adjusted limit =35t(Limit)+7t(2018 carry over(35*20%)(Para3 of Rec18-04))</t>
  </si>
  <si>
    <t>JAPAN-WHM・SPF:Japan's 2021 adjusted limit =35t(Limit)+7t(2019 carry over(35*20%)(Para3 of Rec18-04))</t>
  </si>
  <si>
    <t>8.36+140</t>
  </si>
  <si>
    <t>2020**</t>
  </si>
  <si>
    <t>50+(50*0.2)</t>
  </si>
  <si>
    <t>Until 2016, underage up to 30% of the initial catch quota was carried over to the following year.</t>
  </si>
  <si>
    <t>Since 2017, underage up to 15% of the initial catch quota was carried over to the following year.</t>
  </si>
  <si>
    <t>113.66+25+25</t>
  </si>
  <si>
    <t>136.46+25+20</t>
  </si>
  <si>
    <t>160+50</t>
  </si>
  <si>
    <t>184+50</t>
  </si>
  <si>
    <t>200+50+1.57</t>
  </si>
  <si>
    <t>In 2016, Egypt and Japan transferred 25t of their quota to Korea respectively.</t>
  </si>
  <si>
    <t>In 2017, Egypt and Japan transferred 25t and 20t of their quota to Korea respectively.</t>
  </si>
  <si>
    <t>Since 2018, Chinese Taipei transferred 50t of its quota to Korea every year.</t>
  </si>
  <si>
    <t xml:space="preserve">Korea carried forward its unused quota of 2019(1.57t) to 2020. </t>
  </si>
  <si>
    <t>(35*0.2)+29.4</t>
  </si>
  <si>
    <t>45+(0.4 x 45)=18t</t>
  </si>
  <si>
    <t>Adjusted limit for 2020 = 632.4 +158.1 = 790.5</t>
  </si>
  <si>
    <t>Adjusted limit for 2020 = 3907.0 + (0.15)(3907) = 4493.05 t</t>
  </si>
  <si>
    <t>Adjusted limit for 2020 = 100.0 - (100 t (Namibia (50 t), Cote d'Ivoire (25 t), Belize (25 t)) + 99.94</t>
  </si>
  <si>
    <t>Adjusted limit for 2020 = 1272.86 + (.1)(1272.86) = 1400.15 t</t>
  </si>
  <si>
    <t>2019= (70)+(3)</t>
  </si>
  <si>
    <t>2015=(25)+(-5)+(5)</t>
  </si>
  <si>
    <t>2016=(25)+(-1)</t>
  </si>
  <si>
    <t>2017=No se aplican modificaciones</t>
  </si>
  <si>
    <t>2018=(25)+(4)</t>
  </si>
  <si>
    <t>2019= (25) + (5), 20% Cuota (25t)</t>
  </si>
  <si>
    <t>2015=(70)+(-15)</t>
  </si>
  <si>
    <t>2016=(70)+(-17)+(3)</t>
  </si>
  <si>
    <t>2017=(70)+(-9)</t>
  </si>
  <si>
    <t>2018=(70)+(1)</t>
  </si>
  <si>
    <t>le calcul du quota ajusté 2020 prend en compte le solde  MAX de 2019 (Limite 2019 * 0.2 = 417*0.2=83.4) auquel est ajouté la limite 2020 417 t) ce qui donne (83.4+417=500.4) t</t>
  </si>
  <si>
    <t>200+(0.25*200)</t>
  </si>
  <si>
    <t>2160+(0.25*2160)</t>
  </si>
  <si>
    <t>2160+(0.25*2160)-100</t>
  </si>
  <si>
    <t>2017-2019: 100t transferred to Japan</t>
  </si>
  <si>
    <t>50+(0.5*50)</t>
  </si>
  <si>
    <t>50+(0.5*50)-25</t>
  </si>
  <si>
    <t>50+(0.4*50)-25</t>
  </si>
  <si>
    <t xml:space="preserve">These limits do not apply to Brazil, since Paragraph 9, of Reccomendation 19-05 establishes that: "For CPCs that prohibit dead discards, the landings of blue marlin and white marlin/spearfish that are dead when brought alongside the vessel and that are not sold or entered into commerce shall not count against the limits established in paragraph 2, on the condition that such prohibition be clearly explained in their Annual Report". Brazil prohibited dead discards and selling of white marlins by Normative Instruction 12, of July 14, 2005. </t>
  </si>
  <si>
    <t>3940+(0.3*3940)-50</t>
  </si>
  <si>
    <t>3940+(0.2*3940)-50</t>
  </si>
  <si>
    <t>* Adjusted limit 2019 = initial limit 2019 (4400) + available balance 2017 (not to exceed 25% of initial quota) (1100) - 900t transferred to Japan</t>
  </si>
  <si>
    <t>* Adjusted limit 2020 = initial limit 2020 (4400) + available balance 2018(not to exceed 25% of initial quota) (1100) - 600t transferred to Japan</t>
  </si>
  <si>
    <t>*Adjusted Limit=initial limt +available balance(not to exceed 25% of initial quota)</t>
  </si>
  <si>
    <t>50 + Balance 2018</t>
  </si>
  <si>
    <t>USA: the 2016-2020 adjusted quota reflects transfers to Namibia (50 t), Belize (25 t) and Côte d'Ivoire (25 t) in accordance with Rec. 16-04/17-03.</t>
  </si>
  <si>
    <t>*Underage up to 30% of the initial catch quota has been carried over biennially Rec.15-03 and 16-04. Quota calculated up to 2017</t>
  </si>
  <si>
    <t>**Underage up to 20% of the initial catch quota has been carried over biennially Rec.17-03. Quota calculated from 2018 on</t>
  </si>
  <si>
    <t>125+(125*0.3)</t>
  </si>
  <si>
    <t>125+(125*0.3)+25</t>
  </si>
  <si>
    <t>125+(125*0.2)+25</t>
  </si>
  <si>
    <t>CHINA: In accordance with paragraph 4b of Rec. 16-07, the 25 percent carryover request made by China at the 2017 regular meeting of the Commission has been completed using their underage from 2016 of 30.63 t and 19.37 t of the total underage of the TAC from 2016.</t>
  </si>
  <si>
    <t>Adjusted limit for 2020=initial quota(200)+200*25%(not exceeding the balance of 2018)=250</t>
  </si>
  <si>
    <t>Adjusted limit for 2019=initial quota(100)-12.726(payback quota)+available balance of 2017 (6.69t)=93.964</t>
  </si>
  <si>
    <t>Adjusted limit for 2019=initial quota(313)+313*20%(carryover 2017)=326.76</t>
  </si>
  <si>
    <t>Adjusted limit for 2020=initial quota(313)+313*20%(carryover 2018)= 313+37.05</t>
  </si>
  <si>
    <t>Adjusted limit for 2019=initial limit (45) + available balance of 2017 (not exceeding 20% of 45)=50.27</t>
  </si>
  <si>
    <t>Adjusted limit for 2020=initial limit (37.90) + available balance of 2018 (not exceeding 20% of 37.90)= 41.34t</t>
  </si>
  <si>
    <t>Adjusted limit for 2020=initial quota(10)+10*20%=12</t>
  </si>
  <si>
    <t>Regarding Rec.17-04 amends para.4 of Rec.16-06, Chinese Taipei is allocated 3926 t as its 2020 initial catch quota.</t>
  </si>
  <si>
    <t>2020 adjusted quota is 11550.00 t (=9400*(1+0.25)-200) due to the inclusion of 2018 underage and 2020 initial catch quota and the deduction of transfer of 200t to Japan</t>
  </si>
  <si>
    <t>=9400+2350-200</t>
  </si>
  <si>
    <t>JAPAN-S-ALB: 2020 adjusted limit = 1,355 t(Limit)+239.25 t(2018 carry over (para 4b of Rec. 16-07))+99.5t(complement from underage from the total TAC(Para4b of Rec.16-07)))+100 t(transfer from Brasil (para 3 of Rec. 16-07))+100 t(transfer from S.Africa(para 3 of Rec. 16-07))+500t(transfer from S.Africa (circular#1304/2020))+200t(transfer from Chinese Taipei  (circular#4313/2020))+100t(transfer from Brazil (circular#4498/2020))</t>
  </si>
  <si>
    <t>2019 adjusted quota is 343 t (=270+270*40%-35) due to the underage of 2017 exceeding 40% of 2019 initial catch quota and a transfer of 35 t to Canada.</t>
  </si>
  <si>
    <t>Pursuant to Rec.17-02, Chinese Taipei may carryover to the maximum of 40% of its 2018 underage in 2020.</t>
  </si>
  <si>
    <t>2020 adjusted quota is 323 t (=270+270*40%-35-20) due to the inclusion of 2018 underage and 2020 initial catch quota and the deduction of respective transfers of 35 t to Canada and 20 t to Morocco.</t>
  </si>
  <si>
    <t>=270*(1+40%)-35-20</t>
  </si>
  <si>
    <t>=459*(1+20%)</t>
  </si>
  <si>
    <t>According to Rec.17-03, Chinese Taipei may carryover to the maximum of 20% of its 2019 underage in 2020.</t>
  </si>
  <si>
    <t>2020 adjusted quota is 550.8 t (=459*(1+20%)) due to the inclusion of 2019 underage and 2020 initial catch quota.</t>
  </si>
  <si>
    <t>=90-50</t>
  </si>
  <si>
    <t>2020 adjusted quota is 40 t (=90-50) due to a transfer of 50 t to Korea.</t>
  </si>
  <si>
    <t>2020 adjusted quota is 11201.26 t = 9226.41 (initial quota) + 11679*15% (carry over of 15% of 2018 initial quota pursuant to Rec.16-01) +223 (transfer from Korea)</t>
  </si>
  <si>
    <t>=126.20+150(10%)</t>
  </si>
  <si>
    <t xml:space="preserve">2020 adjusted quota is 141.2 t = 126.2 (initial landing limit in 2020) + 150*10% (2018 carry over pursuant to Rec. 18-04) </t>
  </si>
  <si>
    <t>2020 adjusted quota is 55 t = 50 (initial landing limit in 2020) + 50*10% (2018 carry over pursuant to Rec. 18-04.)</t>
  </si>
  <si>
    <t>FRANCE SPM</t>
  </si>
  <si>
    <t xml:space="preserve">Pas de navire </t>
  </si>
  <si>
    <t>1 : limite 2015 + 50% quota original + 40 tonnes transférées de l'Union Européenne (REC 13-02)</t>
  </si>
  <si>
    <t>2 : limite 2016 + 50% quota original + 40 tonnes transférées de l'Union Européenne (REC 13-02)</t>
  </si>
  <si>
    <t>3 : limite 2017 + 50% limite de capture initiale + 40 tonnes transférées de l'Union Européenne     (REC 13-02 et REC 16-03) + 12,75 tonnes transférées du Vénézuela (accord sur la base de l'article 6     "transferts" de la recommandation 2016 ICCAT sur la préservation de l'espadon de   l'Atlantique Nord : en vertu du paragraphe 2, le Vénézuela peut transférer à la France SPM     15% de son allocation soit 85tx15%=12,75t)=40+(40*0.5)+40+12.75=112.75</t>
  </si>
  <si>
    <t>4 : limite 2018 + 40% limite de capture initiale (Rec.16-03) + 40 tonnes transférées de l'Union Européenne (REC 17-02)+ 12,75 tonnes transférées du Vénézuela (REC 17-02)=40+(40*0.4)+40+12.75=108.75</t>
  </si>
  <si>
    <t>5 : limite 2019 + 40% limite de capture initiale (Rec.16-03) + 40 tonnes transférées de l'Union Européenne (REC 17-02)+ 12,75 tonnes transférées du Vénézuela (REC 17-02)=40+(40*0.4)+40+12.75=108.75</t>
  </si>
  <si>
    <t>6 : limite 2020 + 40% limite de capture initiale (Rec.16-03) + 40 tonnes transférées de l'Union Européenne (REC 17-02)+ 12,75 tonnes transférées du Vénézuela (REC 17-02)=40+(40*0.4)+40+12.75=108.75</t>
  </si>
  <si>
    <t>1 : limite 2015 + 100% quota de capture initial (REC 12-02)</t>
  </si>
  <si>
    <t>2 : limite 2016 + 100% quota de capture initial (REC 14-05)</t>
  </si>
  <si>
    <t>3 : limite 2017 + Solde 2016</t>
  </si>
  <si>
    <t>4 : limite 2018 + solde 2017</t>
  </si>
  <si>
    <t>*Belize is carrying forward 25% of its initial catch limit 2018 (25% 200t = 50t) from its balance of 64.86t in 2018 to be used in 2020.</t>
  </si>
  <si>
    <t>215+(0.25*200)</t>
  </si>
  <si>
    <t>Adjusted limited for 2019=215(initial quota)+200*25%(carryover 2017)=265</t>
  </si>
  <si>
    <t>Adjusted limited for 2020=215(initial quota)+200*25%(carryover 2018)=265</t>
  </si>
  <si>
    <t>RUSSIA</t>
  </si>
  <si>
    <t xml:space="preserve">JAPAN-BIGEYE:Japan's 2020 adjusted limit is 13,079.84t (after transferring 600t to China and 300t to EU). </t>
  </si>
  <si>
    <t>=459+100.9</t>
  </si>
  <si>
    <t>=459+87.80</t>
  </si>
  <si>
    <t>2019 adjusted quota is 546.8 t (=459+87.80) due to the inclusion of 2018 underage.</t>
  </si>
  <si>
    <t>SAINT VINCENT AND THE GRENADINES</t>
  </si>
  <si>
    <t>=200-1.51+100</t>
  </si>
  <si>
    <t>=200+100</t>
  </si>
  <si>
    <t>=200*(1+25% (máx 6.89 from 2016))+100</t>
  </si>
  <si>
    <t>* Adjusted limit = initial limit + available balance (not to exceed 25% of initial quota of the year where the adjustment comes)</t>
  </si>
  <si>
    <t>Japan's 2015 adjusted limit = 842t(Limit)+842*15%-50t(transfer to Morocco(Para2 of Rec.17-02))-35t(transfer to Canada(Para2 of Rec.17-02))-25t(transfer to Mauritania(Para2 of Rec.17-02))</t>
  </si>
  <si>
    <t>Japan's 2016 adjusted limit = 842t(Limit)+406.20 (CO 2015) - 50t(transfer to Morocco(Para2 of Rec.17-02))-35t(transfer to Canada(Para2 of Rec.17-02))-25t(transfer to Mauritania(Para2 of Rec.17-02))</t>
  </si>
  <si>
    <t>Japan's 2017 adjusted limit = 842t(Limit)+740.50 (CO 2016) - 100t(transfer to Morocco(Para2 of Rec.17-02))-35t(transfer to Canada(Para2 of Rec.17-02))-25t(transfer to Mauritania(Para2 of Rec.17-02))</t>
  </si>
  <si>
    <t>Japan's 2018 adjusted limit = 842t(Limit)+842*15%-100t(transfer to Morocco(Para2 of Rec.17-02))-35t(transfer to Canada(Para2 of Rec.17-02))</t>
  </si>
  <si>
    <t>Japan's 2019 adjusted limit = 842t(Limit)+544t(2018 carry over(Para4 of Rec17-02))-100t(transfer to Morocco( Para2 of Rec.17-02))-35t(transfer to Canada(Para2 of Rec.17-02))-25t(transfer to Mauritania(Para2 of Rec.17-02))</t>
  </si>
  <si>
    <t>Japan´s 2020 adjusted limit = 842 t(Limit)+831.01t(2019 carry over(para 4 of Rec. 17-02))-150 t(transfer to Morocco(para 1-a) of Rec. 19-03))-35 t(transfer to Canada(para 2 of Rec. 17-02))-25 t(transfer to Mauritania(para 2 of Rec. 17-02)).</t>
  </si>
  <si>
    <t>2019 = Initial allocation + transfers (from Senegal 125t, Japan 35t, Chinese Taipe 35t, and the EU 300t) + underage from 2017 (202.2t - max. carry forward)</t>
  </si>
  <si>
    <t>=3926+(3271.70*0.25)-200</t>
  </si>
  <si>
    <t>=(3926*1.25)-200</t>
  </si>
  <si>
    <t>2019 adjusted quota is 4443.93 t (=3926+(3271.70*0.25)-200)  due to the inclusion of 2017 underage and 2019 initial catch quota and the transfer of 200 t to Belize.</t>
  </si>
  <si>
    <t>2020 adjusted quota is 4607.5 t (=3926*(1+0.25)-100-200)  due to the inclusion of 2018 underage and 2020 initial catch quota and the deduction of the transfer of 200 t to Belize.</t>
  </si>
  <si>
    <t>=215+25% Quota 2017 (máx 3.80)</t>
  </si>
  <si>
    <t>=215+(MAX. 25% from 2018 quota= 50t)</t>
  </si>
  <si>
    <t>Chinese Taipei has transferred 100t to VCT from 2015 to 2018</t>
  </si>
  <si>
    <t>LIBERIA</t>
  </si>
  <si>
    <t>[1]</t>
  </si>
  <si>
    <t>[2]</t>
  </si>
  <si>
    <t>[3]</t>
  </si>
  <si>
    <t>[4]</t>
  </si>
  <si>
    <t>[1] = 2017 limit + 2016 Balance</t>
  </si>
  <si>
    <t>[2] = 2018 limit + 2017 Balance</t>
  </si>
  <si>
    <t>[3] = 2019 limit + 2018 Balance</t>
  </si>
  <si>
    <t>JAPAN-S-ALB: 2021 adjusted limit = 1,355 t(Limit)+338.75t(2019 carry over(1355*25%) (para 4a of Rec. 16-07))</t>
  </si>
  <si>
    <t>2020=58.9 + (Saldo Máx. 2019 = 10% Q2019) = 58.9 + 7</t>
  </si>
  <si>
    <t>2020= (25) + (5), 20% Cuota (25t)</t>
  </si>
  <si>
    <t>2021= (25) + (5), 20% Cuota (25t)</t>
  </si>
  <si>
    <t>200+(200*0.25)</t>
  </si>
  <si>
    <t>215+(200*0.25)</t>
  </si>
  <si>
    <t>*Belize is carrying forward 25% of its initial catch limit 2019 (25% 215t = 53.75t) from its balance of 200.47t in 2019 to be used in 2021. Receiving a transfer of ALB-N from Chinese Taipei: 200t</t>
  </si>
  <si>
    <t>*Belize is carrying forward 25% of its initial catch limit (62.5t) from its balance of 154.36t in 2019 to be used in 2021</t>
  </si>
  <si>
    <t>*Belize intends to use 52t of its underages from 2019 in 2021 (Rec. 17-02, par. 3); receiving a transfer of N-SWO from Trinidad &amp; Tobago: 75t (Rec. 17-02, par.2b).</t>
  </si>
  <si>
    <t>*Belize intends to use 25 t of its underages from 2019 in 2021 (Rec. 17-03, para 2); receiving a transfer of SWO-S from the United States: 25 t, Brazil: 50 t and Uruguay: 50 t (Rec. 17-03, para 5).</t>
  </si>
  <si>
    <t>JAPAN-SWO-S: adjusted limit in 2011, 2012,2013,2014,2015,2016,2017,2018, 2019, 2020 and 2021 excluded 50 t transfered to Namibia. [Rec.09-03][Rec.12-01][Rec.13-03][Rec.15-03][Rec.16-04][Rec.17-03]</t>
  </si>
  <si>
    <t>JAPAN-SWO-S: underage of 2010 may be carried over to 2012 up to 800t. [Rec. 09-03]</t>
  </si>
  <si>
    <t>JAPAN-SWO-S: overage of 2011 shall be deducted from 2013. [Rec. 09-03]</t>
  </si>
  <si>
    <t>JAPAN-SWO-S:Japan's underage in 2012 was carried over to the 2014 initial limit [Rec. 12-01]</t>
  </si>
  <si>
    <t>JAPAN-SWO-S: overage of 2013 shall be deducted from 2015. [Rec. 12-01]</t>
  </si>
  <si>
    <t>JAPAN-SWO-S:Japan's underage in 2014 was carried over to the 2016 initial limit [Rec. 13-03][Rec15-03]</t>
  </si>
  <si>
    <t>JAPAN-SWO-S:Japan's underage in 2015 was carried over to the 2017 initial limit [Rec.16-04]</t>
  </si>
  <si>
    <t>JAPAN-SWO-S:Japan's underage in 2016 was carried over to the 2018 initial limit [Rec.17-03]</t>
  </si>
  <si>
    <t>JAPAN-SWO-S: 400 t of its swordfish catch taken from the part of the South Atlantic management area was counted against its N-SWO uncaught quota in 2015.[Rec.13-02]</t>
  </si>
  <si>
    <t>JAPAN-SWO-S:Japan's 2021 adjusted limit  = 901t(Limit)+529.16t(2019 carry over(Para1(3) of Rec17-03))-50t(transfer to Namibia(Para5 of Rec.17-03))</t>
  </si>
  <si>
    <t>215+(0.25*215)</t>
  </si>
  <si>
    <t>2020: 100 t (transfer to JPN according to Rec.16-07 Para 3) and  100t (transfer to JPN according to circular#4498/2020, Rec.16-07 Para 6)</t>
  </si>
  <si>
    <t>2160+(0.25*2160)-200</t>
  </si>
  <si>
    <t>GUATEMALA</t>
  </si>
  <si>
    <t>GUYANA</t>
  </si>
  <si>
    <t>* As the balance is negative, Adjusted limit (A) = Year Limit + Balance from the previous limit</t>
  </si>
  <si>
    <t>242+(215*0.25)</t>
  </si>
  <si>
    <t>Adjusted limited for 2021=242(initial quota)+215*25%(carryover 2019)=295.75</t>
  </si>
  <si>
    <t>Adjusted limit for 2021=initial quota(200)+200*25%(not exceeding the balance of 2019)=250</t>
  </si>
  <si>
    <t>Adjusted Limit=initial limt +available balance(not to exceed 50% of initial quota)</t>
  </si>
  <si>
    <t>Adjusted limit for 2020=initial quota(100)+available balance of 2018 (3.95t)=103.95</t>
  </si>
  <si>
    <t>Adjusted limit for 2021=initial quota(100)+available balance of 2019 (2.40t)=102.40</t>
  </si>
  <si>
    <t>Adjusted limit for 2021=initial quota(313)+313*20%(carryover 2019)= 313+62.6</t>
  </si>
  <si>
    <t>Adjusted limite for 2020=initial quota(4462.08)+5376*15%+600 ton transfer from Japan=5868.48</t>
  </si>
  <si>
    <t>Adjusted limit for 2021=initial limit (37.90) + available balance of 2019 (not exceeding 20% of 37.90)= 41.77t</t>
  </si>
  <si>
    <t>Adjusted limit for 2021=initial quota(10)+10*20%=12</t>
  </si>
  <si>
    <t>Pursuant to Rec.20-04 and Rec.20-03, Chinese Taipei is allocated 4416.9 t as its 2021 initial catch quota.</t>
  </si>
  <si>
    <t>2021 adjusted quota is 5198.4 t (=4416.9+3926*0.25-200)  due to the inclusion of 2019 underage and 2021 initial catch quota and the deduction of the transfer of 200 t to Belize.</t>
  </si>
  <si>
    <t>=4416.90+(3926*0.25)-200</t>
  </si>
  <si>
    <t>2021 adjusted quota is 11524.00 t (=9400+2124) due to the inclusion of 2019 underage and 2021 initial catch quota</t>
  </si>
  <si>
    <t>=9400+2124</t>
  </si>
  <si>
    <t>Pursuant to Rec.17-02, Chinese Taipei may carryover to the maximum of 40% of its 2019 underage in 2021.</t>
  </si>
  <si>
    <t>2021 adjusted quota is 323 t (=270+270*40%-35-20) due to the inclusion of 2019 underage and 2021 initial catch quota and the deduction of respective transfers of 35 t to Canada and 20 t to Morocco.</t>
  </si>
  <si>
    <t>Pursuant to Rec.17-03, Chinese Taipei may carryover to the maximum of 20% of its 2020 underage in 2021.</t>
  </si>
  <si>
    <t>2021 adjusted quota is 550.8 t (=459*(1+20%)) due to the inclusion of 2020 underage.</t>
  </si>
  <si>
    <t>2021 adjusted quota is 40 t (=90-50) due to a transfer of 50 t to Korea.</t>
  </si>
  <si>
    <t>=9226.41+(11679*15%)+223</t>
  </si>
  <si>
    <t xml:space="preserve">2021 adjusted quota is 141.2 t = 126.2 (initial landing limit in 2021) + 150*10% (2019 carry over pursuant to Rec. 18-04) </t>
  </si>
  <si>
    <t>2021 adjusted quota is 55 t = 50 (initial landing limit in 2021) + 50*10% (2019 carry over pursuant to Rec. 18-04.)</t>
  </si>
  <si>
    <t>NAMIBIA</t>
  </si>
  <si>
    <t>Underage up to 20% of the initial catch quota has been carried over biennially Rec.17-03. Quota calculated from 2018 on</t>
  </si>
  <si>
    <t>*Underage up to 30% of the initial catch quota has been carried over biennially Rec.16-04. Quota calculated up to 2017</t>
  </si>
  <si>
    <t>=1168+30%1168+50+50+50</t>
  </si>
  <si>
    <t>From 2016 to 2021, Japan has transferred 50t to Namibia in accordance with Rec. 16-04/17-03.</t>
  </si>
  <si>
    <t>From 2016 to 2020, South Africa has transferred 50t to Namibia in accordance with Rec. 16-04/17-03.</t>
  </si>
  <si>
    <t>=1168+20%1168+50+50+50</t>
  </si>
  <si>
    <t>JAPAN-N-ALB:Japan's 2020 adjusted limit = BET 2020 catch * 4% (Para6 of Rec16-06)</t>
  </si>
  <si>
    <t>JAPAN-E-BFT: current catch for 2020 includes  8.16t of dead discard.</t>
  </si>
  <si>
    <t>JAPAN-E-BFT:Japan's 2021 adjusted limit = 2819.00t(Limit)(Para1 of Rec20-07)+57.64t(2020 carry over (Para2 of Rec 20-07))</t>
  </si>
  <si>
    <t>JAPAN-W-BFT: current catch for 2020 includes 0.23 t of dead discard.</t>
  </si>
  <si>
    <t>JAPAN-W-BFT:Japan's 2021 adjusted limit = 407.48t(Limit)+2.82t(2020 carry over(Para7a of Rec17-06 )</t>
  </si>
  <si>
    <t>JAPAN-BUM:Japan's 2022 adjusted limit = 328.1t(Limit)</t>
  </si>
  <si>
    <t>* Adjusted limit 2021 = initial limit 2021 (4400) + available balance 2019(not to exceed 25% of initial quota) (197.13)</t>
  </si>
  <si>
    <t>=1001+30%1001-50</t>
  </si>
  <si>
    <t>=1001+20%1001-50</t>
  </si>
  <si>
    <t>From 2016 to 2020, South Africa has transferred 50t to Namibia in accordance with Recs. 16-04/17-03.</t>
  </si>
  <si>
    <t xml:space="preserve">The underharvest of the EU in 2018 is of 1007,82 t, which is less than than the maximum allowed of  25% provided in Rec. 16-06. The EU is entitled to carry over 1007,82 t to 2020. </t>
  </si>
  <si>
    <t xml:space="preserve">The EU overharvested -540,04 t in 2019. According to provisions in para 7 of Rec. 16-06 and para 8 of Rec. 17-04, 540,04 t shall be deducted  from the EU quota in 2021. </t>
  </si>
  <si>
    <t>Limit 2021 +   2019 balance - 434,04 t to be transferred to UK</t>
  </si>
  <si>
    <t>Limit 2022 +   2020 balance - 1,52% of the EU limit 2022 to be transferred to UK</t>
  </si>
  <si>
    <t xml:space="preserve">The underharvest of the EU in 2020 is of 1288,72 t, which is less than than the maximum allowed of 25% provided in Rec. 16-06. The EU is entitled to carry over 1288,72 t to 2022. </t>
  </si>
  <si>
    <t>Additionally, the EU will transfer to United Kingdom 434,04t in 2021 and 1,52% of its initial catch limit in 2022.</t>
  </si>
  <si>
    <t xml:space="preserve"> The underharvest of the EU in 2019 was of 1755,77 t.  In line with Rec 16-07, the EU is entitled to carry over  367,5 t to 2021, corresponding to 25% of its initial quota for 2019.</t>
  </si>
  <si>
    <t>The underharvest of the EU in 2018 is of 1734,69 t..  In line with Rec 16-07, the EU is entitled to carry over  367,5 t to 2020, corresponding to 25% of its initial quota for 2018.</t>
  </si>
  <si>
    <t>The underharvest of the EU in 2020 was of 1777,03 t.  In line with Rec 16-07, the EU is entitled to carry over  367,5 t to 2022, corresponding to 25% of its initial quota for 2020.</t>
  </si>
  <si>
    <t>Limit 2022 + 25%  2020 limit</t>
  </si>
  <si>
    <t>The underharvest of the EU in 2018 is of 2419,28 t, which corresponds to more than 15% of its 2018 initial catch limit. In line with Rec. 17-02 the EU can carry over 1007.7 t to 2020.</t>
  </si>
  <si>
    <t>The underharvest of the EU in 2019 is of 1799,51 t, which corresponds to more than 15% of its 2019 initial catch limit. In line with Rec. 17-02 the EU can carry over 1007.7 t to 2021.</t>
  </si>
  <si>
    <t xml:space="preserve">The underharvest of the EU in 2020 is of 1425,44 t, which corresponds to more than 15% of its 2020 initial catch limit. In line with Rec. 17-02 the EU can carry over 1007.7 t to 2022. </t>
  </si>
  <si>
    <t>Additionally, the EU  will transfer to United Kingdom 0,67 t in 2021, and 0,01% of the EU initial catch limit in 2022.</t>
  </si>
  <si>
    <t xml:space="preserve">The adjusted limit for 2022 takes also into account the transfers to Canada (300 t from EU-Spain), and S. Pierre et Miquelon (40 t) as provided for in Rec 17-02. </t>
  </si>
  <si>
    <t>In 2018 the underharvest for the EU was of 187,20 t, which is less than the maximum allowed 20% provided in Rec 17-03. Therefore, the EU is entitled to carry over 187,20 t to 2020.</t>
  </si>
  <si>
    <t>In 2019 the underharvest for the EU was of 256,03 t, which is less than the maximum allowed 20% provided in Rec 17-03. Therefore, the EU is entitled to carry over  256,03 t to 2021.</t>
  </si>
  <si>
    <t xml:space="preserve">In 2020 the underharvest for the EU was of 261 t, which is less than the maximum allowed 20% provided in Rec 17-03. Therefore, the EU is entitled to carry over  261 t to 2022. </t>
  </si>
  <si>
    <t xml:space="preserve">Limit 2022 +  2020 balance </t>
  </si>
  <si>
    <t xml:space="preserve">In 2018 the underharvest for the EU was of 2121,35 t, which is less than the maximum allowed of 15% provided in Rec 16-01. Therefore, the EU is entitled to carry over 2121,35 t to 2020. </t>
  </si>
  <si>
    <t xml:space="preserve">In 2019 the underharvest for the EU was of 246,97 t, which is less than the maximum allowed of 10% provided in Rec 19-02. Therefore, the EU is entitled to carry over 246,97 t to 2021. </t>
  </si>
  <si>
    <t>2022 Limit - 2t</t>
  </si>
  <si>
    <t>In 2018, the underharvest (341,96 t) being over the maximum allowed of 10% provided in Rec. 18-04, the EU is entitled to carry over 48 t to 2020.</t>
  </si>
  <si>
    <t>In 2019, the underharvest (448,38 t) being over the maximum allowed of 10% provided in Rec. 18-04/19-05, the EU is entitled to carry over 48 t to 2021. The calculation takes into account the transfer of 2 t to Trinidad &amp; Tobago as provided by Rec. 19-05.</t>
  </si>
  <si>
    <t xml:space="preserve">In 2015 the quota was exceeded by 67.19 t. The EU proposes a pay-back of this overharvest over 3 years in 2018, 2019, 2020 , which corresponds to 22.4 t per year.                                                                                 </t>
  </si>
  <si>
    <t>In 2018 the underharvest (27,52t) being over the maximum allowed of 10% provided in Rec. 18-04, the EU is entitled to carry over 5 t to 2020.</t>
  </si>
  <si>
    <t>The agreement between UK and EU is to transfer 48.40 t from its quota in 2022, corresponding to 0.25% of its quota prior to any adjustments made and any specific allocation made to the EU for its small-scale fisheries in following years to the United Kingdom.</t>
  </si>
  <si>
    <t xml:space="preserve">This means that the 0,25% is calculated from the 19360 t which is the initial quota of EU without the additional 100t agreed in 2018 for small scale. </t>
  </si>
  <si>
    <t>(200*0.25)+215</t>
  </si>
  <si>
    <t>(215*0.25)+242</t>
  </si>
  <si>
    <t>4.99+140</t>
  </si>
  <si>
    <t>16.91+140</t>
  </si>
  <si>
    <t>6 (A) = Limit 2021 + Carry over from Balance 2019 MAX. 10%4250 (425) Rec. 19-02 Para 12</t>
  </si>
  <si>
    <t>*Underage up to 50% of the initial catch quota has been carried over biennially Rec.16-03. Quota calculated up to 2017</t>
  </si>
  <si>
    <t>**Underage up to 40% of the initial catch quota has been carried over biennially Rec.17-02. Quota calculated from 2018 on</t>
  </si>
  <si>
    <t>2021**</t>
  </si>
  <si>
    <t>Korea carried forward its unused quota of 2020(4.30t) to 2021. Max 5% 2020 quota. Rec 20-07 Para 2</t>
  </si>
  <si>
    <t>200+50+4.30</t>
  </si>
  <si>
    <t>Since 2018, Korea has transferred 223t of its quota to Chinese Taipei every year.</t>
  </si>
  <si>
    <t>(1486*0.15)+1000 - 223</t>
  </si>
  <si>
    <t>Rec. 19-02 Para 12: underage of an annual catch limit in 2019 shall be added to their 2021 annual catch limit, subject to 10% of initial quota restrictions</t>
  </si>
  <si>
    <t>Rec. 19-02 Para 3c): Starting with 2020 catches, any underharvest by a CPC of its annual landings limit may not be carried forward to a subsequent year</t>
  </si>
  <si>
    <t>2020 =  Initial allocation + transfers (from Senegal 125t, Japan 35t, Chinese Taipe 35t, and the EU 100t) + underage from 2018 (202.2t - max. carry forward)</t>
  </si>
  <si>
    <t>2021 =  Initial allocation + transfers (from Senegal 150t, Japan 35t, Chinese Taipe 35t, and the EU 200t) + underage from 2019 (202.2t - max. carry forward)</t>
  </si>
  <si>
    <t xml:space="preserve">Limite ajustée 2018= limite de capture 2018 + ( limite de capture 2017 x 0,4) - transfert (CAN). Limite ajustée 2018  = 250 + (250*0.4) - (125+25) = 200t      </t>
  </si>
  <si>
    <t>Limite ajustee 2019 = Limite 2019 + max. Solde (Limite 2018*0.4) -transfert Canada (125 t) = 250 + (250 * 0.4) -125= 225 t</t>
  </si>
  <si>
    <t>Limite ajustee 2020 = Limite 2020 + max. Solde (Limite 2019*0.4) -transfert Canada (125 t) = 250 + (250 * 0.4) -125= 225 t</t>
  </si>
  <si>
    <t>Limite ajustee 2021 = Limite 2021 + max. Solde (Limite 2020*0.4) -transfert Canada (125 t+25 t) = 250 + (250 * 0.4) -150= 200 t</t>
  </si>
  <si>
    <t>(2020 limit + 0,15*2018 limit)-40-100</t>
  </si>
  <si>
    <t>(2021 limit + 0,15*2019 limit)-40-200-0.67</t>
  </si>
  <si>
    <t xml:space="preserve">For 2020 the adjusted limit is calculated by taking also into account the transfers to Canada (100 t from EU-Spain) and of 40 t to S. Pierre et Miquelon as provided for in Rec 17-02. </t>
  </si>
  <si>
    <t>For 2021 the adjusted limit is calculated by taking also into account the transfers to Canada (200 t from EU-Spain) and of 40 t to S. Pierre et Miquelon as provided for in Rec. 17-02.</t>
  </si>
  <si>
    <t>2020: The 2019 underage is greater than the maximum amount that can be carried over to 2020 (&lt;= 40% of original catch limit); hence the amount carried over is 50 t (0.4*125).
Additionally, 75 t and 25 t were transferred to Belize and Morocco respectively; hence 100 is subtracted from the sum of the initial catch limit and the allowed carry over, to arrive at the final adjusted limit of 75 t.</t>
  </si>
  <si>
    <t>2021: The 2020 underage is greater than the maximum amount that can be carried over to 2021 (&lt;= 40% of original catch limit); hence the amount carried over is 50 t (0.4*125).
Additionally, 75 t and 25 t were transferred to Belize and Morocco respectively; hence 100 is subtracted from the sum of the initial catch limit and the allowed carry over, to arrive at the final adjusted limit of 75 t.</t>
  </si>
  <si>
    <t>1 (A)=IQ2016+Balance2015</t>
  </si>
  <si>
    <t>2 (A)=IQ2017+Balance2016</t>
  </si>
  <si>
    <t>3 (A)=IQ2018+Balance2017</t>
  </si>
  <si>
    <t>4 (A)=IQ2019+Balance2018</t>
  </si>
  <si>
    <t>5 (A)=IQ2020+Balance2019+2t EU transfer provided by Rec. 19-05.</t>
  </si>
  <si>
    <t>5 (A)=IQ2020+Balance2019</t>
  </si>
  <si>
    <t>6 (A)=IQ2021+Balance2020</t>
  </si>
  <si>
    <t>Pour l'année 2020 les prises realisées par les senneurs sont de 2648,138</t>
  </si>
  <si>
    <t>*In accordance with Rec. 19-04 Para 10, Syria will transfer 79.2 t to Tunisia to be caught by vessel (MOHAMED ESSADOK,  AT000TUN00051) for only this fishing season 2021</t>
  </si>
  <si>
    <t>*</t>
  </si>
  <si>
    <t>Adjusted limit for 2021 = 711.5  + (.25)(632.4) = 869.60****</t>
  </si>
  <si>
    <t>*** reflects that 25% of the 2017 initial quota may be carried forward to 2018</t>
  </si>
  <si>
    <t>****  reflects that 25% of the 2020 initial quota may be carried forward to 2021</t>
  </si>
  <si>
    <t>Adjusted limit for 2021 = 3907.0 + (0.15)(3907) = 4493.05 t</t>
  </si>
  <si>
    <t>Adjusted limit for 2021 = 100.0 - (100 t (Namibia (50 t), Cote d'Ivoire (25 t), Belize (25 t)) + 99.94</t>
  </si>
  <si>
    <t>Adjusted limit for 2021 = 1272.86 + (.1)(1272.86) = 1400.15 t</t>
  </si>
  <si>
    <t>* Adjusted limit = initial limit + available balance (not to exceed 10% of initial quota)</t>
  </si>
  <si>
    <t>*** reflects that 10% of the 2017 initial quota may be carried forward to 2018</t>
  </si>
  <si>
    <t>VENEZUELA</t>
  </si>
  <si>
    <t>*De acuerdo a Rec. 16-06 Par 4, en el año 2017 se utilizaron las transferencias de La Unión Europea, Estados Unidos y Taipei Chino  a Venezuela de  60, 150 y 114 t, respectivamente</t>
  </si>
  <si>
    <t>(1) Límite ajustado 2017 = Límite 2017 + Saldo 2016 + (60+150+114)*</t>
  </si>
  <si>
    <t>(1)</t>
  </si>
  <si>
    <t>(2)</t>
  </si>
  <si>
    <t>(3)</t>
  </si>
  <si>
    <t>(2) Límite ajustado 2018 = Límite 2018 + Saldo 2017</t>
  </si>
  <si>
    <t>(3) Límite ajustado 2019 = Límite 2019 + Saldo 2018</t>
  </si>
  <si>
    <t>(4)</t>
  </si>
  <si>
    <t>(4) Límite ajustado 2020 = Límite 2020 + Saldo 2019</t>
  </si>
  <si>
    <t>(5)</t>
  </si>
  <si>
    <t>(5) Límite ajustado 2021 = Límite 2021 + Saldo 2020</t>
  </si>
  <si>
    <t>85+(85*0.5)</t>
  </si>
  <si>
    <t>Los remanentes de captura de esta especie se ajustaron de acuerdo a los años sugeridos por la recomendación  16-03</t>
  </si>
  <si>
    <t>Al límite de captura ajustada para los años 2017 y 2018, se le dedujo las 12,75 t transferidas a Francia (San Pedro y Miquelón) , Rec.16-03 y Rec. 17-02.</t>
  </si>
  <si>
    <t>85+(85*0.5)-12.75</t>
  </si>
  <si>
    <t>85+(85*0.4)-12.75</t>
  </si>
  <si>
    <t>85+(85*0.4)</t>
  </si>
  <si>
    <t>*Underage up to 10% of the initial catch quota has been carried over biennially Rec.15-05 to 18-04 (2016-2019)</t>
  </si>
  <si>
    <t>100+ (0.1*100)</t>
  </si>
  <si>
    <t>100+ (0.1*100) - 30 **</t>
  </si>
  <si>
    <t>**Transferencia de 30 t a la Unión Europea en 2017, Rec.  16-10.</t>
  </si>
  <si>
    <t>84.10+(100*0.1)</t>
  </si>
  <si>
    <t>(1) Límite ajustado 2018 = Límite 2018 + Saldo 2017 +  (Saldo Máx. 2016 = 10% Límite 2016)</t>
  </si>
  <si>
    <t>Catch limit defined according to Rec. 19-02 Para 4</t>
  </si>
  <si>
    <t>[4] = 2020 limit + 2019 Balance</t>
  </si>
  <si>
    <t>[5]</t>
  </si>
  <si>
    <t>[5] = 2021 limit + 2020 Balance</t>
  </si>
  <si>
    <t>*transfer of 200 t from Chinese Taipei to Belize in 2021 and 2022.</t>
  </si>
  <si>
    <t>Japan´s 2021 adjusted limit = 842 t(Limit)+1056.21t(2020 carry over(para 4 of Rec. 17-02))-150 t(transfer to Morocco(para 1-a) of Rec. 20-02)-35 t(transfer to Canada(para 2 of Rec. 17-02))-25 t(transfer to Mauritania(para 2 of Rec. 17-02)).</t>
  </si>
  <si>
    <t>JAPAN-BIGEYE: current catch for 2020 includes  15.20t of dead discard.</t>
  </si>
  <si>
    <t>BSHN</t>
  </si>
  <si>
    <t>2022 Limit</t>
  </si>
  <si>
    <t>*Belize is carrying forward 25% of its initial catch limit (53.75 t) from its balance of 142.7t in 2020 to be used in 2022.</t>
  </si>
  <si>
    <t>*Belize is carrying forward 25% of its initial catch limit (62.5 t) from its balance of 162.13t in 2020 to be used in 2022</t>
  </si>
  <si>
    <t>*Belize is carrying forward 40% of its initial catch limit (52 t) from its balance of 146.27 t in 2020 to be used in 2022; receiving a transfer of N-SWO from Trinidad &amp; Tobago: 75t (Rec. 17-02, par.2b).</t>
  </si>
  <si>
    <t>*Belize is carrying forward 20% of its initial catch limit (25t)  in 2020 to be used in 2022 + transfer of 24.94t from the United States of America + transfer of 50t from Brazil + transfer of 50t from Uruguay to Belize</t>
  </si>
  <si>
    <t>Adjusted limit for 2022 = 100.0 - (99.94 t (Namibia (50 t), Cote d'Ivoire (25 t), Belize (24.94 t)) + 99.94</t>
  </si>
  <si>
    <t>Adjusted limit for 2022=initial quota(200)+200*25%(not exceeding the balance of 2020)=250</t>
  </si>
  <si>
    <t>In 2015 2.29t of dead discards were not included in the catch amount in the compliance table although they were reported in the Task I data</t>
  </si>
  <si>
    <t>In 2015,5.91t of dead discards and/or releases were not included in the catch amount in the compliance table although they were reported in the Task I data</t>
  </si>
  <si>
    <t>In 2015, 1.47t of dead discards were not included in the catch amount in the compliance table although they were reported in the Task I data</t>
  </si>
  <si>
    <r>
      <t>JAPAN-N-SWO: adjusted limit in 2018 excluded 100 t transfered to Morocco, and 35 transferred to Canada</t>
    </r>
    <r>
      <rPr>
        <strike/>
        <sz val="10"/>
        <color theme="1"/>
        <rFont val="Cambria"/>
        <family val="1"/>
      </rPr>
      <t>, and 25 transferred to Mauritania.</t>
    </r>
    <r>
      <rPr>
        <sz val="10"/>
        <color theme="1"/>
        <rFont val="Cambria"/>
        <family val="1"/>
      </rPr>
      <t xml:space="preserve"> [Rec. 17-02].</t>
    </r>
  </si>
  <si>
    <t>Limit 2022+limit 2020*0,10</t>
  </si>
  <si>
    <t>In 2020 the underharvest for the EU was of 4557,17 t, which is more than the maximum allowed 10% provided in Rec 21-01. Therefore, the EU is entitled to carry over  1342,13 t to 2022</t>
  </si>
  <si>
    <t>UK</t>
  </si>
  <si>
    <t>2022 adjusted quota is 5198.4 t (=4416.9+3926*0.25-200)  due to the inclusion of 2020 underage and 2022 initial catch quota and the deduction of the transfer of 200 t to Belize.</t>
  </si>
  <si>
    <t>50 + Balance 2019</t>
  </si>
  <si>
    <t>125+(125*0.2)</t>
  </si>
  <si>
    <t>7:  limite 2021+ 100% allocation de quota initiale (MAX Solde 2020=1.53) - CAN transfer (4.78t) = 5.31 + 1.53 - 4.78= 2.06</t>
  </si>
  <si>
    <t>6:  limite 2020+ 100% allocation de quota initiale (MAX Solde 2019=1) - CAN transfer (4.78t) = 5.31 + 1 - 4.78= 1.53</t>
  </si>
  <si>
    <t>Adjusted limite for 2021=initial quota(4390.69)+5376*10%+600 ton transfer from Japan=5528.29</t>
  </si>
  <si>
    <t>2021 adjusted quota is 10469.69 t = 9078.79 (initial quota) + 11679*10% (carry over of 10% of 2019 initial quota pursuant to Rec.19-02) +223 (transfer from Korea)</t>
  </si>
  <si>
    <t>JAPAN-BIGEYE:Japan's 2021 adjusted limit = 13756.16+1769.6(2019 carry over(17696*10%)(Para12 of Rec19-02)-600(transfer to China (Footnote2 of Para.8  of Rec.19-02))-300(transfer to Europian Union (Footnote 2 of Para.8 of Rec.19-02))</t>
  </si>
  <si>
    <t>PANAMÁ</t>
  </si>
  <si>
    <t>(1)  Cuota ajustada de 2021= Cuota de 2021 + balance negativo de 2020 (25-6.34)= 18.66t</t>
  </si>
  <si>
    <t>2021(**) (*)</t>
  </si>
  <si>
    <t>Pour l'année 2021 le quota ajusté est de 2755,75  ( le quota initial 2655T+transfert quota syrie (79,2)+quota non consommé  des prises accessoires 2020 (21,55T)</t>
  </si>
  <si>
    <t>Pour l'année 2022 , les prises réalisées par les senneurs  en 2022 est de 2652,762 t , les prises accessoires ( 26,55T) n'ont pas encore été arrétées</t>
  </si>
  <si>
    <t>7 : limite 2020 + 40% limite de capture initiale (Rec.16-03) + 40 tonnes transférées de l'Union Européenne (REC 17-02)+ 12,75 tonnes transférées du Vénézuela (REC 17-02)=40+(40*0.4)+40+12.75=108.75</t>
  </si>
  <si>
    <t>8 : limite 2022 + 40% limite de capture initiale (Rec.16-03) + 40 tonnes transférées de l'Union Européenne (REC 17-02)=40+(40*0.4)+40=96</t>
  </si>
  <si>
    <t>5:  limite 2019+ 100% allocation de quota initiale - CAN transfer (9.62) = 2*5.31-9.62=1</t>
  </si>
  <si>
    <t>8:  limite 2022+ 100% allocation de quota initiale (MAX Solde 2021=2.06) - CAN transfer (4.78t) = 6.18+2.06-4.78= 3.46</t>
  </si>
  <si>
    <t>1 (A) = Limit 2016 -337 (payback Rec.15-01 9b) + 70 (Transfer Japan Rec.15-01 7b) + Carry over from Balance 2014 MAX. 15%4722=708.3 (583)</t>
  </si>
  <si>
    <t>2 (A) = Limit 2017 -337 (payback Rec.16-01 9b) + 70 (Transfer Japan Rec.16-01 7b) - 246.60 (Balance 2016) + Carry over from Balance 2015 MAX. 15%4722= 708.3 (696.92)</t>
  </si>
  <si>
    <t>3 (A) = Limit 2018 -337 (payback Rec.16-01 9b) + 70 (Transfer Japan Rec.16-01 7b)</t>
  </si>
  <si>
    <t>4 (A) = Limit 2019 + 70 (Transfer Japan Rec.16-01 7b)  + Carry over from Balance 2017 MAX. 15%4250= 637.50 (347.32). No more payback since 18-01 Para 2</t>
  </si>
  <si>
    <t>5 (A) = Limit 2020 + Carry over from Balance 2018 MAX. 15%4250=637.50(412)</t>
  </si>
  <si>
    <t>CURACAO</t>
  </si>
  <si>
    <t>[6]</t>
  </si>
  <si>
    <t>[6] = 2022 limit + 2021 Balance</t>
  </si>
  <si>
    <t>2022 = Initial allocation + transfers (from Senegal 150t, Japan 35t, Chinese Taipe 35t, and the EU 250t) + underage from 2020 (202.2t - max. carry forward)</t>
  </si>
  <si>
    <t>Initial quota/catch limit includes 15 t allocation for by-catch, as per Rec. 17-06 para 6a &amp; Rec. 20-06 Para 1 (4) &amp;  Rec. 21-07 Para 1 (D)</t>
  </si>
  <si>
    <t>Adjusted limited for 2022=242(initial quota)+215*25%(carryover 2020)=295.75</t>
  </si>
  <si>
    <t>Adjusted limit for 2022=initial quota(100)+available balance of 2020 (7.78t)=107.78</t>
  </si>
  <si>
    <t>Adjusted limit for 2022=initial quota(313)+313*20%(carryover 2020)= 313+62.6</t>
  </si>
  <si>
    <t>Adjusted limite for 2022=initial quota(4426.38)+4462.08*10%+600 ton transfer from Japan=5472.59</t>
  </si>
  <si>
    <t>Adjusted Limit=initial limit +available balance(not to exceed 20% of initial quota), valid up to 2020 (Rec. 19-05 Para 3b))</t>
  </si>
  <si>
    <t>Adjusted Limit=initial limit +available balance(not to exceed 10% of initial quota), valid up to 2020 (Rec. 19-05 Para 3b))</t>
  </si>
  <si>
    <t>COSTA RICA</t>
  </si>
  <si>
    <t>* Límite ajustado = límite inicial + balance disponible (no exceder 25% de cuota inicial)</t>
  </si>
  <si>
    <t>Límite ajustado para 2016 = 200 + 50 = 250 t</t>
  </si>
  <si>
    <t>Límite ajustado para 2017= 200 + 50 = 250 t</t>
  </si>
  <si>
    <t>Límite ajustado para 2018 = 200 + 50 = 250 t</t>
  </si>
  <si>
    <t>Límite ajustado para 2019 = 215 + 50 = 265 t</t>
  </si>
  <si>
    <t>Límite ajustado para 2020 = 215 + 53,75 = 268,75 t</t>
  </si>
  <si>
    <t>Límite ajustado para 2021 = 242 + 53,75 = 295,75 t</t>
  </si>
  <si>
    <t>Límite ajustado para 2022 = 242 + 60,5 = 302,50 t</t>
  </si>
  <si>
    <t>SWON</t>
  </si>
  <si>
    <t>ALBN</t>
  </si>
  <si>
    <t>[7]</t>
  </si>
  <si>
    <t>[1]= Límite de 2016 + balance de 2015</t>
  </si>
  <si>
    <t>[2]= Límite de 2017 + balance de 2016</t>
  </si>
  <si>
    <t>[3]= Límite de 2018 + balance de 2017</t>
  </si>
  <si>
    <t>[4]= Límite de 2019 + balance de 2018</t>
  </si>
  <si>
    <t>[5]= Límite de 2020 + balance de 2019</t>
  </si>
  <si>
    <t>[6]= Límite de 2021 + balance de 2020</t>
  </si>
  <si>
    <t>[7]= Límite de 2022 + balance de 2021</t>
  </si>
  <si>
    <t>[1]= Límite de 2017 + balance de 2016</t>
  </si>
  <si>
    <t>Limit 2023 +   2021 balance - 1,52% of the EU limit 2023 to be transferred to UK</t>
  </si>
  <si>
    <t xml:space="preserve">The underharvest of the EU in 2021 is of 2025,93 t, which is less than than the maximum allowed of 25% provided in Rec. 16-06. The EU is entitled to carry over 2025,93 t to 2023. Additionally, the EU will transfer to United Kingdom 1,52% of its initial catch limit in 2022.
</t>
  </si>
  <si>
    <t xml:space="preserve">The underharvest of the EU in 2021 is of 1862,1 t, which corresponds to more than 15% of its 2021 initial catch limit. In line with Rec. 17-02 the EU can carry over 1007.7 t to 2023 if current management arrangments are maintained. The adjusted limit for 2021 takes also into account the transfers to Canada (200 t in 2021 &amp;nd 250 t in 2022; from EU-Spain), and S. Pierre et Miquelon (40 t) as provided for in Rec 17-02. Additionally, the EU will transfer to United Kingdom 0,01% of the EU initial catch limit in 2022.
</t>
  </si>
  <si>
    <t>2022 limit + 0,15*2020 limit-40-250-0,01% 2022 limit</t>
  </si>
  <si>
    <t>ALBS</t>
  </si>
  <si>
    <t>JAPAN-S-ALB: 2022 adjusted limit = 1,355 t(Limit)+338.75t(2020 carry over(1355*25%) (para 4 of Rec. 16-07))</t>
  </si>
  <si>
    <t>JAPAN-S-SWO:Japan's 2022 adjusted limit  = 901t(Limit)+600.00t(2020 carry over(Para1(3) of Rec21-03))-50t(transfer to Namibia(Para5 of Rec.17-03))</t>
  </si>
  <si>
    <t>SWOS</t>
  </si>
  <si>
    <t>BFTE</t>
  </si>
  <si>
    <t>JAPAN-E-BFT: current catch for 2021 includes  0.68t of dead discard.</t>
  </si>
  <si>
    <t>JAPAN-E-BFT:Japan's 2022 adjusted limit = 2819.00t(Limit)(Para5 of Rec21-08)+96.65t(2021 carry over (Para7 of Rec 21-08))</t>
  </si>
  <si>
    <t>BFTW</t>
  </si>
  <si>
    <t>JAPAN-W-BFT: current catch for 2021 includes 0.00 t of dead discard.</t>
  </si>
  <si>
    <t>JAPAN-BIGEYE: current catch for 2021 includes  5.3t of dead discard.</t>
  </si>
  <si>
    <t>JAPAN-BUM:Japan's 2022 adjusted limit = 328.1t(Limit)(Para3 of Rec19-05)</t>
  </si>
  <si>
    <t>JAPAN-WHM・SPF:Japan's 2022 adjusted limit =35t(Limit)(Para3 of Rec19-05)</t>
  </si>
  <si>
    <t>JAPAN-N-BSH:Japan's 2020 adjusted limit = 4,010t(Para3 of Rec19-07)</t>
  </si>
  <si>
    <t>JAPAN-N-BSH:Japan's 2021 adjusted limit = 4,010t(Para3 of Rec19-07)</t>
  </si>
  <si>
    <t>242+(0.25*215)</t>
  </si>
  <si>
    <t>242+(0.25*242)</t>
  </si>
  <si>
    <t>2014-2022: 50t transferred to Belize</t>
  </si>
  <si>
    <t>The applied methodology is described in Recs. 19-02, 16-01, 2021-01.</t>
  </si>
  <si>
    <t>2022 adjusted quota is 323 t (=270+270*40%-35-20) due to the inclusion of 2020 underage and 2022 initial catch quota and the deduction of respective transfers of 35 t to Canada and 20 t to Morocco.</t>
  </si>
  <si>
    <t>2022 adjusted quota is 477.8 t (=459 + 18.8) due to the inclusion of 2021 underage and 2022 initial catch quota.</t>
  </si>
  <si>
    <t>2022 adjusted quota is 40 t (=90-50) due to the transfer of 50t to Korea.</t>
  </si>
  <si>
    <t>2022 adjusted quota is 10298.24 t = 9152.60 (initial quota) + 9226.41*10% (carry over of 10% of 2020 initial quota pursuant to Rec.21-01) +223 (transfer from Korea).</t>
  </si>
  <si>
    <t>2022 adjusted quota is 126.2 t in accordance with para 3 c) of Rec. 19-05.</t>
  </si>
  <si>
    <t>2022 adjusted quota is 50 t in accordance with para 3 c) of Rec. 19-05.</t>
  </si>
  <si>
    <t>2022 adjusted limit: Egypt intends to transfer 259.62 ton from fishing vessel "Golovik" AT000EGY00020 to 2 authorized Moroccan Tuna traps</t>
  </si>
  <si>
    <t xml:space="preserve">These cathches were intially reported as SWO-S which seemed incorrect based on this source (https://www.iccat.int/Data/ICCAT_maps.pdf). </t>
  </si>
  <si>
    <t>=1001+20%1001</t>
  </si>
  <si>
    <t>2022: The 2021 underage is greater than the maximum amount that can be carried over to 2022 (&lt;= 40% of original catch limit); hence the amount carried over is 50 t (0.4*125).
Additionally, 75 t and 25 t were transferred to Belize and Morocco respectively; hence 100 is subtracted from the sum of the initial catch limit and the allowed carry over, to arrive at the final adjusted limit of 75 t.</t>
  </si>
  <si>
    <t>2018: The 2017 underage is greater than the maximum amount that can be carried over to 2018 (&lt;= 40% of original catch limit); hence the amount carried over is 50 t (0.4*125). Additionally, 75 t were transferred to Belize; hence 75 is subtracted from the sum of the initial catch limit and the allowed carry over, to arrive at the final adjusted limit of 100 t.</t>
  </si>
  <si>
    <t>7(A)=IQ2022+2t EU transfer provided by Rec. 19-05.</t>
  </si>
  <si>
    <t>6 (A)=IQ2021+Balance2020+2t EU transfer provided by Rec. 19-05.</t>
  </si>
  <si>
    <t>7 (A)=IQ2022+Balance2021</t>
  </si>
  <si>
    <t>Adjusted limit for 2022 = 711.5  + (.25)(711.5) = 889.38</t>
  </si>
  <si>
    <t>Adjusted limit for 2022 = 3907.0 + (0.15)(3907) = 4493.05 t</t>
  </si>
  <si>
    <t>=1168+20%1168+50+50</t>
  </si>
  <si>
    <t>Adjusted limit for 2022 = 1341.14 + (.1)(1272.86) = 1468.43 t****</t>
  </si>
  <si>
    <t>****reflects that 10% of the 2021 initial quota may be carried forward to 2022</t>
  </si>
  <si>
    <t>Belize is carrying forward 25% of its initial catch limit (60.5t) from its balance of 268.10t in 2021 to be used in 2023</t>
  </si>
  <si>
    <t>Transfer of 200t from Chinese Taipei to Belize in 2022 and 2023</t>
  </si>
  <si>
    <t>Limit + Underages</t>
  </si>
  <si>
    <t>Republic of Korea</t>
  </si>
  <si>
    <t>Flag</t>
  </si>
  <si>
    <t>2022**</t>
  </si>
  <si>
    <t>Korea carried forward its unused quota of 2021(10t) to 2022. Max 5% 2021 quota. Rec 21-08 Para 7</t>
  </si>
  <si>
    <t>200+50+10</t>
  </si>
  <si>
    <t>(1486*0.10)+984- 223</t>
  </si>
  <si>
    <t>(1000*0.10)+992 - 223</t>
  </si>
  <si>
    <t>Rec.21-01 Para 12: underage of an annual catch limit in 2020 shall be added to their 2022 annual catch limit, subject to 10% of initial quota restrictions</t>
  </si>
  <si>
    <t>=IQ2023+MAX. 0.25*IQ2021</t>
  </si>
  <si>
    <t>=IQ2022+MAX. 0.25*IQ2020</t>
  </si>
  <si>
    <t>=IQ2021+MAX. 0.20*IQ2019</t>
  </si>
  <si>
    <t>=IQ2022+MAX. 0.20*IQ2020</t>
  </si>
  <si>
    <t>=IQ2023+MAX. 0.20*IQ2021</t>
  </si>
  <si>
    <t>IQ2021+53.75</t>
  </si>
  <si>
    <t>IQ2023+MAX 25% IQ2021</t>
  </si>
  <si>
    <t>IQ2022+53.75</t>
  </si>
  <si>
    <t>IQ2023+MAX 40% IQ2021</t>
  </si>
  <si>
    <t xml:space="preserve">The UK's quota for S.ATL SWO is 25t  for 2021. The UK's catches in 2021 were 0t, consequently the UK has a remaining balance of 25t. The UK is permitted to transfer a maximum of 20% of unused quota to 2023. When the 20% is applied to the IQ2021 and the quota for 2023 is added, the adjusted quota for 2023 is 30t. </t>
  </si>
  <si>
    <t xml:space="preserve">The EU transfer's 48.4t of Eastern Bluefin Tuna to the UK. The UK's catches in 2021 were 2.92t, consequently the UK has a remaining balance of 45.48t. The UK is permitted to transfer a maximum of 5% of unused quota to 2022. When the 5% is applied to the Initial quota for 2021 and the quota for 2022 is added, the adjusted quota for 2022 is 50.82t. </t>
  </si>
  <si>
    <t xml:space="preserve">The UK's quota for W.BFT for 2021 is 5.31. The UK carried over 5.31t of w.BFT quota from 2020. The UK's catches in 2021 were 0.71t which was taken off the carry over quota. As the 2021 catches were less then the carry over the UK had a remaining quota of 5.31t. The UK is permitted to transfer a maximum of 100% of 2021 Initial Quota to 2022. When the UK's carry over amount is combined with the UK's TAC for 2022 of 6.18t the figure for he adjusted quota for 2022 is 11.49t. </t>
  </si>
  <si>
    <t xml:space="preserve">2021: The EU transfers to the UK 434.04t of N.ALB quota for 2021 (circ. 4088/21). The UK OT's had previously carried over 53.75t. When combined the adjust quota for 2021 was 487.79 . </t>
  </si>
  <si>
    <t>2015-2022: 25t transferred to Mauritania</t>
  </si>
  <si>
    <t>(6)</t>
  </si>
  <si>
    <t>(6) Límite ajustado 2022 = Límite 2022 + Saldo 2021</t>
  </si>
  <si>
    <t xml:space="preserve">(1) Límite ajustado 2017 = Límite 2017 + Saldo 2016 </t>
  </si>
  <si>
    <t>=215+(MAX. 25% from 2020 quota= 13.27t)</t>
  </si>
  <si>
    <t>=215+(MAX. 25% from 2019 quota= 38.35t)</t>
  </si>
  <si>
    <t>le calcul du quota ajusté 2022 prend en compte le solde  MAX de 2021 (Limite 2021 * 0.2 = 417*0.2=83.4) auquel est ajouté la limite 2022 417 t) ce qui donne (83.4+417=500.4) t</t>
  </si>
  <si>
    <t>le calcul du quota ajusté 2021 prend en compte le solde  MAX de 2020 (Limite 2020 * 0.2 = 417*0.2=83.4) auquel est ajouté la limite 2021 417 t) ce qui donne (83.4+417=500.4) t</t>
  </si>
  <si>
    <t>2022: Initial Quota 2022 + CO from 2020 (25% 215t). When combined the adjust quota for 2022 was 496</t>
  </si>
  <si>
    <t>2023: The UK's catches in 2021 were 169.39. Consequently the UK has a remaining balance of 326.86t. The UK is allowed to carry over unused quota to 2023 at the max carry over rate of 25% of its IQ2021 (108.51). When the 25% is applied to the IQ2021 and the quota for 2023 is added, the adjusted quota for 2023 is 550.76</t>
  </si>
  <si>
    <t>2021: The EU transfers to the UK 0.67 quota for 2021 (circ. 4088/21). The UK OT's had previously carried over 15t (MAX. 40% IQ 2019). When combined the adjust quota for 2021 was 35+14+0.67</t>
  </si>
  <si>
    <t>IQ2021+MAX 40% IQ2019+ EU Transfer</t>
  </si>
  <si>
    <t>IQ2022+MAX 40% IQ2020+ EU Transfer</t>
  </si>
  <si>
    <t>2023:  The UK OT's had previously carried over 15t (MAX. 40% IQ 2021). When combined the adjust quota for 2023 is 35+14</t>
  </si>
  <si>
    <t>2022: The EU transfers to the UK 0.67 quota for 2022 (Rec. 21-02 Para 1). The UK OT's had previously carried over 15t (MAX. 40% IQ 2020). When combined the adjust quota for 2021 was 35+14+0.67</t>
  </si>
  <si>
    <t>EGYPT</t>
  </si>
  <si>
    <t>JAPAN-N-ALB:Japan's 2021 adjusted limit = BET 2021 catch * 4.5% (Para8 of Rec21-04)</t>
  </si>
  <si>
    <t>Japan´s 2022 adjusted limit = 842 t(Limit)+1400.81 t(2021 carry over(para 1C of Rec.21-02))-150 t(transfer to Morocco(para 1A) of Rec. 21-02)-35 t(transfer to Canada(para 1A of Rec. 21-02))-25 t(transfer to Mauritania(para 1A of Rec. 21-02)).</t>
  </si>
  <si>
    <t>JAPAN-BIGEYE:Japan's 2022 adjusted limit = 13868.00(Para 4 of Rec.21-01)+1397.9(2020 carry over(13979.84*10%)(Para12 of Rec21-01)-600(transfer to China (Footnote2 of Para.8  of Rec.21-01))-300(transfer to Europian Union (Footnote 2 of Para.8 of Rec.21-01))</t>
  </si>
  <si>
    <t>Limit 2023 + 25%  2021 limit</t>
  </si>
  <si>
    <t>The underharvest of the EU in 2021 was of 1766.56 t.  In line with Rec 16-07, the EU is entitled to carry over  367,5 t to 2023, corresponding to 25% of its initial quota for 2021.</t>
  </si>
  <si>
    <t>=9400+1699+85</t>
  </si>
  <si>
    <t>2022 adjusted quota is 11244.00 t (=9400+1699) due to the inclusion of 2020 underage and 2021 initial catch quota + 85t (Rec. 16-07 Para 4b) as complement from total underage from the TAC, where 85t  is what is left from the total underage from the TAC from 2020, minus the underages to be used by those CPCs wishing to do so</t>
  </si>
  <si>
    <t>IQ2022 + 2020 balance</t>
  </si>
  <si>
    <t>IQ2023 + 2021 balance</t>
  </si>
  <si>
    <t xml:space="preserve">De las 25.00 t de atún blanco del Atlántico Sur asignadas a Panamá para 2020, hubo una captura de 31.34 t, dando como resultado un excedente de 6.34t. El excedente fue saldado en 2021, ya que de las 25.00t asignadas para 2021, solo hubo una captura de 17.22t quedando un remanente preliminar para 2021 de 7.78t de las cuales se dedujo el excedente de 6.34t de 2020, quedando 2021 con un remanente de 1.44t. </t>
  </si>
  <si>
    <t>2011=95t+42t (No transfer to Canada for 2011)</t>
  </si>
  <si>
    <t>2012=95t+36.5t -86.50t ( transfer to CAN from 2012 quota) por Rec. 10-03</t>
  </si>
  <si>
    <t>2013=95t+52.90t (No transfer to Canada for 2013) por Rec.12-02</t>
  </si>
  <si>
    <t>2014=95t+95t-86.5t (transfer to Canada for 2014) por Rec. 13-09</t>
  </si>
  <si>
    <t>2015=108.98+52.50-86.50 (transfer to Canada for 2015) por Rec. 14-05</t>
  </si>
  <si>
    <t>2016=108.98+21.98-51.98 (transfer to Canada) por Rec. 14-05</t>
  </si>
  <si>
    <t>2017=108.98+23.98-55.98(transfer to Canada) por Rec. 16-08</t>
  </si>
  <si>
    <t>2018=128.44+42.98-73.98 (transfer to Canada) por Rec. 17-06</t>
  </si>
  <si>
    <t>2019=128.44+17.44-60.44 (transfer to Canada) por Rec. 17-06</t>
  </si>
  <si>
    <t>2020= 128.44+46.44-79.44 (transfer to Canada) por Rec. 17-06</t>
  </si>
  <si>
    <t>2021= 128.44+67.44-transfer to Canada (100.44t) por Rec. 20-06</t>
  </si>
  <si>
    <t>2016 = Initial allocation  + mexican transfer (51.98) - overharvest from 2015</t>
  </si>
  <si>
    <t>2017 = Initial allocation  + underharvest from 2016 + 55.98(transfer from MEX) Rec. 16-08</t>
  </si>
  <si>
    <t>2018 = Initial allocation +Mexican transfer (73.98) + underharvest from 2017 (MAX 10% IQ 2017)</t>
  </si>
  <si>
    <t>2019 = Initial allocation +Mexican transfer (60.44) + SPM transfer (9.62)+ underharvest from 2018 (53.06 = 10% of 2018 initial)</t>
  </si>
  <si>
    <t>2020 = Initial allocation +Mexican transfer (79.44) + SPM transfer (4.78)+ underharvest from 2019 (20.84)</t>
  </si>
  <si>
    <t>2021 = Initial allocation +Mexican transfer (100.44) + SPM transfer (4.78) + underharvest from 2020 (44.05)</t>
  </si>
  <si>
    <r>
      <rPr>
        <vertAlign val="superscript"/>
        <sz val="10"/>
        <rFont val="Cambria"/>
        <family val="1"/>
      </rPr>
      <t>1</t>
    </r>
    <r>
      <rPr>
        <sz val="10"/>
        <rFont val="Cambria"/>
        <family val="1"/>
      </rPr>
      <t xml:space="preserve"> Transfer from Japan</t>
    </r>
  </si>
  <si>
    <t>13.97+170</t>
  </si>
  <si>
    <t xml:space="preserve">The UK's quota for S.ATL ALB is 100t  for 2021. The UK's catches in 2021 were 0, consequently the UK has a remaining balance of 100t. The UK is allowed to carry over unused quota to 2023 at the max carry over rate of 25% of its year´s Initial Quota. When the 25% is applied to the IQ and the quota for 2023 is added the adjusted quota for 2023 is 145t. </t>
  </si>
  <si>
    <t>7 (A) = Limit 2022 + Carry over from Balance 2020 MAX. 10%3968.23 (396.82) Rec. 21-01 Para 12</t>
  </si>
  <si>
    <t>2020 catch limit for Ghana has been corrected from 3716.00 to 3968.23 as the former one was reported by Ghana applying a payback condoned in Rec. 18-01 para 2</t>
  </si>
  <si>
    <t>Quota ajustée 2024: 302,50 tonnes  = quota initial alloué au Maroc 2024 (242 t) + 60,50 tonnes ( reliquat= 25% du quota initial 2022 (242 tonnes) ). Rec ICCAT 21-04</t>
  </si>
  <si>
    <t>Quota ajustée 2020: 265 tonnes  = quota initial alloué au Maroc 2020 (215 t) + 50 tonnes ( reliquat= 25% du quota initial (200)). Recommandation ICCAT 17-04</t>
  </si>
  <si>
    <t>Quota ajustée 2021: 295,75 tonnes  = quota initial alloué au Maroc 2021 (242 t) + 53,75 tonnes ( reliquat= 25% du quota initial 2019 (215 tonnes) ). Rec ICCAT 17-04, 20-04</t>
  </si>
  <si>
    <t>Quota ajustée 2022: 295,75 tonnes  = quota initial alloué au Maroc 2022 (242 t) + 53,75 tonnes ( reliquat= 25% du quota initial 2020 (215 tonnes) ). Rec ICCAT 17-04, 20-04</t>
  </si>
  <si>
    <t>Quota ajustée 2023: 302,50 tonnes  = quota initial alloué au Maroc 2023 (242 t) + 60,50 tonnes ( reliquat= 25% du quota initial 2021 (242 tonnes) ). Rec ICCAT 21-04</t>
  </si>
  <si>
    <t>QI</t>
  </si>
  <si>
    <t>QI +18,81</t>
  </si>
  <si>
    <t xml:space="preserve">Quota ajusté 2024:  quota initial alloué au Maroc lors de la prochaine session annuelle de l'ICCAT en novembre 2023 + 18,81 (15% du quota initail) de sousconsommation de 2022 </t>
  </si>
  <si>
    <t>Quota ajustée 2018 : 900 tonnes = 950 (quota initial 850+100 tranféré du japon) - 50 de surconsommation de 2016</t>
  </si>
  <si>
    <t>Quota ajustée 2019: 1000 tonnes = quota initial alloué au Maroc 2019 (850t)+ 100t (transférées par le Japon au Maroc) + 50 de sousconsommation de 2017</t>
  </si>
  <si>
    <t>Quota ajustée 2020: 995 tonnes = quota initial alloué au Maroc 2020 (850t) + 150t (transférées par le Japon au Maroc)+20t (transférée par le Taipei Chinois)+ 25t (transférée par le Trinité-et-Tobago) - 50 de surconsommation de 2018</t>
  </si>
  <si>
    <t>Quota ajustée 2021: 1095 tonnes = quota initial alloué au Maroc 2020 (850t) + 150t (transférées par le Japon au Maroc)+20t (transférée par le Taipei Chinois)+ 25t (transférée par le Trinité-et-Tobago) + 50 de sousconsommation de 2019</t>
  </si>
  <si>
    <t>Quota ajusté 2022: 1104,18 tonnes = quota initial alloué au Maroc (850t)+ 150t (transférées par le Japon au Maroc)+20t (transférée par le Taipei Chinois)+ 25t (transférée par le Trinité-et-Tobago) + 59,18 (15% du quota initail) de sousconsommation de 2020</t>
  </si>
  <si>
    <t>Quota ajusté 2023:  1172,50 tonnes = quota initial alloué au Maroc (850t) + 127,50 (15% du quota initail) de sousconsommation de 2021+ 150t (transférées par le Japon au Maroc)+20t (transférée par le Taipei Chinois)+ 25t (transférée par le Trinité-et-Tobago) . Rec ICCAT 21-02</t>
  </si>
  <si>
    <t>Quota ajustée 2023: 3703 tonnes = quota initial alloué au Maroc 2023 (3700 t) + 3 tonnes (reliquat de l'année 2022) Rec. 22-08</t>
  </si>
  <si>
    <t>Quota ajustée 2020: 3488.62 = quota initial alloué au Maroc 2020 (3284 t) + 204.62 t (transféré par l'Egypte au Maroc). Recommandation ICCAT 19-04</t>
  </si>
  <si>
    <t>Quota ajustée 2021: 3318,91 tonnes = quota initial alloué au Maroc 2020 (3284 t) + 34,91 tonnes (reliquat de l'année 2020). Rec. 20-07</t>
  </si>
  <si>
    <t>Quota ajustée 2022: 3568,27 tonnes = quota initial alloué au Maroc 2020 (3284 t) + 24,65 tonnes (reliquat de l'année 2021) transfert de l'Egypte (259,62 tonnes) Rec. 21-08</t>
  </si>
  <si>
    <t>Quota ajustée 2024: -02 tonnes = quota initial alloué au Maroc 2021 (10t) -12 tonnes (surconsommation). Recommandation ICCAT 19-05/para 3 amendant la Rec 15-05</t>
  </si>
  <si>
    <t>Quota ajustée 2020: -42 tonnes = quota initial alloué au Maroc 2020 (10t) - 52 t (surconsommation). Recommandation ICCAT 19-05/para 3 amendant la Rec 15-05</t>
  </si>
  <si>
    <t>Quota ajustée 2021: -32 tonnes = quota initial alloué au Maroc 2021 (10t) - 42 tonnes (surconsommation). Recommandation ICCAT 19-05/para 3 amendant la Rec 15-05</t>
  </si>
  <si>
    <t>Quota ajustée 2022: -22 tonnes = quota initial alloué au Maroc 2022 (10t) - 32 tonnes (surconsommation). Recommandation ICCAT 19-05/para 3 amendant la Rec 15-05</t>
  </si>
  <si>
    <t>Quota ajustée 2023: -12 tonnes = quota initial alloué au Maroc 2023 (10t) -22 tonnes (surconsommation). Recommandation ICCAT 19-05/para 3 amendant la Rec 15-05</t>
  </si>
  <si>
    <t>According to Recommendation 21-08 paragraph 5, Norway was initially  allocated a quota of 300 tonnes eastern BFT in 2022. Referring to Recommendation 21-08 Paragraph 7, Norway requested in panel 2 to transfer a maximum of 5 % of its 2021 quota to 2022. A total of 157,68 tonnes of the Adjusted Norwegian catch quota (315 tonnes) was utilised in 2021, and 15 tonnes (5 % of 300 tonnes) may, according to Paragraph 7, be transferred to 2022.</t>
  </si>
  <si>
    <t>According to Recommendation 20-07 paragraph 1, Norway was initially  allocated a quota of 300 tonnes eastern BFT in 2021. Referring to Recommendation 20-04 Paragraph 2, Norway requested in panel 2 to transfer a maximum of 5 % of its 2020 quota to 2021. A total of 194.39 tonnes of the Adjusted Norwegian catch quota (311.95 tonnes) was utilised in 2020, and 15 tonnes (5 % of 300 tonnes) may, according to Paragraph 2, be transferred to 2021.</t>
  </si>
  <si>
    <t>ALBANIA</t>
  </si>
  <si>
    <t>Q2022+5%Q2021=170+0.05*170</t>
  </si>
  <si>
    <t>2022: Current catches for the year 2021 were 148.4 ton (underharvest) and we used the total amount of 5% of the quota of previues year (8.5 t). 1t dedicated to bycacth aacording to Albania´s 2022 BFTE Fishing plan</t>
  </si>
  <si>
    <t>REC: 17-04, 21-04</t>
  </si>
  <si>
    <t>IQ2019+25%Q2017</t>
  </si>
  <si>
    <t>IQ2020+25%Q2018</t>
  </si>
  <si>
    <t>IQ2021+25%Q2019</t>
  </si>
  <si>
    <t>IQ2022+25%Q2020</t>
  </si>
  <si>
    <t>IQ2023+25%Q2021</t>
  </si>
  <si>
    <t>RECs: 17-02, 19-03,21-02,22-03</t>
  </si>
  <si>
    <t>Belize is carrying forward 25% of its initial catch limit (60.5t) from its balance of 283.42t in 2022 to be used in 2024</t>
  </si>
  <si>
    <t>*Belize is carrying forward 25% of its initial balance (62.5 t) from its balance of 281.66 in 2021 to be used in 2023</t>
  </si>
  <si>
    <t>*Belize is carrying forward 40% of its initial limit (52 t) from its initial balance of 163 t in 2021 to be used in 2023. Transfer of 75 t from Trinidad and Tobago to Belize</t>
  </si>
  <si>
    <t>*Belize is carrying forward 40% of its initial limit (52 t) from its initial balance of 187.26 t in 2022 to be used in 2024. Transfer of 75 t from Trinidad and Tobago to Belize</t>
  </si>
  <si>
    <t>*Belize is carrying forward 20% of its initial limit (25 t) from its balance of 245.92 t in 2021 to be used in 2023.Transfer of 25 t from USA to Belize. Transfer of 50 t from Brazil to Belize.Transfer of 50 t from Uruguay to Belize</t>
  </si>
  <si>
    <t>*Belize is carrying forward 20% of its initial limit (25 t) from its balance of 274.94 t in 2022 to be used in 2024.Transfer of 25 t from USA to Belize. Transfer of 50 t from Brazil to Belize.Transfer of 50 t from Uruguay to Belize</t>
  </si>
  <si>
    <t>2023 = Initial allocation + transfers (from Senegal 125t, Japan 35t, Chinese Taipe 35t, and the EU 327t) + underage from 2021 (202.2t - max. carry forward)</t>
  </si>
  <si>
    <t>2022 = Initial allocation + Mexican transfer (60) + SPM transfer (4.78) + underharvest from 2021 (51.33)</t>
  </si>
  <si>
    <t>Adjusted limited for 2023=242(initial quota)+4.43(carryover 2021)=246.43</t>
  </si>
  <si>
    <t>Adjusted limit for 2023=initial quota(240)+200*25%(not exceeding the balance of 2021)=290</t>
  </si>
  <si>
    <t>Adjusted limit for 2023=initial quota(100)+available balance of 2021 (100*15%=15t)=115t</t>
  </si>
  <si>
    <t>Adjusted limit for 2023=initial quota(313)+313*10%(carryover 2021)= 344.3</t>
  </si>
  <si>
    <t>Adjusted limite for 2023=initial quota(4426.38)+4390.69*10%+600 ton transfer from Japan=5465.45</t>
  </si>
  <si>
    <t>According to Rec. 19-05 Para 3c): “Starting with 2020 catches, any underharvest by a CPC of its annual landings limit may not be carried forward to a subsequent year.”</t>
  </si>
  <si>
    <t>2023 adjusted quota is 5321.13 t (=4416.9+4416.9*0.25-200)  due to the inclusion of 2021 underage and 2023 initial catch quota and the deduction of transfers of 200 t to Belize.</t>
  </si>
  <si>
    <t>=4416.9+4416.9*0.25-200</t>
  </si>
  <si>
    <t xml:space="preserve">2023 adjusted quota is 323 t (=270+270*40%-35-20) due to the inclusion of 2021 underage and 2023 initial catch quota and the deduction of respective transfers of 35 t to Canada and 20 t to Morocco. </t>
  </si>
  <si>
    <t>=459+459*10%</t>
  </si>
  <si>
    <t>2023 adjusted quota is 504.9 t (=459 + 459*10%) due to the inclusion of 2022 underage and 2023 initial catch quota.</t>
  </si>
  <si>
    <t>=101-50</t>
  </si>
  <si>
    <t>2023 adjusted quota is 51 t (=101-50) due to the transfer of 50t to Korea.</t>
  </si>
  <si>
    <t>=9078.79+(11679*10%)+223</t>
  </si>
  <si>
    <t>=9152.6+(9226.41*10%)+223</t>
  </si>
  <si>
    <t>=9152.6+(9078.79*10%)+223</t>
  </si>
  <si>
    <t>2023 adjusted quota is 10283.48 t = 9152.6 (initial quota) +9078.79*10% (carry over of 10% of 2021 initial quota pursuant to Rec.22-01) +223 (transfer from Korea).</t>
  </si>
  <si>
    <t>Límite ajustado para 2023 = 242 + 60,5 = 302,50 t</t>
  </si>
  <si>
    <t>[8]</t>
  </si>
  <si>
    <t>[8]= Límite de 2023 + balance de 2022</t>
  </si>
  <si>
    <t xml:space="preserve">** Durante los años anteriores a 2020, El Salvador no estaba sujeto a límite (Rec. 16-01, Par 34.a), sino a una expectativa de pesca, por ello No Aplica los límites, limites ajustados ni saldos. Para el año 2020 (Rec. 19-02) se reconoce un límite.																										</t>
  </si>
  <si>
    <t>* De acuerdo a la Rec. 19-02 Para 3 el TAC de BET se reduce de 62500t en 2020 a 61500t en 2021, esto representa una disminución del 1.6%. La Secretaría ha aplicado esta reducción a todas las cuotas/límites de captura/umbrales calculados para 2020 con el fin de obtener los valores proporcionales para 2021.</t>
  </si>
  <si>
    <t>2022(***)</t>
  </si>
  <si>
    <t>*** De conformidad con el párrafo 3 de la Rec. 21-01 el TAC de patudo se reduce, pasando de 62.500 t en 2020 a 62.000 t en 2022, esto representa una disminución del 0.8 %. La Secretaría ha aplicado esta reducción a todas las cuotas/límites de captura calculados para 2020 con el fin de obtener los valores proporcionales para 2022.</t>
  </si>
  <si>
    <t>=215+(MAX. 25% from 2021 quota= 13.27t)</t>
  </si>
  <si>
    <t>50+(0.4*50)</t>
  </si>
  <si>
    <t>The applied methodology is described in Recs. 13-05, 16-06, 17-04, 20-03/04, 21-04</t>
  </si>
  <si>
    <t>The applied methodology is described in Recs. 13-06, 16-07, 20-05, 21-05, 22-06</t>
  </si>
  <si>
    <t>The applied methodology is described in Recs. 16-03, 17-02, 19-03, 20-02, 21-02, 22-03</t>
  </si>
  <si>
    <t>The applied methodology is described in Recs. 15-03, 16-04, 17-03, 21-03, 22-04</t>
  </si>
  <si>
    <t>2 : limite 2015 + 25% quota de capture initial 2014 (REC 11-04 et REC 13-05)</t>
  </si>
  <si>
    <t>3 : limite 2016 + 25% quota de capture initial 2015 (REC 13-05)</t>
  </si>
  <si>
    <t>4 : limite 2017 + 25% quota de capture initial 2016 (REC 13-05 et REC 16-06)</t>
  </si>
  <si>
    <t>5 : limite 2018 + 25% quota de capture initial 2017 (REC 16-06 et REC 17-04)</t>
  </si>
  <si>
    <t>6 : limite 2019 + 25% quota de capture initial 2018 (REC 16-06 et REC 17-04)</t>
  </si>
  <si>
    <t>7 : limite 2020 + 25% quota de capture initial 2019 (REC 16-06 et REC 17-04)</t>
  </si>
  <si>
    <t>8 : limite 2021 + 25% quota de capture initial 2020 (REC 20-03)</t>
  </si>
  <si>
    <t>9 : limite 2022 + 25% quota de capture initial 2021 (REC 20-03)</t>
  </si>
  <si>
    <t>10 : limite 2023 + 25% quota de capture initial 2022 (REC 20-03)</t>
  </si>
  <si>
    <t>9:  limite 2023+ 100% allocation de quota initiale (MAX Solde 2022=3.46) - CAN transfer (5.18t)  = 6.18+3.46-5.18= 4.46</t>
  </si>
  <si>
    <t>242+(242*0.25)</t>
  </si>
  <si>
    <t>2022= 149.34+33.44-transfer to Canada (60t) por Rec. 21-07</t>
  </si>
  <si>
    <t>JAPAN-N-ALB:Japan's 2022 adjusted limit = BET 2022 catch * 4.5% (Para8 of Rec21-04)</t>
  </si>
  <si>
    <t>JAPAN-S-ALB: 2023 adjusted limit = 1,630t(Limit)+206.15t(2021 carry over (para 4 of Rec. 22-06))+100(transfer from Brazil (para 3 of Rec. 22-06))+100(transfer from Uruguay(para 3 of Rec. 22-06))+100(transfer from South Africa (para 3 of Rec. 22-06))</t>
  </si>
  <si>
    <t>Japan’s 2023 adjusted limit (632 t) is tentative and will be adjusted after confirming the underage in the 2018 to 2022 management period (para 1C of Rec.22-03) (632 t = 842 t(Limit)-150 t(transfer to Morocco(para 1A) of Rec. 22-03)-35t (transfer to Canada(para 2 of Rec. 17-02))-25 t(transfer to Mauritania(para 2 of Rec. 17-02)).</t>
  </si>
  <si>
    <t>JAPAN-S-SWO:Japan's 2023 adjusted limit  = 901t(Limit)+600.00t(2021 carry over(Para1(2) of Rec22-04))-50t(transfer to Namibia(Para5 of Rec.17-03))</t>
  </si>
  <si>
    <t>JAPAN-E-BFT:Japan's 2023 adjusted limit = 3114.00t(Limit)(Para4 of Rec22-08)+44.4t(2022 carry over (Para6 of Rec 22-08))</t>
  </si>
  <si>
    <t>JAPAN-W-BFT:Japan's 2022 adjusted limit = 664.52t(Limit)+0.73t(2021 carry over(Para7a of Rec17-06 )</t>
  </si>
  <si>
    <t>JAPAN-W-BFT:Japan's 2023 adjusted limit = 664.52t(Limit)+7.45t(2022 carry over(Para6a of Rec22-10 )</t>
  </si>
  <si>
    <t>JAPAN-BIGEYE:Japan's 2023 adjusted limit = 13868.00(Para 4 of Rec.21-01)+1375.61 (2021 carry over(13756.16*10%)(Para12 of Rec21-01)-600(transfer to China (Footnote2 of Para.8  of Rec.22-01))-300(transfer to Europian Union (Footnote 2 of Para.8 of Rec.22-01))</t>
  </si>
  <si>
    <t>JAPAN-BUM:Japan's 2023 adjusted limit = 328.1t(Limit)(Para2 of Rec19-05)</t>
  </si>
  <si>
    <t>JAPAN-WHM・SPF:Japan's 2023 adjusted limit =35t(Limit)(Para2 of Rec19-05)</t>
  </si>
  <si>
    <t>JAPAN-N-BSH: current catch for 2021 includes  21.9t of dead discard.</t>
  </si>
  <si>
    <t>JAPAN-N-BSH:Japan's 2022 adjusted limit = 4,010t(Para1 of Rec21-10)</t>
  </si>
  <si>
    <t>JAPAN-N-BSH:Japan's 2023 adjusted limit = 4,010t(Para1 of Rec21-10)</t>
  </si>
  <si>
    <t>* Adjusted limit 2023 = initial limit 2023 (5280) + available balance 2021(not to exceed 25% of initial quota) (674.61) -100t transferred to JPN</t>
  </si>
  <si>
    <t>URUGUAY</t>
  </si>
  <si>
    <t>* Adjusted limit 2023 = initial limit 2023 (530) + available balance 2021(not to exceed 25% of initial quota) (110) - 100t transferred to JPN</t>
  </si>
  <si>
    <t>2023: IQ2023 + 25% MAX2020 - 100t transferred to JPN</t>
  </si>
  <si>
    <t>2600+(0.25*2160)-100</t>
  </si>
  <si>
    <t>(242*0.25)+242</t>
  </si>
  <si>
    <t>2023**</t>
  </si>
  <si>
    <t>**Underage up to 20% of the initial catch quota has been carried over biennially Rec.17-03. Quota calculated from 2018 to 2022</t>
  </si>
  <si>
    <t>Rec.22-04 the maximum underage that a party may carryover in any given year shall not exceed 10%of the quota of the previous year.</t>
  </si>
  <si>
    <t>50+(50*0.1)</t>
  </si>
  <si>
    <t>Rec 22-08 para 4 : Depending on availability, Chinese Taipai may transfer up to 50t of its quota to Korea in 2023 to 2025.</t>
  </si>
  <si>
    <t>Korea carried forward its unused quota of 2022(7.72t) to 2023 which is under 5% of 2022 quota (Rec 22-08 Para 6)</t>
  </si>
  <si>
    <t>200+50+7.72</t>
  </si>
  <si>
    <t>Rec.22-01 para12:underage of an annual catch limit in 2021 shall be added to their 2023 annual catch limit, subject to 10% of initial quota restrictions</t>
    <phoneticPr fontId="7" type="noConversion"/>
  </si>
  <si>
    <t>* Information and explanation regarding Korea`s 2023 catch limit are available in Document PA1_11 and PA1_35, submitted for the March PA1 meeting in 2023.</t>
    <phoneticPr fontId="7" type="noConversion"/>
  </si>
  <si>
    <t>(984*0.10)+992 - 223</t>
  </si>
  <si>
    <t>From 2016 to 2023, USA has transferred 50t to Namibia in accordance with Rec. 16-04/17-03.</t>
  </si>
  <si>
    <t>=1168+20%1168+50</t>
  </si>
  <si>
    <t>=1168+10%1168+50</t>
  </si>
  <si>
    <t>Underage up to 10% of the initial catch quota has been carried over biennially Rec.22-04. Quota calculated from 2023 on</t>
  </si>
  <si>
    <t>=3600+25%3600</t>
  </si>
  <si>
    <t>=4320+25%3600</t>
  </si>
  <si>
    <t>2023*</t>
  </si>
  <si>
    <t>2024*</t>
  </si>
  <si>
    <t>2025*</t>
  </si>
  <si>
    <t>*Rec 22.06 para 5: Overharvest in 2022 deducted in 2024 and no underages can be carried over from 2023 to 2025</t>
  </si>
  <si>
    <t>=4320 - overharvest 2022</t>
  </si>
  <si>
    <t>no carry over from 2023 due to overharvest 2022</t>
  </si>
  <si>
    <t>[7] = 2023 limit + 2022 Balance</t>
  </si>
  <si>
    <t>Limite ajustee 2022 = Limite 2022 + max. Solde (Limite 2021*0.4) -transfert Canada (125 t+25 t) = 250 + (250 * 0.4) -150= 200 t</t>
  </si>
  <si>
    <t>Limite ajustee 2023 = Limite 2023 + max. Solde (Limite 2022*0.4) -transfert Canada (125 t) = 250 + (250 * 0.4) -125= 200 t</t>
  </si>
  <si>
    <t>le calcul du quota ajusté 2023 prend en compte le solde  MAX de 2022 (Limite 2022 * 0.1 = 417*0.1=41.7) auquel est ajouté la limite 2023 417 t) ce qui donne (41.7+417=458.7) t</t>
  </si>
  <si>
    <t>2023: The 2022 underage is greater than the maximum amount that can be carried over to 2023 (&lt;= 40% of original catch limit); hence the amount carried over is 50 t (0.4*125).
Additionally, 75 t and 25 t were transferred to Belize and Morocco respectively; hence 100 is subtracted from the sum of the initial catch limit and the allowed carry over, to arrive at the final adjusted limit of 75 t.</t>
  </si>
  <si>
    <t>8(A)=IQ2023+2t EU transfer provided by Rec. 19-05.</t>
  </si>
  <si>
    <t>Pour l'année 2023 le quota ajusté est de 3020  ( le quota initial 3000T+quota non consommé  des prises accessoires 2022 (20T)</t>
  </si>
  <si>
    <t>(7)</t>
  </si>
  <si>
    <t>(7) Límite ajustado 2023 = Límite 2023 + Saldo 2022</t>
  </si>
  <si>
    <t>IQ2024+MAX 25% IQ2022</t>
  </si>
  <si>
    <t xml:space="preserve">2024: The UK's adjusted quota for N.ATL SWO is 49.67t in 2022. The UK's catches in 2022 were 3.35t. The UK will bank 40% (14.27t) of IQ in 2022 and carry this over to 2024. Therefore the adjusted limit in 2024 is 49.94t. </t>
  </si>
  <si>
    <t>IQ2024+MAX 40% IQ2022</t>
  </si>
  <si>
    <t>=IQ2024+MAX. 0.20*IQ2022</t>
  </si>
  <si>
    <t xml:space="preserve">2024: The UK's quota for S.ATL SWO is 25t  for 2022. The UK's catches in 2022 were 0t, consequently the UK has a remaining balance of 25t. The UK is permitted to transfer a maximum of 20% of unused quota to 2024. When the 20% is applied to the IQ2022 and the quota for 2024 is added, the adjusted quota for 2024 is 30t. </t>
  </si>
  <si>
    <t>IQ2022+Max5%IQ2021</t>
  </si>
  <si>
    <t>IQ2023+Max5%IQ2022</t>
  </si>
  <si>
    <t>IQ2024+Max5%IQ2023</t>
  </si>
  <si>
    <t xml:space="preserve">2023: The UK's IQ in 2023 is 63t. The UK's catches in 2022 were 4.61t,. The UK wants to carry over 5% of 2022 quota to 2023. Thus the UK's adjusted limit in 2023 is 65.42t. </t>
  </si>
  <si>
    <t>IQ2022+MAX100%IQ2021</t>
  </si>
  <si>
    <t>IQ2023+MAX100%IQ2022</t>
  </si>
  <si>
    <t>IQ2024+MAX100%IQ2023</t>
  </si>
  <si>
    <t xml:space="preserve">2023: The UK's quota for W.BFT for 2023 is 6.18. The UK's catches in 2022 were 0.t . The UK is permitted to transfer a maximum of 100% of 2022 Initial Quota to 2023. When the UK's carry over amount is combined with the UK's TAC for 2023. The adjusted quota for 2023 is 12.36t. </t>
  </si>
  <si>
    <t>TÜRKIYE</t>
  </si>
  <si>
    <t>ALBMed</t>
  </si>
  <si>
    <t>(*)</t>
  </si>
  <si>
    <t>(*) Türkiye transfers to EU 75 t in 2023, 75 t in 2024 and for the following years, any part of the ünüsed qüota üp to maximüm of 75 t.</t>
  </si>
  <si>
    <t>Adjusted limit for 2023 = 711.5  + (.25)(711.5) = 889.38</t>
  </si>
  <si>
    <t>Adjusted limit for 2023 = 3907.0 + (0.15)(3907) = 4493.05 t</t>
  </si>
  <si>
    <t>Adjusted limit for 2023 = 100.0 - (100 t (Namibia (50 t), Cote d'Ivoire (25 t), Belize (25 t)) + 100.0</t>
  </si>
  <si>
    <t>Adjusted limit for 2023 = 1341.14 + 106.54 = 1447.68 t****</t>
  </si>
  <si>
    <t>Initial quota/catch limit includes 25 t allocation for by-catch, as per Rec. 16-08 para 6a, Rec. 17-06 para 6a, Rec. 20-06 Para 1(4), Rec. 21-07 Para 1(D), and Rec. 22-10 para 5a.</t>
  </si>
  <si>
    <t>=10340+1005</t>
  </si>
  <si>
    <t>2023 adjusted quota is 11345.00 t (=10340+1005) due to the inclusion of 2021 underage and 2023 initial catch quota + 0 t (Rec. 22-06 Para 4b) as complement from total underage from the TAC</t>
  </si>
  <si>
    <t xml:space="preserve">In 2020 the underharvest for the EU was of 325,97 t, which is less than the maximum allowed 5% provided in Rec 19-04. Therefore, the EU is entitled to carry over  325,97 t to 2021. </t>
  </si>
  <si>
    <t>Limit 2021 + MAX5% 2020 (325.97) - 48.40 to UK</t>
  </si>
  <si>
    <t>Limit 2022 + MAX5% 2021 (573.90) - 48.40 to UK</t>
  </si>
  <si>
    <t>In Addition, the EU will transfer to United Kingdom 0,25% of its initial quota (corresponding to 19360 t) in 2021 and 2022. (48.40t)</t>
  </si>
  <si>
    <t xml:space="preserve">In 2021 the underharvest for the EU was of 573.90 t, which is less than the maximum allowed 5% provided in Rec 19-04. Therefore, the EU is entitled to carry over  573.90 t to 2022 if the current management arrangments are maintained. In Addition, the EU will transfer to United Kingdom 48,40t in 2022. </t>
  </si>
  <si>
    <t>Limit 2023+limit 2021*0,10</t>
  </si>
  <si>
    <t>In 2021 the underharvest for the EU was of 548,06 t, which is greater than the maximum allowed 10% provided in Rec 22-04. Therefore, the EU is entitled to carry over  482.4 t to 2023</t>
  </si>
  <si>
    <t>Limit 2023 +  10% Limit 2021</t>
  </si>
  <si>
    <t>2023 Limit - 2t</t>
  </si>
  <si>
    <t>The calculation of the adjusted quota for 2022 and 2023 takes into account the transfer of 2 t to Trinidad &amp; Tobago as provided by Rec. 19-05.</t>
  </si>
  <si>
    <t>50 + Balance 2020</t>
  </si>
  <si>
    <t>50 + Balance 2021</t>
  </si>
  <si>
    <t xml:space="preserve">
**Underage up to 40% of the initial catch quota has been carried over biennially Rec.17-02. Quota calculated from 2018 on</t>
  </si>
  <si>
    <t>In 2022 the underharvest for the EU was of 786.67 t, which is less than the maximum allowed 5% provided in Rec 21-08. Therefore, the EU is entitled to carry over  786.67 t to 2023 if the current management arrangments are maintained.</t>
  </si>
  <si>
    <t>Limit 2023 + MAX5% 2022 (786.67)</t>
  </si>
  <si>
    <t>2023 = Initial allocation + SPM transfer (5.18) + underharvest from 2022 (39.59) + Mexican transfer (60t)</t>
  </si>
  <si>
    <t>2023= 149.34+62.78-transfer to Canada (60t) por Rec. 22-10</t>
  </si>
  <si>
    <t>JAPAN-S-ALB: 2024 adjusted limit = 1,630t(Limit) - overharvest 2022 (47.45)</t>
  </si>
  <si>
    <t>JAPAN-BUM:Japan's 2024 adjusted limit = 328.1t - overharvest 2022</t>
  </si>
  <si>
    <r>
      <t>The underharvest of the EU in 2021 is of 1862,1 t, which corresponds to more than 15% of its 2021 initial catch limit (1007.7t). In line with Rec. 17-02 the EU can carry over 1007.7 t to 2023 if current management arrangments are maintained. The adjusted limit for 2023 takes also into account the transfers to Canada (327t)</t>
    </r>
    <r>
      <rPr>
        <strike/>
        <sz val="10"/>
        <color rgb="FFFF0000"/>
        <rFont val="Cambria"/>
        <family val="1"/>
      </rPr>
      <t>, and S. Pierre et Miquelon (40 t)</t>
    </r>
    <r>
      <rPr>
        <sz val="10"/>
        <color rgb="FFFF0000"/>
        <rFont val="Cambria"/>
        <family val="1"/>
      </rPr>
      <t xml:space="preserve"> as provided for in Rec 17-02. </t>
    </r>
  </si>
  <si>
    <r>
      <t>2023 limit + 0,15*2021 limit</t>
    </r>
    <r>
      <rPr>
        <strike/>
        <sz val="10"/>
        <color rgb="FFFF0000"/>
        <rFont val="Cambria"/>
        <family val="1"/>
      </rPr>
      <t xml:space="preserve"> - 40t SPM</t>
    </r>
    <r>
      <rPr>
        <sz val="10"/>
        <color rgb="FFFF0000"/>
        <rFont val="Cambria"/>
        <family val="1"/>
      </rPr>
      <t xml:space="preserve"> -327 CAN</t>
    </r>
  </si>
  <si>
    <r>
      <t>9 : limite 2023 + 40% limite de capture initiale (Rec.16-03)</t>
    </r>
    <r>
      <rPr>
        <strike/>
        <sz val="10"/>
        <color rgb="FFFF0000"/>
        <rFont val="Cambria"/>
        <family val="1"/>
      </rPr>
      <t xml:space="preserve"> + 40 tonnes transférées de l'Union Européenne (REC 17-02)</t>
    </r>
    <r>
      <rPr>
        <sz val="10"/>
        <color rgb="FFFF0000"/>
        <rFont val="Cambria"/>
        <family val="1"/>
      </rPr>
      <t>=40+(40*0.4)</t>
    </r>
    <r>
      <rPr>
        <strike/>
        <sz val="10"/>
        <color rgb="FFFF0000"/>
        <rFont val="Cambria"/>
        <family val="1"/>
      </rPr>
      <t>+40</t>
    </r>
    <r>
      <rPr>
        <sz val="10"/>
        <color rgb="FFFF0000"/>
        <rFont val="Cambria"/>
        <family val="1"/>
      </rPr>
      <t>=96</t>
    </r>
  </si>
  <si>
    <t>2024: For 2024 the UK's intial quota is 442.5t of N.ALB. The UK's catches in 2022 were 125.35. Consequently the UK has a remaining balance of 370.65t. The UK is allowed to carry over unused quota to 2024 at the max carry over rate of 25% of its IQ2022 (110.56). When the 25% is applied to the IQ2022 and the quota for 2024 is added, the adjusted quota for 2024 is 552.81</t>
  </si>
  <si>
    <t>2023 adjusted limit: Egypt intends to transfer 507.87 ton from its quota to Türkiye</t>
  </si>
  <si>
    <t>= 140 + MAX 25% IQ 2020</t>
  </si>
  <si>
    <t>= 170 + MAX 25% IQ 2021</t>
  </si>
  <si>
    <t>[6]= Límite de 2022 + 125% BALANCE de 2021</t>
  </si>
  <si>
    <t>[7]= Límite de 2023 + 125% BALANCE de 2022</t>
  </si>
  <si>
    <t>[2]= Límite de 2018 + balance de 2017</t>
  </si>
  <si>
    <t>[3]= Límite de 2019 + balance de 2018</t>
  </si>
  <si>
    <t>[4]= Límite de 2020 + balance de 2019</t>
  </si>
  <si>
    <t>[5]= Límite de 2021 + BALANCE de 2020</t>
  </si>
  <si>
    <t>[1]= Límite de 2022 + 125% BALANCE de 2021</t>
  </si>
  <si>
    <t>[2]= Límite de 2023 + BALANCE de 2022</t>
  </si>
  <si>
    <t>[6] = 2022 limit + 125% 2021 Balance</t>
  </si>
  <si>
    <t>[7] = 2023 limit + 125% 2022 Balance</t>
  </si>
  <si>
    <t>SAO TOMÉ AND PRÍNCIPE</t>
  </si>
  <si>
    <r>
      <t>Data obtained from Task 1 whenever no data was reported in the Compliance Tables are shown in</t>
    </r>
    <r>
      <rPr>
        <sz val="11"/>
        <color theme="1"/>
        <rFont val="Calibri Light"/>
        <family val="1"/>
        <scheme val="major"/>
      </rPr>
      <t xml:space="preserve"> </t>
    </r>
    <r>
      <rPr>
        <b/>
        <sz val="11"/>
        <color theme="1"/>
        <rFont val="Calibri Light"/>
        <family val="1"/>
        <scheme val="major"/>
      </rPr>
      <t>bold</t>
    </r>
    <r>
      <rPr>
        <b/>
        <sz val="10"/>
        <color theme="1"/>
        <rFont val="Calibri Light"/>
        <family val="1"/>
        <scheme val="major"/>
      </rPr>
      <t xml:space="preserve"> / </t>
    </r>
    <r>
      <rPr>
        <sz val="10"/>
        <color theme="1"/>
        <rFont val="Calibri Light"/>
        <family val="1"/>
        <scheme val="major"/>
      </rPr>
      <t xml:space="preserve">Les données obtenues dans le cadre de la tâche 1 lorsqu'aucune donnée n'a été déclarée dans les tableaux d’application figurent en </t>
    </r>
    <r>
      <rPr>
        <b/>
        <sz val="11"/>
        <color theme="1"/>
        <rFont val="Calibri Light"/>
        <family val="1"/>
        <scheme val="major"/>
      </rPr>
      <t>gras</t>
    </r>
    <r>
      <rPr>
        <sz val="10"/>
        <color theme="1"/>
        <rFont val="Calibri Light"/>
        <family val="1"/>
        <scheme val="major"/>
      </rPr>
      <t xml:space="preserve"> / En </t>
    </r>
    <r>
      <rPr>
        <b/>
        <sz val="11"/>
        <color theme="1"/>
        <rFont val="Calibri Light"/>
        <family val="1"/>
        <scheme val="major"/>
      </rPr>
      <t>negrita</t>
    </r>
    <r>
      <rPr>
        <sz val="10"/>
        <color theme="1"/>
        <rFont val="Calibri Light"/>
        <family val="1"/>
        <scheme val="major"/>
      </rPr>
      <t xml:space="preserve"> datos obtenidos de Tarea I cuando no se han reportado datos en las tablas de Cumplimiento</t>
    </r>
  </si>
  <si>
    <r>
      <t>Data obtained from Task 1 whenever no data was reported in the Compliance Tables are shown in</t>
    </r>
    <r>
      <rPr>
        <sz val="11"/>
        <color theme="1"/>
        <rFont val="Cambria"/>
        <family val="1"/>
      </rPr>
      <t xml:space="preserve"> </t>
    </r>
    <r>
      <rPr>
        <b/>
        <sz val="11"/>
        <color theme="1"/>
        <rFont val="Cambria"/>
        <family val="1"/>
      </rPr>
      <t>bold</t>
    </r>
    <r>
      <rPr>
        <b/>
        <sz val="10"/>
        <color theme="1"/>
        <rFont val="Cambria"/>
        <family val="1"/>
      </rPr>
      <t xml:space="preserve"> / </t>
    </r>
    <r>
      <rPr>
        <sz val="10"/>
        <color theme="1"/>
        <rFont val="Cambria"/>
        <family val="1"/>
      </rPr>
      <t xml:space="preserve">Les données obtenues dans le cadre de la tâche 1 lorsqu'aucune donnée n'a été déclarée dans les tableaux d’application figurent en </t>
    </r>
    <r>
      <rPr>
        <b/>
        <sz val="11"/>
        <color theme="1"/>
        <rFont val="Cambria"/>
        <family val="1"/>
      </rPr>
      <t>gras</t>
    </r>
    <r>
      <rPr>
        <sz val="10"/>
        <color theme="1"/>
        <rFont val="Cambria"/>
        <family val="1"/>
      </rPr>
      <t xml:space="preserve"> / En </t>
    </r>
    <r>
      <rPr>
        <b/>
        <sz val="11"/>
        <color theme="1"/>
        <rFont val="Cambria"/>
        <family val="1"/>
      </rPr>
      <t>negrita</t>
    </r>
    <r>
      <rPr>
        <sz val="10"/>
        <color theme="1"/>
        <rFont val="Cambria"/>
        <family val="1"/>
      </rPr>
      <t xml:space="preserve"> datos obtenidos de Tarea I cuando no se han reportado datos en las tablas de Cumplimiento</t>
    </r>
  </si>
  <si>
    <t>[2] = 2018 limit + MAX 20% 2017 Balance</t>
  </si>
  <si>
    <t>[3] = 2019 limit + MAX 20% 2018 Balance</t>
  </si>
  <si>
    <t>[1] = 2017 limit + MAX 20% 2016 Balance</t>
  </si>
  <si>
    <t>[4] = 2020 limit + MAX 20% 2019 Balance</t>
  </si>
  <si>
    <t>[5] = 2021 limit</t>
  </si>
  <si>
    <t>(6) Límite ajustado 2022 = Límite 2022 + 125% Saldo 2021</t>
  </si>
  <si>
    <t>(7) Límite ajustado 2023 = Límite 2023 + 125% Saldo 2022</t>
  </si>
  <si>
    <t>* Adjusted limit 2022 = initial limit 2022 (4400) + available balance 2020(not to exceed 25% of initial quota) (874.08) - ZAF will invoke para 4f of the ICCAT Rec. 16-07, supplemented by ICCAT Rec. 21-05 to cover the over shooting of its catch limits (URY: 52.95  BRA: 259.96t)</t>
  </si>
  <si>
    <t>* Adjusted limit 2022 = initial limit 2022 (440) + available balance 2020(not to exceed 25% of initial quota) (110) - 52.95t [ZAF will invoke para 4f of the ICCAT Rec. 16-07, supplemented by ICCAT Rec. 21-05 to cover the over shooting of its catch limits (URY: 52.95  BRA: 259.96t]</t>
  </si>
  <si>
    <t>2022: IQ2022 + 25% MAX2020 - 129.95t [South Africa will invoke para 4f of the ICCAT Rec. 16-07, supplemented by ICCAT Rec. 21-05 to cover the over shooting of its catch limits (URY: 52.95  BRA: 259.96t)]</t>
  </si>
  <si>
    <t>2160+(0.25*2160)-259.96</t>
  </si>
  <si>
    <t>IQ(2015)+BALANCE(2013)</t>
  </si>
  <si>
    <t>IQ(2016)+BALANCE(2014)</t>
  </si>
  <si>
    <t>IQ(2017)+BALANCE(2015)</t>
  </si>
  <si>
    <t>IQ(2018)+BALANCE(2016)</t>
  </si>
  <si>
    <t>IQ(2019)+BALANCE(2017)</t>
  </si>
  <si>
    <t>IQ(2020)+BALANCE(2018)</t>
  </si>
  <si>
    <t>IQ(2021)+BALANCE(2019)</t>
  </si>
  <si>
    <t>IQ(2022)+125% BALANCE(2020)</t>
  </si>
  <si>
    <t>IQ(2023)+125% BALANCE(2021)</t>
  </si>
  <si>
    <t>IQ(2015)+ MAX 20% INITIAL QUOTA(2013)</t>
  </si>
  <si>
    <t>IQ(2016)+ MAX 20% INITIAL QUOTA(2014)</t>
  </si>
  <si>
    <t>IQ(2017)+MAX 20% INITIAL QUOTA(2015)</t>
  </si>
  <si>
    <t>*Belize is carrying forward 25% of its initial balance (62.5 t) from its balance of 299.76 in 2022 to be used in 2024.   As total 2022 underage is only 153.83t, pro rata carry over is 3.72t</t>
  </si>
  <si>
    <t>Adjusted limit for 2024=initial quota(240) +  2.98. As total 2022 underage is only 153.83t, pro rata carry over is 2.98t</t>
  </si>
  <si>
    <t>=10340+139.98</t>
  </si>
  <si>
    <t>2024 adjusted quota is 10340+139.98 due to the inclusion of 2022 underage and 2024 initial catch quota.  As total 2022 underage is only 153.83t, pro rata carry over is 139.98</t>
  </si>
  <si>
    <t>=120+1.49</t>
  </si>
  <si>
    <t>2024 adjusted quota is 120+1.49 due to the inclusion of 2022 underage and 2024 initial catch quota.  As total 2022 underage is only 153.83t, pro rata carry over is 1.49</t>
  </si>
  <si>
    <t>2.08+170</t>
  </si>
  <si>
    <t xml:space="preserve"> As total 2022 underage is only 153.83t, pro rata carry over is 2.08t</t>
  </si>
  <si>
    <t>= 170 + 2.08</t>
  </si>
  <si>
    <t>=IQ2024+1.49</t>
  </si>
  <si>
    <t>2024: The UK's balance for 2022 was 125t,  As total 2022 underage is only 153.83t, pro rata carry over is 1.49t</t>
  </si>
  <si>
    <t>(1) Actual catch amount made by Türkiye in 2022 correspond to 2294.85 t (out of 2305 t). 10.15 t of underharvest from the year 2022 is to be carried-over. Adjusted quota for 2023 = 2600 t (Quota) +10.15 t (carried-over amount) + (440.79+67.08) from EGY + 128 from SYR = 3246.02</t>
  </si>
  <si>
    <t>(1) Curacao agreed on a payback plan for blue marlin of 2.5 tons per year from 2022 on. First year 2.53t. (Approved)</t>
  </si>
  <si>
    <t>*Senegal agreed on a payback plan for 2020 bigeye overharvest of 1377.77 t: 137.77 tons per year from 2023 to 2032 on. (Approved)</t>
  </si>
  <si>
    <t>The overharvest of bigeye tuna of 1,587.34 t for 2022 shall be paid back over a period of 5 years, from 2024 to 2028, in the following way: 2024: 355.34 t 2025 to 2028: 308 t</t>
  </si>
  <si>
    <t>IQ2025 -308</t>
  </si>
  <si>
    <t>IQ2024- 355.34</t>
  </si>
  <si>
    <t>IQ2026 -308</t>
  </si>
  <si>
    <t>IQ2027 -308</t>
  </si>
  <si>
    <t>IQ2028 -308</t>
  </si>
  <si>
    <t xml:space="preserve">COC-304/23 Annex 1E: APPLICATION OF OVER/UNDERHARVEST </t>
  </si>
  <si>
    <t xml:space="preserve">COC-304/23 Annexe 1E: APPLICATION DE SUR/SOUSONSOMMATION </t>
  </si>
  <si>
    <t xml:space="preserve">COC-304/23 Anexo 1E: APLICACIÓN DE EXCESO/REMANENTE DE CAPTURA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</si>
</sst>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 #,##0.00_-;_-* &quot;-&quot;??_-;_-@_-"/>
    <numFmt numFmtId="165" formatCode="0.00_ "/>
    <numFmt numFmtId="166" formatCode="0.0_ "/>
    <numFmt numFmtId="167" formatCode="#,##0.00_ "/>
    <numFmt numFmtId="168" formatCode="0.0%"/>
    <numFmt numFmtId="169" formatCode="0.00_);[Red]\(0.00\)"/>
    <numFmt numFmtId="170" formatCode="0.00_);\(0.00\)"/>
  </numFmts>
  <fonts count="35" x14ac:knownFonts="1">
    <font>
      <sz val="11"/>
      <color theme="1"/>
      <name val="Calibri"/>
      <family val="2"/>
      <scheme val="minor"/>
    </font>
    <font>
      <sz val="10"/>
      <name val="Arial"/>
      <family val="2"/>
    </font>
    <font>
      <sz val="12"/>
      <name val="Times New Roman"/>
      <family val="1"/>
    </font>
    <font>
      <sz val="10"/>
      <color rgb="FF000000"/>
      <name val="Arial"/>
      <family val="2"/>
    </font>
    <font>
      <sz val="10"/>
      <name val="Arial"/>
      <family val="2"/>
    </font>
    <font>
      <b/>
      <sz val="10"/>
      <name val="Cambria"/>
      <family val="1"/>
    </font>
    <font>
      <sz val="10"/>
      <color rgb="FFFF0000"/>
      <name val="Cambria"/>
      <family val="1"/>
    </font>
    <font>
      <sz val="10"/>
      <color theme="1"/>
      <name val="Cambria"/>
      <family val="1"/>
    </font>
    <font>
      <b/>
      <sz val="10"/>
      <color theme="1"/>
      <name val="Cambria"/>
      <family val="1"/>
    </font>
    <font>
      <sz val="10"/>
      <name val="Arial"/>
      <family val="2"/>
    </font>
    <font>
      <b/>
      <sz val="10"/>
      <color theme="1"/>
      <name val="Calibri"/>
      <family val="2"/>
      <scheme val="minor"/>
    </font>
    <font>
      <sz val="11"/>
      <color theme="1"/>
      <name val="Calibri"/>
      <family val="2"/>
      <scheme val="minor"/>
    </font>
    <font>
      <sz val="11"/>
      <color theme="1"/>
      <name val="Cambria"/>
      <family val="1"/>
    </font>
    <font>
      <sz val="8"/>
      <name val="Calibri"/>
      <family val="2"/>
      <scheme val="minor"/>
    </font>
    <font>
      <sz val="10"/>
      <color theme="1"/>
      <name val="Times New Roman"/>
      <family val="1"/>
    </font>
    <font>
      <strike/>
      <sz val="10"/>
      <color theme="1"/>
      <name val="Cambria"/>
      <family val="1"/>
    </font>
    <font>
      <sz val="10"/>
      <color theme="1"/>
      <name val="Arial"/>
      <family val="2"/>
    </font>
    <font>
      <b/>
      <sz val="10"/>
      <color rgb="FFFF0000"/>
      <name val="Cambria"/>
      <family val="1"/>
    </font>
    <font>
      <sz val="10"/>
      <name val="Cambria"/>
      <family val="1"/>
    </font>
    <font>
      <sz val="10"/>
      <name val="Times New Roman"/>
      <family val="1"/>
    </font>
    <font>
      <b/>
      <sz val="10"/>
      <name val="Times New Roman"/>
      <family val="1"/>
    </font>
    <font>
      <vertAlign val="superscript"/>
      <sz val="10"/>
      <name val="Cambria"/>
      <family val="1"/>
    </font>
    <font>
      <sz val="11"/>
      <name val="Times New Roman"/>
      <family val="1"/>
    </font>
    <font>
      <sz val="11"/>
      <name val="Calibri"/>
      <family val="2"/>
      <scheme val="minor"/>
    </font>
    <font>
      <strike/>
      <sz val="10"/>
      <color rgb="FFFF0000"/>
      <name val="Cambria"/>
      <family val="1"/>
    </font>
    <font>
      <sz val="10"/>
      <color rgb="FFFF0000"/>
      <name val="Times New Roman"/>
      <family val="1"/>
    </font>
    <font>
      <b/>
      <sz val="12"/>
      <color rgb="FFFF0000"/>
      <name val="Cambria"/>
      <family val="1"/>
    </font>
    <font>
      <sz val="10"/>
      <color theme="1"/>
      <name val="Calibri Light"/>
      <family val="1"/>
      <scheme val="major"/>
    </font>
    <font>
      <sz val="11"/>
      <color theme="1"/>
      <name val="Calibri Light"/>
      <family val="1"/>
      <scheme val="major"/>
    </font>
    <font>
      <b/>
      <sz val="11"/>
      <color theme="1"/>
      <name val="Calibri Light"/>
      <family val="1"/>
      <scheme val="major"/>
    </font>
    <font>
      <b/>
      <sz val="10"/>
      <color theme="1"/>
      <name val="Calibri Light"/>
      <family val="1"/>
      <scheme val="major"/>
    </font>
    <font>
      <b/>
      <sz val="11"/>
      <color theme="1"/>
      <name val="Cambria"/>
      <family val="1"/>
    </font>
    <font>
      <sz val="11"/>
      <color rgb="FFFF0000"/>
      <name val="Calibri"/>
      <family val="2"/>
      <scheme val="minor"/>
    </font>
    <font>
      <b/>
      <sz val="10"/>
      <color rgb="FFFF0000"/>
      <name val="Arial"/>
      <family val="2"/>
    </font>
    <font>
      <sz val="11"/>
      <color rgb="FFFF0000"/>
      <name val="Calibri"/>
      <family val="2"/>
      <charset val="1"/>
      <scheme val="minor"/>
    </font>
  </fonts>
  <fills count="7">
    <fill>
      <patternFill patternType="none"/>
    </fill>
    <fill>
      <patternFill patternType="gray125"/>
    </fill>
    <fill>
      <patternFill patternType="solid">
        <fgColor theme="2"/>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s>
  <borders count="3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thin">
        <color theme="1"/>
      </left>
      <right style="thin">
        <color theme="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top style="thin">
        <color rgb="FF000000"/>
      </top>
      <bottom/>
      <diagonal/>
    </border>
  </borders>
  <cellStyleXfs count="8">
    <xf numFmtId="0" fontId="0" fillId="0" borderId="0"/>
    <xf numFmtId="0" fontId="1" fillId="0" borderId="0"/>
    <xf numFmtId="0" fontId="1" fillId="0" borderId="0"/>
    <xf numFmtId="0" fontId="1" fillId="0" borderId="0"/>
    <xf numFmtId="0" fontId="3" fillId="0" borderId="0"/>
    <xf numFmtId="0" fontId="4" fillId="0" borderId="0"/>
    <xf numFmtId="0" fontId="9" fillId="0" borderId="0"/>
    <xf numFmtId="0" fontId="1" fillId="0" borderId="0"/>
  </cellStyleXfs>
  <cellXfs count="762">
    <xf numFmtId="0" fontId="0" fillId="0" borderId="0" xfId="0"/>
    <xf numFmtId="0" fontId="7" fillId="0" borderId="7"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0" xfId="0" applyFont="1" applyAlignment="1">
      <alignment vertical="center"/>
    </xf>
    <xf numFmtId="0" fontId="7" fillId="0" borderId="12" xfId="0" applyFont="1" applyBorder="1" applyAlignment="1">
      <alignment vertical="center"/>
    </xf>
    <xf numFmtId="0" fontId="7" fillId="0" borderId="10" xfId="0" applyFont="1" applyBorder="1" applyAlignment="1">
      <alignment vertical="center"/>
    </xf>
    <xf numFmtId="0" fontId="7" fillId="0" borderId="0" xfId="1" applyFont="1"/>
    <xf numFmtId="0" fontId="7" fillId="0" borderId="1" xfId="1" applyFont="1" applyBorder="1"/>
    <xf numFmtId="0" fontId="7" fillId="0" borderId="4" xfId="1" applyFont="1" applyBorder="1"/>
    <xf numFmtId="0" fontId="7" fillId="0" borderId="2" xfId="1" applyFont="1" applyBorder="1"/>
    <xf numFmtId="166" fontId="7" fillId="0" borderId="4" xfId="1" applyNumberFormat="1" applyFont="1" applyBorder="1" applyAlignment="1">
      <alignment horizontal="right" vertical="center"/>
    </xf>
    <xf numFmtId="0" fontId="7" fillId="0" borderId="4" xfId="1" applyFont="1" applyBorder="1" applyAlignment="1">
      <alignment horizontal="right"/>
    </xf>
    <xf numFmtId="0" fontId="8" fillId="0" borderId="2" xfId="1" applyFont="1" applyBorder="1"/>
    <xf numFmtId="0" fontId="7" fillId="0" borderId="11" xfId="1" applyFont="1" applyBorder="1"/>
    <xf numFmtId="0" fontId="7" fillId="0" borderId="6" xfId="1" applyFont="1" applyBorder="1"/>
    <xf numFmtId="0" fontId="8" fillId="0" borderId="1" xfId="1" applyFont="1" applyBorder="1"/>
    <xf numFmtId="0" fontId="7" fillId="0" borderId="12" xfId="1" applyFont="1" applyBorder="1"/>
    <xf numFmtId="0" fontId="8" fillId="0" borderId="0" xfId="0" applyFont="1"/>
    <xf numFmtId="0" fontId="7" fillId="0" borderId="0" xfId="0" applyFont="1"/>
    <xf numFmtId="0" fontId="7" fillId="0" borderId="12" xfId="0" applyFont="1" applyBorder="1"/>
    <xf numFmtId="0" fontId="7" fillId="0" borderId="10" xfId="0" applyFont="1" applyBorder="1"/>
    <xf numFmtId="0" fontId="7" fillId="0" borderId="4" xfId="0" applyFont="1" applyBorder="1"/>
    <xf numFmtId="2" fontId="7" fillId="0" borderId="4" xfId="0" applyNumberFormat="1" applyFont="1" applyBorder="1"/>
    <xf numFmtId="0" fontId="10" fillId="0" borderId="0" xfId="0" applyFont="1"/>
    <xf numFmtId="0" fontId="10" fillId="0" borderId="0" xfId="0" applyFont="1" applyAlignment="1">
      <alignment vertical="center"/>
    </xf>
    <xf numFmtId="0" fontId="12" fillId="0" borderId="0" xfId="0" applyFont="1"/>
    <xf numFmtId="0" fontId="7" fillId="0" borderId="4" xfId="1" applyFont="1" applyBorder="1" applyAlignment="1">
      <alignment horizontal="right" wrapText="1"/>
    </xf>
    <xf numFmtId="0" fontId="7" fillId="0" borderId="0" xfId="1" applyFont="1" applyAlignment="1">
      <alignment wrapText="1"/>
    </xf>
    <xf numFmtId="2" fontId="7" fillId="0" borderId="4" xfId="1" applyNumberFormat="1" applyFont="1" applyBorder="1"/>
    <xf numFmtId="0" fontId="7" fillId="0" borderId="8" xfId="0" applyFont="1" applyBorder="1"/>
    <xf numFmtId="0" fontId="7" fillId="0" borderId="9" xfId="0" applyFont="1" applyBorder="1"/>
    <xf numFmtId="0" fontId="7" fillId="0" borderId="11" xfId="0" applyFont="1" applyBorder="1"/>
    <xf numFmtId="0" fontId="7" fillId="0" borderId="6" xfId="0" applyFont="1" applyBorder="1"/>
    <xf numFmtId="0" fontId="7" fillId="0" borderId="3" xfId="0" applyFont="1" applyBorder="1"/>
    <xf numFmtId="0" fontId="7" fillId="0" borderId="0" xfId="1" applyFont="1" applyAlignment="1">
      <alignment horizontal="left" wrapText="1"/>
    </xf>
    <xf numFmtId="0" fontId="7" fillId="0" borderId="15" xfId="0" applyFont="1" applyBorder="1"/>
    <xf numFmtId="0" fontId="7" fillId="0" borderId="7" xfId="1" applyFont="1" applyBorder="1"/>
    <xf numFmtId="0" fontId="7" fillId="0" borderId="15" xfId="1" applyFont="1" applyBorder="1"/>
    <xf numFmtId="0" fontId="7" fillId="0" borderId="4" xfId="0" applyFont="1" applyBorder="1" applyAlignment="1">
      <alignment wrapText="1"/>
    </xf>
    <xf numFmtId="0" fontId="8" fillId="0" borderId="4" xfId="0" applyFont="1" applyBorder="1"/>
    <xf numFmtId="2" fontId="7" fillId="0" borderId="0" xfId="0" applyNumberFormat="1" applyFont="1"/>
    <xf numFmtId="2" fontId="7" fillId="0" borderId="2" xfId="1" applyNumberFormat="1" applyFont="1" applyBorder="1"/>
    <xf numFmtId="166" fontId="7" fillId="0" borderId="4" xfId="1" applyNumberFormat="1" applyFont="1" applyBorder="1" applyAlignment="1">
      <alignment horizontal="right"/>
    </xf>
    <xf numFmtId="0" fontId="7" fillId="0" borderId="8" xfId="1" applyFont="1" applyBorder="1"/>
    <xf numFmtId="2" fontId="6" fillId="0" borderId="4" xfId="0" applyNumberFormat="1" applyFont="1" applyBorder="1"/>
    <xf numFmtId="0" fontId="7" fillId="0" borderId="1" xfId="0" applyFont="1" applyBorder="1"/>
    <xf numFmtId="2" fontId="7" fillId="0" borderId="4" xfId="0" applyNumberFormat="1" applyFont="1" applyBorder="1" applyAlignment="1">
      <alignment horizontal="right"/>
    </xf>
    <xf numFmtId="2" fontId="7" fillId="0" borderId="4" xfId="0" applyNumberFormat="1" applyFont="1" applyBorder="1" applyAlignment="1">
      <alignment horizontal="right" vertical="center" wrapText="1"/>
    </xf>
    <xf numFmtId="0" fontId="7" fillId="0" borderId="7" xfId="0" applyFont="1" applyBorder="1"/>
    <xf numFmtId="0" fontId="7" fillId="0" borderId="0" xfId="0" applyFont="1" applyAlignment="1">
      <alignment horizontal="left"/>
    </xf>
    <xf numFmtId="0" fontId="8" fillId="0" borderId="4" xfId="0" applyFont="1" applyBorder="1" applyAlignment="1">
      <alignment horizontal="center"/>
    </xf>
    <xf numFmtId="0" fontId="7" fillId="0" borderId="16" xfId="0" applyFont="1" applyBorder="1"/>
    <xf numFmtId="2" fontId="7" fillId="0" borderId="16" xfId="0" applyNumberFormat="1" applyFont="1" applyBorder="1" applyAlignment="1">
      <alignment horizontal="right"/>
    </xf>
    <xf numFmtId="0" fontId="7" fillId="0" borderId="4" xfId="0" applyFont="1" applyBorder="1" applyAlignment="1">
      <alignment horizontal="center"/>
    </xf>
    <xf numFmtId="0" fontId="8" fillId="0" borderId="2" xfId="0" applyFont="1" applyBorder="1"/>
    <xf numFmtId="0" fontId="7" fillId="0" borderId="2" xfId="0" applyFont="1" applyBorder="1"/>
    <xf numFmtId="0" fontId="7" fillId="0" borderId="15" xfId="0" applyFont="1" applyBorder="1" applyAlignment="1">
      <alignment horizontal="center"/>
    </xf>
    <xf numFmtId="0" fontId="7" fillId="0" borderId="5" xfId="0" applyFont="1" applyBorder="1"/>
    <xf numFmtId="0" fontId="7" fillId="0" borderId="11" xfId="0" applyFont="1" applyBorder="1" applyAlignment="1">
      <alignment horizontal="left"/>
    </xf>
    <xf numFmtId="2" fontId="7" fillId="0" borderId="4" xfId="1" applyNumberFormat="1" applyFont="1" applyBorder="1" applyProtection="1">
      <protection locked="0"/>
    </xf>
    <xf numFmtId="2" fontId="7" fillId="0" borderId="4" xfId="1" applyNumberFormat="1" applyFont="1" applyBorder="1" applyAlignment="1" applyProtection="1">
      <alignment horizontal="center" vertical="center" wrapText="1"/>
      <protection locked="0"/>
    </xf>
    <xf numFmtId="0" fontId="7" fillId="0" borderId="4" xfId="0" applyFont="1" applyBorder="1" applyAlignment="1">
      <alignment horizontal="center" vertical="center" wrapText="1"/>
    </xf>
    <xf numFmtId="0" fontId="7" fillId="0" borderId="15" xfId="1" applyFont="1" applyBorder="1" applyAlignment="1">
      <alignment horizontal="center"/>
    </xf>
    <xf numFmtId="0" fontId="8" fillId="0" borderId="1" xfId="0" applyFont="1" applyBorder="1" applyAlignment="1">
      <alignment horizontal="center"/>
    </xf>
    <xf numFmtId="0" fontId="7" fillId="0" borderId="9" xfId="1" applyFont="1" applyBorder="1" applyAlignment="1">
      <alignment horizontal="center"/>
    </xf>
    <xf numFmtId="0" fontId="7" fillId="0" borderId="0" xfId="0" applyFont="1" applyAlignment="1">
      <alignment wrapText="1"/>
    </xf>
    <xf numFmtId="0" fontId="7" fillId="0" borderId="4" xfId="0" quotePrefix="1" applyFont="1" applyBorder="1" applyAlignment="1">
      <alignment wrapText="1"/>
    </xf>
    <xf numFmtId="0" fontId="6" fillId="0" borderId="4" xfId="0" applyFont="1" applyBorder="1" applyAlignment="1">
      <alignment wrapText="1"/>
    </xf>
    <xf numFmtId="1" fontId="7" fillId="0" borderId="15" xfId="0" applyNumberFormat="1" applyFont="1" applyBorder="1" applyAlignment="1">
      <alignment horizontal="center"/>
    </xf>
    <xf numFmtId="0" fontId="8" fillId="0" borderId="3" xfId="0" applyFont="1" applyBorder="1"/>
    <xf numFmtId="0" fontId="7" fillId="0" borderId="11" xfId="0" applyFont="1" applyBorder="1" applyAlignment="1">
      <alignment vertical="center"/>
    </xf>
    <xf numFmtId="0" fontId="8" fillId="0" borderId="11" xfId="0" applyFont="1" applyBorder="1"/>
    <xf numFmtId="0" fontId="7" fillId="0" borderId="4" xfId="0" applyFont="1" applyBorder="1" applyAlignment="1">
      <alignment horizontal="left" vertical="center" wrapText="1"/>
    </xf>
    <xf numFmtId="0" fontId="8" fillId="0" borderId="4" xfId="0" applyFont="1" applyBorder="1" applyAlignment="1">
      <alignment horizontal="center" vertical="center" wrapText="1"/>
    </xf>
    <xf numFmtId="0" fontId="7" fillId="0" borderId="7" xfId="0" applyFont="1" applyBorder="1" applyAlignment="1">
      <alignment horizontal="left"/>
    </xf>
    <xf numFmtId="0" fontId="7" fillId="0" borderId="12" xfId="0" applyFont="1" applyBorder="1" applyAlignment="1">
      <alignment horizontal="left"/>
    </xf>
    <xf numFmtId="0" fontId="8" fillId="0" borderId="4" xfId="1" applyFont="1" applyBorder="1" applyAlignment="1">
      <alignment horizontal="center"/>
    </xf>
    <xf numFmtId="0" fontId="8" fillId="0" borderId="2" xfId="1"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8" fillId="0" borderId="15" xfId="0" applyFont="1" applyBorder="1" applyAlignment="1">
      <alignment horizontal="center"/>
    </xf>
    <xf numFmtId="0" fontId="8" fillId="0" borderId="0" xfId="0" applyFont="1" applyAlignment="1">
      <alignment horizontal="center"/>
    </xf>
    <xf numFmtId="0" fontId="8" fillId="0" borderId="8" xfId="0" applyFont="1" applyBorder="1" applyAlignment="1">
      <alignment horizontal="center"/>
    </xf>
    <xf numFmtId="2" fontId="7" fillId="0" borderId="4" xfId="0" applyNumberFormat="1" applyFont="1" applyBorder="1" applyAlignment="1">
      <alignment horizontal="center" wrapText="1"/>
    </xf>
    <xf numFmtId="0" fontId="8" fillId="0" borderId="6" xfId="0" applyFont="1" applyBorder="1" applyAlignment="1">
      <alignment horizontal="center"/>
    </xf>
    <xf numFmtId="0" fontId="8" fillId="0" borderId="8" xfId="0" applyFont="1" applyBorder="1"/>
    <xf numFmtId="2" fontId="7" fillId="0" borderId="4" xfId="0" applyNumberFormat="1" applyFont="1" applyBorder="1" applyAlignment="1">
      <alignment wrapText="1"/>
    </xf>
    <xf numFmtId="0" fontId="8" fillId="0" borderId="5" xfId="0" applyFont="1" applyBorder="1" applyAlignment="1">
      <alignment horizontal="center"/>
    </xf>
    <xf numFmtId="2" fontId="7" fillId="0" borderId="5" xfId="0" applyNumberFormat="1" applyFont="1" applyBorder="1" applyAlignment="1">
      <alignment horizontal="right"/>
    </xf>
    <xf numFmtId="2" fontId="7" fillId="0" borderId="2" xfId="0" applyNumberFormat="1" applyFont="1" applyBorder="1" applyAlignment="1">
      <alignment horizontal="right"/>
    </xf>
    <xf numFmtId="0" fontId="8" fillId="0" borderId="1" xfId="0" applyFont="1" applyBorder="1"/>
    <xf numFmtId="2" fontId="7" fillId="0" borderId="5" xfId="0" applyNumberFormat="1" applyFont="1" applyBorder="1"/>
    <xf numFmtId="2" fontId="7" fillId="0" borderId="2" xfId="0" applyNumberFormat="1" applyFont="1" applyBorder="1"/>
    <xf numFmtId="0" fontId="7" fillId="0" borderId="8" xfId="1" applyFont="1" applyBorder="1" applyAlignment="1">
      <alignment horizontal="center"/>
    </xf>
    <xf numFmtId="2" fontId="7" fillId="0" borderId="4" xfId="1" applyNumberFormat="1" applyFont="1" applyBorder="1" applyAlignment="1">
      <alignment horizontal="right"/>
    </xf>
    <xf numFmtId="2" fontId="7" fillId="0" borderId="4" xfId="1" applyNumberFormat="1" applyFont="1" applyBorder="1" applyAlignment="1">
      <alignment horizontal="right" wrapText="1"/>
    </xf>
    <xf numFmtId="0" fontId="7" fillId="0" borderId="11" xfId="1" applyFont="1" applyBorder="1" applyAlignment="1">
      <alignment horizontal="left"/>
    </xf>
    <xf numFmtId="0" fontId="7" fillId="0" borderId="6" xfId="1" applyFont="1" applyBorder="1" applyAlignment="1">
      <alignment horizontal="left"/>
    </xf>
    <xf numFmtId="0" fontId="7" fillId="0" borderId="3" xfId="1" applyFont="1" applyBorder="1" applyAlignment="1">
      <alignment horizontal="left"/>
    </xf>
    <xf numFmtId="0" fontId="7" fillId="0" borderId="16" xfId="1" applyFont="1" applyBorder="1"/>
    <xf numFmtId="0" fontId="8" fillId="0" borderId="16" xfId="0" applyFont="1" applyBorder="1" applyAlignment="1">
      <alignment horizontal="center"/>
    </xf>
    <xf numFmtId="0" fontId="8" fillId="0" borderId="2" xfId="0" applyFont="1" applyBorder="1" applyAlignment="1">
      <alignment horizontal="center"/>
    </xf>
    <xf numFmtId="0" fontId="8" fillId="0" borderId="16" xfId="1" applyFont="1" applyBorder="1" applyAlignment="1">
      <alignment horizontal="center"/>
    </xf>
    <xf numFmtId="0" fontId="8" fillId="0" borderId="2" xfId="0" applyFont="1" applyBorder="1" applyAlignment="1">
      <alignment horizontal="left"/>
    </xf>
    <xf numFmtId="0" fontId="7" fillId="0" borderId="0" xfId="0" applyFont="1" applyAlignment="1">
      <alignment horizontal="center"/>
    </xf>
    <xf numFmtId="0" fontId="7" fillId="0" borderId="6" xfId="0" applyFont="1" applyBorder="1" applyAlignment="1">
      <alignment horizontal="center"/>
    </xf>
    <xf numFmtId="0" fontId="7" fillId="0" borderId="0" xfId="0" applyFont="1" applyAlignment="1">
      <alignment horizontal="left" wrapText="1"/>
    </xf>
    <xf numFmtId="0" fontId="7" fillId="0" borderId="7" xfId="0" applyFont="1" applyBorder="1" applyAlignment="1">
      <alignment horizontal="center"/>
    </xf>
    <xf numFmtId="0" fontId="7" fillId="0" borderId="8" xfId="0" applyFont="1" applyBorder="1" applyAlignment="1">
      <alignment wrapText="1"/>
    </xf>
    <xf numFmtId="0" fontId="7" fillId="0" borderId="10" xfId="1" applyFont="1" applyBorder="1" applyAlignment="1">
      <alignment horizontal="center"/>
    </xf>
    <xf numFmtId="0" fontId="7" fillId="0" borderId="1" xfId="1" applyFont="1" applyBorder="1" applyAlignment="1">
      <alignment horizontal="left"/>
    </xf>
    <xf numFmtId="0" fontId="7" fillId="0" borderId="5" xfId="1" applyFont="1" applyBorder="1" applyAlignment="1">
      <alignment horizontal="left"/>
    </xf>
    <xf numFmtId="0" fontId="7" fillId="0" borderId="6" xfId="0" applyFont="1" applyBorder="1" applyAlignment="1">
      <alignment horizontal="left" wrapText="1"/>
    </xf>
    <xf numFmtId="0" fontId="8" fillId="2" borderId="1" xfId="0" applyFont="1" applyFill="1" applyBorder="1"/>
    <xf numFmtId="1" fontId="7" fillId="0" borderId="4" xfId="0" applyNumberFormat="1" applyFont="1" applyBorder="1"/>
    <xf numFmtId="1" fontId="7" fillId="0" borderId="4" xfId="0" applyNumberFormat="1" applyFont="1" applyBorder="1" applyAlignment="1">
      <alignment wrapText="1"/>
    </xf>
    <xf numFmtId="2" fontId="7" fillId="0" borderId="4" xfId="0" applyNumberFormat="1" applyFont="1" applyBorder="1" applyAlignment="1">
      <alignment horizontal="left" vertical="center" wrapText="1"/>
    </xf>
    <xf numFmtId="0" fontId="7" fillId="0" borderId="15" xfId="0" applyFont="1" applyBorder="1" applyAlignment="1">
      <alignment horizontal="left" vertical="center" wrapText="1"/>
    </xf>
    <xf numFmtId="0" fontId="7" fillId="0" borderId="15" xfId="0" applyFont="1" applyBorder="1" applyAlignment="1">
      <alignment horizontal="center" vertical="center" wrapText="1"/>
    </xf>
    <xf numFmtId="0" fontId="7" fillId="0" borderId="16" xfId="0" applyFont="1" applyBorder="1" applyAlignment="1">
      <alignment horizontal="left" vertical="center" wrapText="1"/>
    </xf>
    <xf numFmtId="0" fontId="8" fillId="0" borderId="16" xfId="0" applyFont="1" applyBorder="1" applyAlignment="1">
      <alignment horizontal="center" vertical="center" wrapText="1"/>
    </xf>
    <xf numFmtId="49" fontId="7" fillId="0" borderId="4" xfId="0" applyNumberFormat="1" applyFont="1" applyBorder="1" applyAlignment="1">
      <alignment wrapText="1"/>
    </xf>
    <xf numFmtId="49" fontId="7" fillId="0" borderId="2" xfId="0" applyNumberFormat="1" applyFont="1" applyBorder="1" applyAlignment="1">
      <alignment wrapText="1"/>
    </xf>
    <xf numFmtId="0" fontId="7" fillId="0" borderId="4" xfId="0" quotePrefix="1" applyFont="1" applyBorder="1"/>
    <xf numFmtId="49" fontId="7" fillId="0" borderId="4" xfId="0" applyNumberFormat="1" applyFont="1" applyBorder="1"/>
    <xf numFmtId="49" fontId="7" fillId="0" borderId="2" xfId="0" applyNumberFormat="1" applyFont="1" applyBorder="1"/>
    <xf numFmtId="2" fontId="7" fillId="0" borderId="4" xfId="0" applyNumberFormat="1" applyFont="1" applyBorder="1" applyAlignment="1">
      <alignment horizontal="center" vertical="center" wrapText="1"/>
    </xf>
    <xf numFmtId="2" fontId="7" fillId="0" borderId="1" xfId="0" applyNumberFormat="1" applyFont="1" applyBorder="1"/>
    <xf numFmtId="0" fontId="7" fillId="0" borderId="6" xfId="0" applyFont="1" applyBorder="1" applyAlignment="1">
      <alignment wrapText="1"/>
    </xf>
    <xf numFmtId="0" fontId="7" fillId="0" borderId="6" xfId="0" applyFont="1" applyBorder="1" applyAlignment="1">
      <alignment vertical="center" wrapText="1"/>
    </xf>
    <xf numFmtId="0" fontId="7" fillId="0" borderId="0" xfId="0" applyFont="1" applyAlignment="1">
      <alignment horizontal="left" vertical="center" wrapText="1"/>
    </xf>
    <xf numFmtId="0" fontId="7" fillId="0" borderId="0" xfId="2" applyFont="1"/>
    <xf numFmtId="0" fontId="7" fillId="0" borderId="0" xfId="0" applyFont="1" applyAlignment="1">
      <alignment vertical="center" wrapText="1"/>
    </xf>
    <xf numFmtId="0" fontId="8" fillId="0" borderId="1" xfId="2" applyFont="1" applyBorder="1"/>
    <xf numFmtId="0" fontId="8" fillId="0" borderId="2" xfId="2" applyFont="1" applyBorder="1"/>
    <xf numFmtId="0" fontId="7" fillId="0" borderId="11" xfId="2" applyFont="1" applyBorder="1"/>
    <xf numFmtId="0" fontId="14" fillId="0" borderId="0" xfId="2" applyFont="1"/>
    <xf numFmtId="0" fontId="7" fillId="0" borderId="1" xfId="2" applyFont="1" applyBorder="1"/>
    <xf numFmtId="40" fontId="7" fillId="0" borderId="4" xfId="2" applyNumberFormat="1" applyFont="1" applyBorder="1"/>
    <xf numFmtId="0" fontId="7" fillId="0" borderId="7" xfId="2" applyFont="1" applyBorder="1"/>
    <xf numFmtId="0" fontId="7" fillId="0" borderId="8" xfId="2" applyFont="1" applyBorder="1"/>
    <xf numFmtId="0" fontId="7" fillId="0" borderId="9" xfId="2" applyFont="1" applyBorder="1"/>
    <xf numFmtId="0" fontId="7" fillId="0" borderId="12" xfId="2" applyFont="1" applyBorder="1"/>
    <xf numFmtId="0" fontId="7" fillId="0" borderId="10" xfId="2" applyFont="1" applyBorder="1"/>
    <xf numFmtId="0" fontId="7" fillId="0" borderId="4" xfId="2" applyFont="1" applyBorder="1" applyAlignment="1">
      <alignment horizontal="left"/>
    </xf>
    <xf numFmtId="0" fontId="7" fillId="0" borderId="4" xfId="2" applyFont="1" applyBorder="1"/>
    <xf numFmtId="0" fontId="7" fillId="0" borderId="6" xfId="2" applyFont="1" applyBorder="1"/>
    <xf numFmtId="0" fontId="7" fillId="0" borderId="3" xfId="2" applyFont="1" applyBorder="1"/>
    <xf numFmtId="1" fontId="8" fillId="0" borderId="16" xfId="2" applyNumberFormat="1" applyFont="1" applyBorder="1" applyAlignment="1">
      <alignment horizontal="center" vertical="top"/>
    </xf>
    <xf numFmtId="1" fontId="8" fillId="0" borderId="4" xfId="2" applyNumberFormat="1" applyFont="1" applyBorder="1" applyAlignment="1">
      <alignment horizontal="center" vertical="top"/>
    </xf>
    <xf numFmtId="2" fontId="7" fillId="0" borderId="4" xfId="2" applyNumberFormat="1" applyFont="1" applyBorder="1"/>
    <xf numFmtId="0" fontId="7" fillId="0" borderId="15" xfId="2" applyFont="1" applyBorder="1"/>
    <xf numFmtId="0" fontId="7" fillId="0" borderId="15" xfId="2" applyFont="1" applyBorder="1" applyAlignment="1">
      <alignment horizontal="center"/>
    </xf>
    <xf numFmtId="0" fontId="7" fillId="0" borderId="5" xfId="2" applyFont="1" applyBorder="1"/>
    <xf numFmtId="0" fontId="7" fillId="0" borderId="0" xfId="2" applyFont="1" applyAlignment="1">
      <alignment horizontal="left"/>
    </xf>
    <xf numFmtId="0" fontId="7" fillId="0" borderId="0" xfId="2" applyFont="1" applyAlignment="1">
      <alignment horizontal="center"/>
    </xf>
    <xf numFmtId="168" fontId="7" fillId="0" borderId="0" xfId="2" applyNumberFormat="1" applyFont="1"/>
    <xf numFmtId="0" fontId="7" fillId="0" borderId="12" xfId="3" applyFont="1" applyBorder="1" applyAlignment="1">
      <alignment horizontal="left"/>
    </xf>
    <xf numFmtId="0" fontId="15" fillId="0" borderId="10" xfId="2" applyFont="1" applyBorder="1"/>
    <xf numFmtId="0" fontId="15" fillId="0" borderId="0" xfId="0" applyFont="1"/>
    <xf numFmtId="0" fontId="7" fillId="0" borderId="12" xfId="3" applyFont="1" applyBorder="1"/>
    <xf numFmtId="0" fontId="7" fillId="0" borderId="11" xfId="3" applyFont="1" applyBorder="1"/>
    <xf numFmtId="0" fontId="7" fillId="0" borderId="6" xfId="3" applyFont="1" applyBorder="1"/>
    <xf numFmtId="1" fontId="7" fillId="0" borderId="4" xfId="2" applyNumberFormat="1" applyFont="1" applyBorder="1"/>
    <xf numFmtId="169" fontId="7" fillId="0" borderId="15" xfId="2" applyNumberFormat="1" applyFont="1" applyBorder="1"/>
    <xf numFmtId="40" fontId="7" fillId="0" borderId="15" xfId="2" applyNumberFormat="1" applyFont="1" applyBorder="1"/>
    <xf numFmtId="0" fontId="7" fillId="0" borderId="12" xfId="2" applyFont="1" applyBorder="1" applyAlignment="1">
      <alignment horizontal="left"/>
    </xf>
    <xf numFmtId="0" fontId="7" fillId="0" borderId="6" xfId="3" applyFont="1" applyBorder="1" applyAlignment="1">
      <alignment wrapText="1"/>
    </xf>
    <xf numFmtId="0" fontId="7" fillId="0" borderId="11" xfId="3" applyFont="1" applyBorder="1" applyAlignment="1">
      <alignment horizontal="left"/>
    </xf>
    <xf numFmtId="0" fontId="8" fillId="0" borderId="4" xfId="2" applyFont="1" applyBorder="1"/>
    <xf numFmtId="2" fontId="7" fillId="0" borderId="4" xfId="2" applyNumberFormat="1" applyFont="1" applyBorder="1" applyAlignment="1">
      <alignment horizontal="right"/>
    </xf>
    <xf numFmtId="0" fontId="7" fillId="0" borderId="6" xfId="2" applyFont="1" applyBorder="1" applyAlignment="1">
      <alignment horizontal="center"/>
    </xf>
    <xf numFmtId="0" fontId="8" fillId="0" borderId="7" xfId="2" applyFont="1" applyBorder="1"/>
    <xf numFmtId="1" fontId="8" fillId="0" borderId="2" xfId="2" applyNumberFormat="1" applyFont="1" applyBorder="1" applyAlignment="1">
      <alignment horizontal="center" vertical="top"/>
    </xf>
    <xf numFmtId="1" fontId="8" fillId="0" borderId="13" xfId="2" applyNumberFormat="1" applyFont="1" applyBorder="1" applyAlignment="1">
      <alignment horizontal="center" vertical="top"/>
    </xf>
    <xf numFmtId="2" fontId="7" fillId="0" borderId="2" xfId="2" applyNumberFormat="1" applyFont="1" applyBorder="1" applyAlignment="1">
      <alignment horizontal="right"/>
    </xf>
    <xf numFmtId="2" fontId="7" fillId="0" borderId="2" xfId="2" applyNumberFormat="1" applyFont="1" applyBorder="1"/>
    <xf numFmtId="2" fontId="7" fillId="0" borderId="5" xfId="2" applyNumberFormat="1" applyFont="1" applyBorder="1"/>
    <xf numFmtId="40" fontId="7" fillId="0" borderId="9" xfId="2" applyNumberFormat="1" applyFont="1" applyBorder="1"/>
    <xf numFmtId="166" fontId="7" fillId="0" borderId="6" xfId="2" applyNumberFormat="1" applyFont="1" applyBorder="1" applyAlignment="1">
      <alignment horizontal="center"/>
    </xf>
    <xf numFmtId="40" fontId="7" fillId="0" borderId="8" xfId="2" applyNumberFormat="1" applyFont="1" applyBorder="1"/>
    <xf numFmtId="0" fontId="16" fillId="0" borderId="0" xfId="0" applyFont="1"/>
    <xf numFmtId="2" fontId="7" fillId="0" borderId="4" xfId="1" applyNumberFormat="1" applyFont="1" applyBorder="1" applyAlignment="1">
      <alignment vertical="center" wrapText="1"/>
    </xf>
    <xf numFmtId="2" fontId="7" fillId="0" borderId="4" xfId="0" applyNumberFormat="1" applyFont="1" applyBorder="1" applyAlignment="1">
      <alignment horizontal="center"/>
    </xf>
    <xf numFmtId="2" fontId="7" fillId="0" borderId="1" xfId="0" applyNumberFormat="1" applyFont="1" applyBorder="1" applyAlignment="1">
      <alignment horizontal="right" vertical="center" wrapText="1"/>
    </xf>
    <xf numFmtId="0" fontId="8" fillId="0" borderId="6" xfId="0" applyFont="1" applyBorder="1"/>
    <xf numFmtId="2" fontId="7" fillId="0" borderId="13" xfId="0" applyNumberFormat="1" applyFont="1" applyBorder="1" applyAlignment="1">
      <alignment horizontal="right"/>
    </xf>
    <xf numFmtId="1" fontId="8" fillId="0" borderId="4" xfId="0" applyNumberFormat="1" applyFont="1" applyBorder="1" applyAlignment="1">
      <alignment horizontal="center"/>
    </xf>
    <xf numFmtId="1" fontId="8" fillId="0" borderId="5" xfId="0" applyNumberFormat="1" applyFont="1" applyBorder="1" applyAlignment="1">
      <alignment horizontal="center"/>
    </xf>
    <xf numFmtId="1" fontId="8" fillId="0" borderId="2" xfId="0" applyNumberFormat="1" applyFont="1" applyBorder="1" applyAlignment="1">
      <alignment horizontal="center"/>
    </xf>
    <xf numFmtId="2" fontId="7" fillId="0" borderId="2" xfId="0" applyNumberFormat="1" applyFont="1" applyBorder="1" applyAlignment="1">
      <alignment horizontal="center"/>
    </xf>
    <xf numFmtId="0" fontId="8" fillId="0" borderId="9" xfId="0" applyFont="1" applyBorder="1" applyAlignment="1">
      <alignment horizontal="left"/>
    </xf>
    <xf numFmtId="0" fontId="8" fillId="0" borderId="15" xfId="0" applyFont="1" applyBorder="1"/>
    <xf numFmtId="0" fontId="8" fillId="0" borderId="16" xfId="0" applyFont="1" applyBorder="1"/>
    <xf numFmtId="0" fontId="7" fillId="0" borderId="10" xfId="0" applyFont="1" applyBorder="1" applyAlignment="1">
      <alignment horizontal="center"/>
    </xf>
    <xf numFmtId="0" fontId="7" fillId="0" borderId="3" xfId="0" applyFont="1" applyBorder="1" applyAlignment="1">
      <alignment horizontal="center"/>
    </xf>
    <xf numFmtId="0" fontId="6" fillId="0" borderId="11" xfId="0" applyFont="1" applyBorder="1"/>
    <xf numFmtId="0" fontId="17" fillId="0" borderId="4" xfId="0" applyFont="1" applyBorder="1" applyAlignment="1">
      <alignment horizontal="center"/>
    </xf>
    <xf numFmtId="2" fontId="6" fillId="0" borderId="4" xfId="0" applyNumberFormat="1" applyFont="1" applyBorder="1" applyAlignment="1">
      <alignment horizontal="right"/>
    </xf>
    <xf numFmtId="0" fontId="6" fillId="0" borderId="15" xfId="0" applyFont="1" applyBorder="1" applyAlignment="1">
      <alignment horizontal="center"/>
    </xf>
    <xf numFmtId="2" fontId="6" fillId="0" borderId="4" xfId="1" applyNumberFormat="1" applyFont="1" applyBorder="1"/>
    <xf numFmtId="2" fontId="6" fillId="0" borderId="4" xfId="2" applyNumberFormat="1" applyFont="1" applyBorder="1"/>
    <xf numFmtId="0" fontId="6" fillId="0" borderId="12" xfId="0" applyFont="1" applyBorder="1"/>
    <xf numFmtId="0" fontId="6" fillId="0" borderId="0" xfId="0" applyFont="1" applyAlignment="1">
      <alignment horizontal="center"/>
    </xf>
    <xf numFmtId="0" fontId="6" fillId="0" borderId="10" xfId="0" applyFont="1" applyBorder="1" applyAlignment="1">
      <alignment horizontal="center"/>
    </xf>
    <xf numFmtId="0" fontId="6" fillId="0" borderId="6" xfId="0" applyFont="1" applyBorder="1" applyAlignment="1">
      <alignment horizontal="center"/>
    </xf>
    <xf numFmtId="0" fontId="6" fillId="0" borderId="3" xfId="0" applyFont="1" applyBorder="1" applyAlignment="1">
      <alignment horizontal="center"/>
    </xf>
    <xf numFmtId="0" fontId="16" fillId="0" borderId="10" xfId="0" applyFont="1" applyBorder="1"/>
    <xf numFmtId="0" fontId="16" fillId="0" borderId="2" xfId="0" applyFont="1" applyBorder="1"/>
    <xf numFmtId="0" fontId="7" fillId="0" borderId="12" xfId="0" applyFont="1" applyBorder="1" applyAlignment="1">
      <alignment horizontal="left" vertical="center"/>
    </xf>
    <xf numFmtId="0" fontId="18" fillId="0" borderId="11" xfId="0" applyFont="1" applyBorder="1"/>
    <xf numFmtId="0" fontId="5" fillId="0" borderId="4" xfId="0" applyFont="1" applyBorder="1" applyAlignment="1">
      <alignment horizontal="center"/>
    </xf>
    <xf numFmtId="2" fontId="18" fillId="0" borderId="2" xfId="0" applyNumberFormat="1" applyFont="1" applyBorder="1" applyAlignment="1">
      <alignment horizontal="right"/>
    </xf>
    <xf numFmtId="1" fontId="18" fillId="0" borderId="4" xfId="0" applyNumberFormat="1" applyFont="1" applyBorder="1"/>
    <xf numFmtId="2" fontId="18" fillId="0" borderId="4" xfId="0" applyNumberFormat="1" applyFont="1" applyBorder="1"/>
    <xf numFmtId="1" fontId="18" fillId="0" borderId="15" xfId="0" applyNumberFormat="1" applyFont="1" applyBorder="1" applyAlignment="1">
      <alignment horizontal="right"/>
    </xf>
    <xf numFmtId="0" fontId="18" fillId="0" borderId="9" xfId="0" applyFont="1" applyBorder="1"/>
    <xf numFmtId="0" fontId="18" fillId="0" borderId="7" xfId="0" applyFont="1" applyBorder="1"/>
    <xf numFmtId="0" fontId="18" fillId="0" borderId="8" xfId="0" applyFont="1" applyBorder="1"/>
    <xf numFmtId="0" fontId="18" fillId="0" borderId="12" xfId="0" applyFont="1" applyBorder="1"/>
    <xf numFmtId="0" fontId="18" fillId="0" borderId="0" xfId="0" applyFont="1"/>
    <xf numFmtId="0" fontId="18" fillId="0" borderId="10" xfId="0" applyFont="1" applyBorder="1"/>
    <xf numFmtId="0" fontId="18" fillId="0" borderId="6" xfId="0" applyFont="1" applyBorder="1"/>
    <xf numFmtId="0" fontId="18" fillId="0" borderId="3" xfId="0" applyFont="1" applyBorder="1"/>
    <xf numFmtId="0" fontId="7" fillId="0" borderId="3" xfId="0" applyFont="1" applyBorder="1" applyAlignment="1">
      <alignment wrapText="1"/>
    </xf>
    <xf numFmtId="0" fontId="18" fillId="0" borderId="4" xfId="0" applyFont="1" applyBorder="1"/>
    <xf numFmtId="0" fontId="18" fillId="0" borderId="15" xfId="0" applyFont="1" applyBorder="1"/>
    <xf numFmtId="0" fontId="5" fillId="0" borderId="2" xfId="1" applyFont="1" applyBorder="1" applyAlignment="1">
      <alignment horizontal="center"/>
    </xf>
    <xf numFmtId="1" fontId="18" fillId="0" borderId="15" xfId="1" applyNumberFormat="1" applyFont="1" applyBorder="1" applyAlignment="1">
      <alignment horizontal="center"/>
    </xf>
    <xf numFmtId="0" fontId="8" fillId="0" borderId="15" xfId="0" applyFont="1" applyBorder="1" applyAlignment="1">
      <alignment horizontal="center" vertical="center" wrapText="1"/>
    </xf>
    <xf numFmtId="2" fontId="18" fillId="0" borderId="4" xfId="0" applyNumberFormat="1" applyFont="1" applyBorder="1" applyAlignment="1">
      <alignment horizontal="right"/>
    </xf>
    <xf numFmtId="0" fontId="18" fillId="0" borderId="2" xfId="0" applyFont="1" applyBorder="1"/>
    <xf numFmtId="0" fontId="18" fillId="0" borderId="11" xfId="0" applyFont="1" applyBorder="1" applyAlignment="1">
      <alignment horizontal="left"/>
    </xf>
    <xf numFmtId="0" fontId="19" fillId="0" borderId="0" xfId="0" applyFont="1"/>
    <xf numFmtId="0" fontId="1" fillId="0" borderId="0" xfId="0" applyFont="1"/>
    <xf numFmtId="0" fontId="18" fillId="0" borderId="4" xfId="2" applyFont="1" applyBorder="1" applyAlignment="1">
      <alignment horizontal="center"/>
    </xf>
    <xf numFmtId="165" fontId="18" fillId="0" borderId="4" xfId="2" applyNumberFormat="1" applyFont="1" applyBorder="1" applyAlignment="1">
      <alignment horizontal="center"/>
    </xf>
    <xf numFmtId="0" fontId="8" fillId="0" borderId="16" xfId="2" applyFont="1" applyBorder="1" applyAlignment="1">
      <alignment horizontal="center" vertical="top"/>
    </xf>
    <xf numFmtId="0" fontId="8" fillId="0" borderId="4" xfId="2" applyFont="1" applyBorder="1" applyAlignment="1">
      <alignment horizontal="center" vertical="top"/>
    </xf>
    <xf numFmtId="2" fontId="18" fillId="0" borderId="4" xfId="2" applyNumberFormat="1" applyFont="1" applyBorder="1"/>
    <xf numFmtId="2" fontId="18" fillId="0" borderId="4" xfId="4" applyNumberFormat="1" applyFont="1" applyBorder="1"/>
    <xf numFmtId="0" fontId="19" fillId="0" borderId="12" xfId="0" applyFont="1" applyBorder="1"/>
    <xf numFmtId="0" fontId="18" fillId="0" borderId="4" xfId="0" applyFont="1" applyBorder="1" applyAlignment="1">
      <alignment wrapText="1"/>
    </xf>
    <xf numFmtId="0" fontId="18" fillId="0" borderId="15" xfId="0" applyFont="1" applyBorder="1" applyAlignment="1">
      <alignment horizontal="center"/>
    </xf>
    <xf numFmtId="0" fontId="18" fillId="0" borderId="9" xfId="0" applyFont="1" applyBorder="1" applyAlignment="1">
      <alignment horizontal="center"/>
    </xf>
    <xf numFmtId="0" fontId="6" fillId="0" borderId="4" xfId="0" quotePrefix="1" applyFont="1" applyBorder="1"/>
    <xf numFmtId="0" fontId="18" fillId="0" borderId="11" xfId="1" applyFont="1" applyBorder="1" applyAlignment="1">
      <alignment horizontal="left"/>
    </xf>
    <xf numFmtId="0" fontId="18" fillId="0" borderId="6" xfId="1" applyFont="1" applyBorder="1" applyAlignment="1">
      <alignment horizontal="left"/>
    </xf>
    <xf numFmtId="0" fontId="5" fillId="0" borderId="1" xfId="1" applyFont="1" applyBorder="1"/>
    <xf numFmtId="0" fontId="5" fillId="0" borderId="2" xfId="1" applyFont="1" applyBorder="1"/>
    <xf numFmtId="0" fontId="5" fillId="0" borderId="4" xfId="1" applyFont="1" applyBorder="1"/>
    <xf numFmtId="0" fontId="18" fillId="0" borderId="0" xfId="1" applyFont="1"/>
    <xf numFmtId="0" fontId="18" fillId="0" borderId="1" xfId="1" applyFont="1" applyBorder="1"/>
    <xf numFmtId="0" fontId="5" fillId="0" borderId="5" xfId="1" applyFont="1" applyBorder="1"/>
    <xf numFmtId="170" fontId="18" fillId="0" borderId="4" xfId="1" applyNumberFormat="1" applyFont="1" applyBorder="1"/>
    <xf numFmtId="0" fontId="18" fillId="0" borderId="7" xfId="1" applyFont="1" applyBorder="1"/>
    <xf numFmtId="0" fontId="18" fillId="0" borderId="15" xfId="1" applyFont="1" applyBorder="1"/>
    <xf numFmtId="0" fontId="18" fillId="0" borderId="8" xfId="1" applyFont="1" applyBorder="1"/>
    <xf numFmtId="0" fontId="18" fillId="0" borderId="9" xfId="1" applyFont="1" applyBorder="1"/>
    <xf numFmtId="0" fontId="5" fillId="0" borderId="1" xfId="0" applyFont="1" applyBorder="1"/>
    <xf numFmtId="0" fontId="5" fillId="0" borderId="5" xfId="0" applyFont="1" applyBorder="1"/>
    <xf numFmtId="0" fontId="5" fillId="0" borderId="4" xfId="0" applyFont="1" applyBorder="1"/>
    <xf numFmtId="0" fontId="18" fillId="0" borderId="1" xfId="0" applyFont="1" applyBorder="1"/>
    <xf numFmtId="0" fontId="5" fillId="0" borderId="4" xfId="0" applyFont="1" applyBorder="1" applyAlignment="1">
      <alignment horizontal="right" vertical="center"/>
    </xf>
    <xf numFmtId="2" fontId="18" fillId="0" borderId="4" xfId="0" applyNumberFormat="1" applyFont="1" applyBorder="1" applyAlignment="1">
      <alignment horizontal="right" vertical="center"/>
    </xf>
    <xf numFmtId="2" fontId="18" fillId="0" borderId="4" xfId="0" applyNumberFormat="1" applyFont="1" applyBorder="1" applyAlignment="1">
      <alignment vertical="center"/>
    </xf>
    <xf numFmtId="0" fontId="18" fillId="0" borderId="15" xfId="0" applyFont="1" applyBorder="1" applyAlignment="1">
      <alignment horizontal="right" vertical="center"/>
    </xf>
    <xf numFmtId="0" fontId="18" fillId="0" borderId="15" xfId="0" applyFont="1" applyBorder="1" applyAlignment="1">
      <alignment vertical="center"/>
    </xf>
    <xf numFmtId="0" fontId="18" fillId="0" borderId="7" xfId="0" applyFont="1" applyBorder="1" applyAlignment="1">
      <alignment vertical="center"/>
    </xf>
    <xf numFmtId="0" fontId="18" fillId="0" borderId="8" xfId="0" applyFont="1" applyBorder="1" applyAlignment="1">
      <alignment vertical="center"/>
    </xf>
    <xf numFmtId="0" fontId="18" fillId="0" borderId="12" xfId="0" applyFont="1" applyBorder="1" applyAlignment="1">
      <alignment vertical="center"/>
    </xf>
    <xf numFmtId="0" fontId="18" fillId="0" borderId="0" xfId="0" applyFont="1" applyAlignment="1">
      <alignment vertical="center"/>
    </xf>
    <xf numFmtId="0" fontId="18" fillId="0" borderId="12" xfId="0" applyFont="1" applyBorder="1" applyAlignment="1">
      <alignment horizontal="left"/>
    </xf>
    <xf numFmtId="0" fontId="5" fillId="0" borderId="2" xfId="0" applyFont="1" applyBorder="1"/>
    <xf numFmtId="0" fontId="5" fillId="0" borderId="5" xfId="0" applyFont="1" applyBorder="1" applyAlignment="1">
      <alignment horizontal="center"/>
    </xf>
    <xf numFmtId="0" fontId="5" fillId="0" borderId="2" xfId="0" applyFont="1" applyBorder="1" applyAlignment="1">
      <alignment horizontal="center"/>
    </xf>
    <xf numFmtId="2" fontId="18" fillId="0" borderId="5" xfId="0" applyNumberFormat="1" applyFont="1" applyBorder="1" applyAlignment="1">
      <alignment horizontal="right"/>
    </xf>
    <xf numFmtId="49" fontId="18" fillId="0" borderId="4" xfId="0" applyNumberFormat="1" applyFont="1" applyBorder="1" applyAlignment="1">
      <alignment wrapText="1"/>
    </xf>
    <xf numFmtId="49" fontId="18" fillId="0" borderId="2" xfId="0" applyNumberFormat="1" applyFont="1" applyBorder="1" applyAlignment="1">
      <alignment wrapText="1"/>
    </xf>
    <xf numFmtId="0" fontId="18" fillId="0" borderId="8" xfId="0" applyFont="1" applyBorder="1" applyAlignment="1">
      <alignment horizontal="center"/>
    </xf>
    <xf numFmtId="0" fontId="18" fillId="0" borderId="6" xfId="0" applyFont="1" applyBorder="1" applyAlignment="1">
      <alignment horizontal="left" wrapText="1"/>
    </xf>
    <xf numFmtId="0" fontId="18" fillId="0" borderId="4" xfId="0" quotePrefix="1" applyFont="1" applyBorder="1"/>
    <xf numFmtId="2" fontId="18" fillId="0" borderId="5" xfId="0" applyNumberFormat="1" applyFont="1" applyBorder="1"/>
    <xf numFmtId="2" fontId="18" fillId="0" borderId="2" xfId="0" applyNumberFormat="1" applyFont="1" applyBorder="1"/>
    <xf numFmtId="49" fontId="18" fillId="0" borderId="4" xfId="0" applyNumberFormat="1" applyFont="1" applyBorder="1"/>
    <xf numFmtId="49" fontId="18" fillId="0" borderId="2" xfId="0" applyNumberFormat="1" applyFont="1" applyBorder="1"/>
    <xf numFmtId="0" fontId="18" fillId="0" borderId="4" xfId="0" applyFont="1" applyBorder="1" applyAlignment="1">
      <alignment horizontal="center"/>
    </xf>
    <xf numFmtId="0" fontId="19" fillId="0" borderId="1" xfId="0" applyFont="1" applyBorder="1"/>
    <xf numFmtId="0" fontId="20" fillId="0" borderId="4" xfId="0" applyFont="1" applyBorder="1"/>
    <xf numFmtId="0" fontId="20" fillId="0" borderId="5" xfId="0" applyFont="1" applyBorder="1"/>
    <xf numFmtId="0" fontId="20" fillId="0" borderId="2" xfId="0" applyFont="1" applyBorder="1"/>
    <xf numFmtId="2" fontId="19" fillId="0" borderId="4" xfId="0" applyNumberFormat="1" applyFont="1" applyBorder="1" applyAlignment="1">
      <alignment horizontal="right" vertical="center"/>
    </xf>
    <xf numFmtId="2" fontId="19" fillId="0" borderId="2" xfId="0" applyNumberFormat="1" applyFont="1" applyBorder="1" applyAlignment="1">
      <alignment horizontal="right" vertical="center"/>
    </xf>
    <xf numFmtId="0" fontId="19" fillId="0" borderId="4" xfId="0" applyFont="1" applyBorder="1" applyAlignment="1">
      <alignment horizontal="right"/>
    </xf>
    <xf numFmtId="2" fontId="19" fillId="0" borderId="4" xfId="0" applyNumberFormat="1" applyFont="1" applyBorder="1" applyAlignment="1">
      <alignment horizontal="right"/>
    </xf>
    <xf numFmtId="0" fontId="19" fillId="0" borderId="5" xfId="0" applyFont="1" applyBorder="1" applyAlignment="1">
      <alignment horizontal="right"/>
    </xf>
    <xf numFmtId="0" fontId="19" fillId="0" borderId="2" xfId="0" applyFont="1" applyBorder="1" applyAlignment="1">
      <alignment horizontal="right"/>
    </xf>
    <xf numFmtId="0" fontId="19" fillId="0" borderId="7" xfId="0" applyFont="1" applyBorder="1"/>
    <xf numFmtId="0" fontId="19" fillId="0" borderId="8" xfId="0" applyFont="1" applyBorder="1"/>
    <xf numFmtId="0" fontId="19" fillId="0" borderId="9" xfId="0" applyFont="1" applyBorder="1"/>
    <xf numFmtId="0" fontId="19" fillId="0" borderId="10" xfId="0" applyFont="1" applyBorder="1"/>
    <xf numFmtId="0" fontId="19" fillId="0" borderId="11" xfId="0" applyFont="1" applyBorder="1"/>
    <xf numFmtId="0" fontId="19" fillId="0" borderId="6" xfId="0" applyFont="1" applyBorder="1"/>
    <xf numFmtId="0" fontId="19" fillId="0" borderId="3" xfId="0" applyFont="1" applyBorder="1"/>
    <xf numFmtId="0" fontId="18" fillId="0" borderId="0" xfId="1" applyFont="1" applyAlignment="1">
      <alignment horizontal="left" wrapText="1"/>
    </xf>
    <xf numFmtId="2" fontId="19" fillId="0" borderId="4" xfId="0" applyNumberFormat="1" applyFont="1" applyBorder="1" applyAlignment="1">
      <alignment vertical="center"/>
    </xf>
    <xf numFmtId="2" fontId="19" fillId="0" borderId="2" xfId="0" applyNumberFormat="1" applyFont="1" applyBorder="1" applyAlignment="1">
      <alignment vertical="center"/>
    </xf>
    <xf numFmtId="0" fontId="19" fillId="0" borderId="4" xfId="0" applyFont="1" applyBorder="1"/>
    <xf numFmtId="2" fontId="19" fillId="0" borderId="4" xfId="0" applyNumberFormat="1" applyFont="1" applyBorder="1"/>
    <xf numFmtId="0" fontId="19" fillId="0" borderId="2" xfId="0" applyFont="1" applyBorder="1"/>
    <xf numFmtId="0" fontId="19" fillId="0" borderId="15" xfId="0" applyFont="1" applyBorder="1"/>
    <xf numFmtId="0" fontId="19" fillId="0" borderId="5" xfId="0" applyFont="1" applyBorder="1"/>
    <xf numFmtId="20" fontId="19" fillId="0" borderId="7" xfId="0" applyNumberFormat="1" applyFont="1" applyBorder="1"/>
    <xf numFmtId="20" fontId="19" fillId="0" borderId="12" xfId="0" applyNumberFormat="1" applyFont="1" applyBorder="1"/>
    <xf numFmtId="20" fontId="19" fillId="0" borderId="11" xfId="0" applyNumberFormat="1" applyFont="1" applyBorder="1"/>
    <xf numFmtId="0" fontId="20" fillId="0" borderId="4" xfId="0" applyFont="1" applyBorder="1" applyAlignment="1">
      <alignment horizontal="right"/>
    </xf>
    <xf numFmtId="0" fontId="20" fillId="0" borderId="5" xfId="0" applyFont="1" applyBorder="1" applyAlignment="1">
      <alignment horizontal="right"/>
    </xf>
    <xf numFmtId="0" fontId="20" fillId="0" borderId="2" xfId="0" applyFont="1" applyBorder="1" applyAlignment="1">
      <alignment horizontal="right"/>
    </xf>
    <xf numFmtId="2" fontId="19" fillId="0" borderId="4" xfId="0" applyNumberFormat="1" applyFont="1" applyBorder="1" applyAlignment="1">
      <alignment horizontal="right" vertical="center" wrapText="1"/>
    </xf>
    <xf numFmtId="2" fontId="19" fillId="0" borderId="2" xfId="0" applyNumberFormat="1" applyFont="1" applyBorder="1" applyAlignment="1">
      <alignment horizontal="right" vertical="center" wrapText="1"/>
    </xf>
    <xf numFmtId="0" fontId="18" fillId="0" borderId="11" xfId="1" applyFont="1" applyBorder="1"/>
    <xf numFmtId="0" fontId="18" fillId="0" borderId="16" xfId="1" applyFont="1" applyBorder="1"/>
    <xf numFmtId="0" fontId="18" fillId="0" borderId="4" xfId="1" applyFont="1" applyBorder="1" applyAlignment="1">
      <alignment horizontal="center"/>
    </xf>
    <xf numFmtId="0" fontId="18" fillId="0" borderId="4" xfId="1" applyFont="1" applyBorder="1"/>
    <xf numFmtId="2" fontId="18" fillId="0" borderId="4" xfId="1" applyNumberFormat="1" applyFont="1" applyBorder="1"/>
    <xf numFmtId="166" fontId="18" fillId="0" borderId="4" xfId="1" applyNumberFormat="1" applyFont="1" applyBorder="1"/>
    <xf numFmtId="166" fontId="18" fillId="0" borderId="4" xfId="1" applyNumberFormat="1" applyFont="1" applyBorder="1" applyAlignment="1">
      <alignment horizontal="right"/>
    </xf>
    <xf numFmtId="0" fontId="18" fillId="0" borderId="4" xfId="1" applyFont="1" applyBorder="1" applyAlignment="1">
      <alignment horizontal="right" wrapText="1"/>
    </xf>
    <xf numFmtId="0" fontId="18" fillId="0" borderId="4" xfId="1" applyFont="1" applyBorder="1" applyAlignment="1">
      <alignment horizontal="right"/>
    </xf>
    <xf numFmtId="0" fontId="18" fillId="0" borderId="15" xfId="1" applyFont="1" applyBorder="1" applyAlignment="1">
      <alignment horizontal="center"/>
    </xf>
    <xf numFmtId="0" fontId="18" fillId="0" borderId="7" xfId="1" applyFont="1" applyBorder="1" applyAlignment="1">
      <alignment wrapText="1"/>
    </xf>
    <xf numFmtId="0" fontId="18" fillId="0" borderId="8" xfId="1" applyFont="1" applyBorder="1" applyAlignment="1">
      <alignment wrapText="1"/>
    </xf>
    <xf numFmtId="0" fontId="18" fillId="0" borderId="12" xfId="1" applyFont="1" applyBorder="1" applyAlignment="1">
      <alignment horizontal="left"/>
    </xf>
    <xf numFmtId="0" fontId="18" fillId="0" borderId="11" xfId="1" applyFont="1" applyBorder="1" applyAlignment="1">
      <alignment horizontal="left" wrapText="1"/>
    </xf>
    <xf numFmtId="0" fontId="18" fillId="0" borderId="6" xfId="1" applyFont="1" applyBorder="1" applyAlignment="1">
      <alignment horizontal="left" wrapText="1"/>
    </xf>
    <xf numFmtId="0" fontId="5" fillId="0" borderId="9" xfId="1" applyFont="1" applyBorder="1"/>
    <xf numFmtId="0" fontId="5" fillId="0" borderId="4" xfId="1" applyFont="1" applyBorder="1" applyAlignment="1">
      <alignment horizontal="center"/>
    </xf>
    <xf numFmtId="2" fontId="18" fillId="0" borderId="4" xfId="1" applyNumberFormat="1" applyFont="1" applyBorder="1" applyAlignment="1">
      <alignment horizontal="right"/>
    </xf>
    <xf numFmtId="0" fontId="18" fillId="0" borderId="0" xfId="1" applyFont="1" applyAlignment="1">
      <alignment wrapText="1"/>
    </xf>
    <xf numFmtId="0" fontId="5" fillId="0" borderId="16" xfId="1" applyFont="1" applyBorder="1" applyAlignment="1">
      <alignment horizontal="center"/>
    </xf>
    <xf numFmtId="2" fontId="6" fillId="0" borderId="4" xfId="1" applyNumberFormat="1" applyFont="1" applyBorder="1" applyProtection="1">
      <protection locked="0"/>
    </xf>
    <xf numFmtId="0" fontId="5" fillId="0" borderId="16" xfId="0" applyFont="1" applyBorder="1" applyAlignment="1">
      <alignment horizontal="center"/>
    </xf>
    <xf numFmtId="2" fontId="18" fillId="0" borderId="4" xfId="1" applyNumberFormat="1" applyFont="1" applyBorder="1" applyProtection="1">
      <protection locked="0"/>
    </xf>
    <xf numFmtId="0" fontId="18" fillId="0" borderId="4" xfId="1" applyFont="1" applyBorder="1" applyAlignment="1" applyProtection="1">
      <alignment horizontal="right"/>
      <protection locked="0"/>
    </xf>
    <xf numFmtId="2" fontId="18" fillId="0" borderId="4" xfId="1" applyNumberFormat="1" applyFont="1" applyBorder="1" applyAlignment="1" applyProtection="1">
      <alignment horizontal="center" vertical="center" wrapText="1"/>
      <protection locked="0"/>
    </xf>
    <xf numFmtId="0" fontId="18" fillId="0" borderId="4" xfId="0" applyFont="1" applyBorder="1" applyAlignment="1">
      <alignment horizontal="center" vertical="center" wrapText="1"/>
    </xf>
    <xf numFmtId="2" fontId="18" fillId="0" borderId="1" xfId="0" applyNumberFormat="1" applyFont="1" applyBorder="1"/>
    <xf numFmtId="0" fontId="5" fillId="0" borderId="8" xfId="0" applyFont="1" applyBorder="1" applyAlignment="1">
      <alignment horizontal="center"/>
    </xf>
    <xf numFmtId="0" fontId="5" fillId="0" borderId="0" xfId="0" applyFont="1" applyAlignment="1">
      <alignment horizontal="center"/>
    </xf>
    <xf numFmtId="0" fontId="18" fillId="0" borderId="6" xfId="0" applyFont="1" applyBorder="1" applyAlignment="1">
      <alignment wrapText="1"/>
    </xf>
    <xf numFmtId="2" fontId="18" fillId="0" borderId="4" xfId="1" applyNumberFormat="1" applyFont="1" applyBorder="1" applyAlignment="1" applyProtection="1">
      <alignment horizontal="right"/>
      <protection locked="0"/>
    </xf>
    <xf numFmtId="0" fontId="18" fillId="0" borderId="4" xfId="0" applyFont="1" applyBorder="1" applyAlignment="1">
      <alignment horizontal="center" wrapText="1"/>
    </xf>
    <xf numFmtId="0" fontId="5" fillId="0" borderId="9" xfId="0" applyFont="1" applyBorder="1" applyAlignment="1">
      <alignment horizontal="center"/>
    </xf>
    <xf numFmtId="0" fontId="5" fillId="0" borderId="10" xfId="0" applyFont="1" applyBorder="1" applyAlignment="1">
      <alignment horizontal="center"/>
    </xf>
    <xf numFmtId="0" fontId="18" fillId="0" borderId="11" xfId="0" applyFont="1" applyBorder="1" applyAlignment="1">
      <alignment vertical="center"/>
    </xf>
    <xf numFmtId="0" fontId="18" fillId="0" borderId="6" xfId="0" applyFont="1" applyBorder="1" applyAlignment="1">
      <alignment vertical="center" wrapText="1"/>
    </xf>
    <xf numFmtId="2" fontId="18" fillId="0" borderId="4" xfId="1" applyNumberFormat="1" applyFont="1" applyBorder="1" applyAlignment="1" applyProtection="1">
      <alignment horizontal="right" vertical="center" wrapText="1"/>
      <protection locked="0"/>
    </xf>
    <xf numFmtId="0" fontId="18" fillId="0" borderId="0" xfId="0" applyFont="1" applyAlignment="1">
      <alignment horizontal="left" vertical="center" wrapText="1"/>
    </xf>
    <xf numFmtId="0" fontId="5" fillId="3" borderId="1" xfId="0" applyFont="1" applyFill="1" applyBorder="1"/>
    <xf numFmtId="0" fontId="5" fillId="0" borderId="0" xfId="0" applyFont="1"/>
    <xf numFmtId="0" fontId="5" fillId="0" borderId="11" xfId="0" applyFont="1" applyBorder="1"/>
    <xf numFmtId="0" fontId="5" fillId="0" borderId="3" xfId="0" applyFont="1" applyBorder="1"/>
    <xf numFmtId="1" fontId="18" fillId="0" borderId="5" xfId="0" applyNumberFormat="1" applyFont="1" applyBorder="1"/>
    <xf numFmtId="1" fontId="18" fillId="0" borderId="2" xfId="0" applyNumberFormat="1" applyFont="1" applyBorder="1"/>
    <xf numFmtId="0" fontId="5" fillId="0" borderId="1" xfId="0" applyFont="1" applyBorder="1" applyAlignment="1">
      <alignment wrapText="1"/>
    </xf>
    <xf numFmtId="0" fontId="5" fillId="0" borderId="2" xfId="0" applyFont="1" applyBorder="1" applyAlignment="1">
      <alignment wrapText="1"/>
    </xf>
    <xf numFmtId="0" fontId="5" fillId="0" borderId="4" xfId="0" applyFont="1" applyBorder="1" applyAlignment="1">
      <alignment wrapText="1"/>
    </xf>
    <xf numFmtId="0" fontId="18" fillId="0" borderId="0" xfId="0" applyFont="1" applyAlignment="1">
      <alignment wrapText="1"/>
    </xf>
    <xf numFmtId="0" fontId="18" fillId="0" borderId="1" xfId="0" applyFont="1" applyBorder="1" applyAlignment="1">
      <alignment wrapText="1"/>
    </xf>
    <xf numFmtId="0" fontId="5" fillId="0" borderId="4" xfId="0" applyFont="1" applyBorder="1" applyAlignment="1">
      <alignment horizontal="center" wrapText="1"/>
    </xf>
    <xf numFmtId="0" fontId="5" fillId="0" borderId="5" xfId="0" applyFont="1" applyBorder="1" applyAlignment="1">
      <alignment horizontal="center" wrapText="1"/>
    </xf>
    <xf numFmtId="2" fontId="18" fillId="0" borderId="4" xfId="0" applyNumberFormat="1" applyFont="1" applyBorder="1" applyAlignment="1">
      <alignment wrapText="1"/>
    </xf>
    <xf numFmtId="2" fontId="18" fillId="0" borderId="5" xfId="0" applyNumberFormat="1" applyFont="1" applyBorder="1" applyAlignment="1">
      <alignment wrapText="1"/>
    </xf>
    <xf numFmtId="2" fontId="18" fillId="0" borderId="2" xfId="0" applyNumberFormat="1" applyFont="1" applyBorder="1" applyAlignment="1">
      <alignment wrapText="1"/>
    </xf>
    <xf numFmtId="0" fontId="18" fillId="0" borderId="5" xfId="0" applyFont="1" applyBorder="1" applyAlignment="1">
      <alignment wrapText="1"/>
    </xf>
    <xf numFmtId="0" fontId="18" fillId="0" borderId="2" xfId="0" applyFont="1" applyBorder="1" applyAlignment="1">
      <alignment wrapText="1"/>
    </xf>
    <xf numFmtId="0" fontId="18" fillId="0" borderId="7" xfId="0" applyFont="1" applyBorder="1" applyAlignment="1">
      <alignment wrapText="1"/>
    </xf>
    <xf numFmtId="0" fontId="18" fillId="0" borderId="15" xfId="0" applyFont="1" applyBorder="1" applyAlignment="1">
      <alignment wrapText="1"/>
    </xf>
    <xf numFmtId="0" fontId="18" fillId="0" borderId="8" xfId="0" applyFont="1" applyBorder="1" applyAlignment="1">
      <alignment wrapText="1"/>
    </xf>
    <xf numFmtId="0" fontId="18" fillId="0" borderId="9" xfId="0" applyFont="1" applyBorder="1" applyAlignment="1">
      <alignment wrapText="1"/>
    </xf>
    <xf numFmtId="0" fontId="18" fillId="0" borderId="10" xfId="0" applyFont="1" applyBorder="1" applyAlignment="1">
      <alignment wrapText="1"/>
    </xf>
    <xf numFmtId="0" fontId="18" fillId="0" borderId="3" xfId="0" applyFont="1" applyBorder="1" applyAlignment="1">
      <alignment wrapText="1"/>
    </xf>
    <xf numFmtId="0" fontId="5" fillId="4" borderId="4" xfId="0" applyFont="1" applyFill="1" applyBorder="1" applyAlignment="1">
      <alignment horizontal="center"/>
    </xf>
    <xf numFmtId="0" fontId="5" fillId="4" borderId="5" xfId="0" applyFont="1" applyFill="1" applyBorder="1" applyAlignment="1">
      <alignment horizontal="center"/>
    </xf>
    <xf numFmtId="2" fontId="18" fillId="4" borderId="4" xfId="0" applyNumberFormat="1" applyFont="1" applyFill="1" applyBorder="1"/>
    <xf numFmtId="2" fontId="18" fillId="4" borderId="5" xfId="0" applyNumberFormat="1" applyFont="1" applyFill="1" applyBorder="1"/>
    <xf numFmtId="2" fontId="18" fillId="4" borderId="2" xfId="0" applyNumberFormat="1" applyFont="1" applyFill="1" applyBorder="1"/>
    <xf numFmtId="0" fontId="18" fillId="4" borderId="4" xfId="0" applyFont="1" applyFill="1" applyBorder="1"/>
    <xf numFmtId="0" fontId="18" fillId="4" borderId="5" xfId="0" applyFont="1" applyFill="1" applyBorder="1"/>
    <xf numFmtId="0" fontId="18" fillId="4" borderId="2" xfId="0" applyFont="1" applyFill="1" applyBorder="1"/>
    <xf numFmtId="0" fontId="18" fillId="4" borderId="15" xfId="0" applyFont="1" applyFill="1" applyBorder="1"/>
    <xf numFmtId="0" fontId="5" fillId="2" borderId="1" xfId="1" applyFont="1" applyFill="1" applyBorder="1"/>
    <xf numFmtId="0" fontId="18" fillId="0" borderId="0" xfId="2" applyFont="1"/>
    <xf numFmtId="0" fontId="5" fillId="0" borderId="5" xfId="1" applyFont="1" applyBorder="1" applyAlignment="1">
      <alignment horizontal="center"/>
    </xf>
    <xf numFmtId="2" fontId="18" fillId="0" borderId="0" xfId="0" applyNumberFormat="1" applyFont="1"/>
    <xf numFmtId="0" fontId="18" fillId="0" borderId="7" xfId="0" applyFont="1" applyBorder="1" applyAlignment="1">
      <alignment horizontal="left" vertical="center" wrapText="1"/>
    </xf>
    <xf numFmtId="0" fontId="18" fillId="0" borderId="8" xfId="0" applyFont="1" applyBorder="1" applyAlignment="1">
      <alignment vertical="center" wrapText="1"/>
    </xf>
    <xf numFmtId="0" fontId="18" fillId="0" borderId="0" xfId="0" applyFont="1" applyAlignment="1">
      <alignment vertical="center" wrapText="1"/>
    </xf>
    <xf numFmtId="2" fontId="18" fillId="0" borderId="15" xfId="1" applyNumberFormat="1" applyFont="1" applyBorder="1"/>
    <xf numFmtId="0" fontId="18" fillId="0" borderId="1" xfId="1" applyFont="1" applyBorder="1" applyAlignment="1">
      <alignment wrapText="1"/>
    </xf>
    <xf numFmtId="0" fontId="18" fillId="0" borderId="5" xfId="1" applyFont="1" applyBorder="1" applyAlignment="1">
      <alignment wrapText="1"/>
    </xf>
    <xf numFmtId="0" fontId="18" fillId="0" borderId="2" xfId="1" applyFont="1" applyBorder="1" applyAlignment="1">
      <alignment wrapText="1"/>
    </xf>
    <xf numFmtId="0" fontId="18" fillId="0" borderId="6" xfId="1" applyFont="1" applyBorder="1"/>
    <xf numFmtId="0" fontId="18" fillId="0" borderId="3" xfId="1" applyFont="1" applyBorder="1" applyAlignment="1">
      <alignment wrapText="1"/>
    </xf>
    <xf numFmtId="0" fontId="6" fillId="0" borderId="11" xfId="3" applyFont="1" applyBorder="1"/>
    <xf numFmtId="0" fontId="5" fillId="0" borderId="1" xfId="2" applyFont="1" applyBorder="1"/>
    <xf numFmtId="0" fontId="5" fillId="0" borderId="2" xfId="2" applyFont="1" applyBorder="1"/>
    <xf numFmtId="0" fontId="5" fillId="0" borderId="4" xfId="2" applyFont="1" applyBorder="1"/>
    <xf numFmtId="0" fontId="18" fillId="0" borderId="1" xfId="2" applyFont="1" applyBorder="1"/>
    <xf numFmtId="1" fontId="5" fillId="0" borderId="4" xfId="2" applyNumberFormat="1" applyFont="1" applyBorder="1" applyAlignment="1">
      <alignment horizontal="center" vertical="top"/>
    </xf>
    <xf numFmtId="2" fontId="18" fillId="0" borderId="4" xfId="2" applyNumberFormat="1" applyFont="1" applyBorder="1" applyAlignment="1">
      <alignment horizontal="right"/>
    </xf>
    <xf numFmtId="0" fontId="18" fillId="0" borderId="7" xfId="2" applyFont="1" applyBorder="1"/>
    <xf numFmtId="0" fontId="18" fillId="0" borderId="15" xfId="2" applyFont="1" applyBorder="1"/>
    <xf numFmtId="0" fontId="18" fillId="0" borderId="12" xfId="2" applyFont="1" applyBorder="1"/>
    <xf numFmtId="0" fontId="18" fillId="0" borderId="10" xfId="2" applyFont="1" applyBorder="1"/>
    <xf numFmtId="0" fontId="18" fillId="0" borderId="12" xfId="3" applyFont="1" applyBorder="1" applyAlignment="1">
      <alignment horizontal="left"/>
    </xf>
    <xf numFmtId="0" fontId="18" fillId="0" borderId="11" xfId="2" applyFont="1" applyBorder="1" applyAlignment="1">
      <alignment horizontal="left"/>
    </xf>
    <xf numFmtId="0" fontId="18" fillId="0" borderId="6" xfId="2" applyFont="1" applyBorder="1" applyAlignment="1">
      <alignment horizontal="left"/>
    </xf>
    <xf numFmtId="0" fontId="18" fillId="0" borderId="3" xfId="2" applyFont="1" applyBorder="1" applyAlignment="1">
      <alignment horizontal="left"/>
    </xf>
    <xf numFmtId="0" fontId="18" fillId="0" borderId="8" xfId="1" applyFont="1" applyBorder="1" applyAlignment="1">
      <alignment horizontal="center"/>
    </xf>
    <xf numFmtId="0" fontId="18" fillId="0" borderId="12" xfId="1" applyFont="1" applyBorder="1"/>
    <xf numFmtId="1" fontId="18" fillId="0" borderId="15" xfId="0" applyNumberFormat="1" applyFont="1" applyBorder="1" applyAlignment="1">
      <alignment horizontal="center"/>
    </xf>
    <xf numFmtId="0" fontId="22" fillId="0" borderId="0" xfId="0" applyFont="1"/>
    <xf numFmtId="0" fontId="5" fillId="0" borderId="1" xfId="0" applyFont="1" applyBorder="1" applyAlignment="1">
      <alignment horizontal="center"/>
    </xf>
    <xf numFmtId="2" fontId="18" fillId="0" borderId="4" xfId="0" applyNumberFormat="1" applyFont="1" applyBorder="1" applyAlignment="1">
      <alignment horizontal="right" vertical="center" wrapText="1"/>
    </xf>
    <xf numFmtId="2" fontId="18" fillId="0" borderId="1" xfId="0" applyNumberFormat="1" applyFont="1" applyBorder="1" applyAlignment="1">
      <alignment horizontal="right" vertical="center" wrapText="1"/>
    </xf>
    <xf numFmtId="2" fontId="18" fillId="0" borderId="1" xfId="0" applyNumberFormat="1" applyFont="1" applyBorder="1" applyAlignment="1">
      <alignment horizontal="right"/>
    </xf>
    <xf numFmtId="0" fontId="18" fillId="0" borderId="7" xfId="0" applyFont="1" applyBorder="1" applyAlignment="1">
      <alignment horizontal="center"/>
    </xf>
    <xf numFmtId="2" fontId="18" fillId="0" borderId="2" xfId="1" applyNumberFormat="1" applyFont="1" applyBorder="1"/>
    <xf numFmtId="2" fontId="18" fillId="0" borderId="4" xfId="1" quotePrefix="1" applyNumberFormat="1" applyFont="1" applyBorder="1" applyAlignment="1">
      <alignment horizontal="right"/>
    </xf>
    <xf numFmtId="166" fontId="18" fillId="0" borderId="4" xfId="1" applyNumberFormat="1" applyFont="1" applyBorder="1" applyAlignment="1">
      <alignment horizontal="right" vertical="center"/>
    </xf>
    <xf numFmtId="0" fontId="18" fillId="0" borderId="7" xfId="1" applyFont="1" applyBorder="1" applyAlignment="1">
      <alignment horizontal="left"/>
    </xf>
    <xf numFmtId="0" fontId="18" fillId="0" borderId="8" xfId="1" applyFont="1" applyBorder="1" applyAlignment="1">
      <alignment horizontal="left"/>
    </xf>
    <xf numFmtId="0" fontId="5" fillId="0" borderId="2" xfId="0" applyFont="1" applyBorder="1" applyAlignment="1">
      <alignment horizontal="left"/>
    </xf>
    <xf numFmtId="0" fontId="18" fillId="0" borderId="16" xfId="0" applyFont="1" applyBorder="1"/>
    <xf numFmtId="49" fontId="18" fillId="0" borderId="4" xfId="1" applyNumberFormat="1" applyFont="1" applyBorder="1" applyAlignment="1">
      <alignment horizontal="center" wrapText="1"/>
    </xf>
    <xf numFmtId="0" fontId="18" fillId="0" borderId="0" xfId="0" applyFont="1" applyAlignment="1">
      <alignment horizontal="center"/>
    </xf>
    <xf numFmtId="0" fontId="18" fillId="0" borderId="10" xfId="0" applyFont="1" applyBorder="1" applyAlignment="1">
      <alignment horizontal="center"/>
    </xf>
    <xf numFmtId="49" fontId="18" fillId="0" borderId="4" xfId="0" applyNumberFormat="1" applyFont="1" applyBorder="1" applyAlignment="1">
      <alignment horizontal="center"/>
    </xf>
    <xf numFmtId="164" fontId="18" fillId="0" borderId="4" xfId="1" applyNumberFormat="1" applyFont="1" applyBorder="1"/>
    <xf numFmtId="1" fontId="18" fillId="0" borderId="15" xfId="1" applyNumberFormat="1" applyFont="1" applyBorder="1"/>
    <xf numFmtId="0" fontId="18" fillId="0" borderId="7" xfId="1" applyFont="1" applyBorder="1" applyAlignment="1">
      <alignment horizontal="left" vertical="top"/>
    </xf>
    <xf numFmtId="0" fontId="18" fillId="0" borderId="8" xfId="1" applyFont="1" applyBorder="1" applyAlignment="1">
      <alignment horizontal="left" vertical="top"/>
    </xf>
    <xf numFmtId="0" fontId="18" fillId="0" borderId="9" xfId="1" applyFont="1" applyBorder="1" applyAlignment="1">
      <alignment horizontal="left" vertical="top"/>
    </xf>
    <xf numFmtId="0" fontId="18" fillId="0" borderId="0" xfId="0" applyFont="1" applyAlignment="1">
      <alignment horizontal="left"/>
    </xf>
    <xf numFmtId="0" fontId="5" fillId="0" borderId="16" xfId="0" applyFont="1" applyBorder="1"/>
    <xf numFmtId="0" fontId="5" fillId="0" borderId="15" xfId="0" applyFont="1" applyBorder="1"/>
    <xf numFmtId="0" fontId="5" fillId="0" borderId="8" xfId="0" applyFont="1" applyBorder="1"/>
    <xf numFmtId="0" fontId="5" fillId="0" borderId="8" xfId="0" applyFont="1" applyBorder="1" applyAlignment="1">
      <alignment horizontal="right"/>
    </xf>
    <xf numFmtId="0" fontId="5" fillId="0" borderId="6" xfId="0" applyFont="1" applyBorder="1"/>
    <xf numFmtId="0" fontId="5" fillId="0" borderId="6" xfId="0" applyFont="1" applyBorder="1" applyAlignment="1">
      <alignment horizontal="right"/>
    </xf>
    <xf numFmtId="0" fontId="5" fillId="0" borderId="2" xfId="0" applyFont="1" applyBorder="1" applyAlignment="1">
      <alignment horizontal="center" vertical="top" wrapText="1"/>
    </xf>
    <xf numFmtId="0" fontId="5" fillId="0" borderId="13" xfId="0" applyFont="1" applyBorder="1" applyAlignment="1">
      <alignment horizontal="center" vertical="top" wrapText="1"/>
    </xf>
    <xf numFmtId="2" fontId="18" fillId="0" borderId="14" xfId="0" applyNumberFormat="1" applyFont="1" applyBorder="1"/>
    <xf numFmtId="0" fontId="5" fillId="2" borderId="17" xfId="4" applyFont="1" applyFill="1" applyBorder="1"/>
    <xf numFmtId="0" fontId="18" fillId="0" borderId="0" xfId="4" applyFont="1"/>
    <xf numFmtId="0" fontId="5" fillId="0" borderId="17" xfId="4" applyFont="1" applyBorder="1"/>
    <xf numFmtId="0" fontId="5" fillId="0" borderId="20" xfId="4" applyFont="1" applyBorder="1"/>
    <xf numFmtId="0" fontId="5" fillId="0" borderId="4" xfId="4" applyFont="1" applyBorder="1"/>
    <xf numFmtId="0" fontId="18" fillId="0" borderId="17" xfId="4" applyFont="1" applyBorder="1"/>
    <xf numFmtId="0" fontId="18" fillId="0" borderId="19" xfId="4" applyFont="1" applyBorder="1"/>
    <xf numFmtId="0" fontId="5" fillId="0" borderId="26" xfId="4" applyFont="1" applyBorder="1" applyAlignment="1">
      <alignment horizontal="center"/>
    </xf>
    <xf numFmtId="0" fontId="5" fillId="0" borderId="18" xfId="4" applyFont="1" applyBorder="1" applyAlignment="1">
      <alignment horizontal="center"/>
    </xf>
    <xf numFmtId="0" fontId="5" fillId="0" borderId="19" xfId="4" applyFont="1" applyBorder="1" applyAlignment="1">
      <alignment horizontal="center"/>
    </xf>
    <xf numFmtId="2" fontId="18" fillId="0" borderId="19" xfId="4" applyNumberFormat="1" applyFont="1" applyBorder="1" applyAlignment="1">
      <alignment horizontal="right"/>
    </xf>
    <xf numFmtId="2" fontId="18" fillId="0" borderId="19" xfId="4" applyNumberFormat="1" applyFont="1" applyBorder="1"/>
    <xf numFmtId="2" fontId="18" fillId="0" borderId="22" xfId="4" applyNumberFormat="1" applyFont="1" applyBorder="1"/>
    <xf numFmtId="0" fontId="18" fillId="0" borderId="27" xfId="4" applyFont="1" applyBorder="1"/>
    <xf numFmtId="0" fontId="18" fillId="0" borderId="28" xfId="4" applyFont="1" applyBorder="1"/>
    <xf numFmtId="0" fontId="18" fillId="0" borderId="28" xfId="4" applyFont="1" applyBorder="1" applyAlignment="1">
      <alignment horizontal="center"/>
    </xf>
    <xf numFmtId="0" fontId="18" fillId="0" borderId="23" xfId="4" applyFont="1" applyBorder="1" applyAlignment="1">
      <alignment horizontal="center"/>
    </xf>
    <xf numFmtId="0" fontId="18" fillId="0" borderId="0" xfId="4" applyFont="1" applyAlignment="1">
      <alignment horizontal="left" wrapText="1"/>
    </xf>
    <xf numFmtId="0" fontId="18" fillId="0" borderId="6" xfId="4" applyFont="1" applyBorder="1" applyAlignment="1">
      <alignment horizontal="left" wrapText="1"/>
    </xf>
    <xf numFmtId="2" fontId="18" fillId="0" borderId="19" xfId="4" quotePrefix="1" applyNumberFormat="1" applyFont="1" applyBorder="1"/>
    <xf numFmtId="2" fontId="18" fillId="0" borderId="19" xfId="4" applyNumberFormat="1" applyFont="1" applyBorder="1" applyAlignment="1">
      <alignment wrapText="1"/>
    </xf>
    <xf numFmtId="0" fontId="5" fillId="0" borderId="20" xfId="4" applyFont="1" applyBorder="1" applyAlignment="1">
      <alignment horizontal="center"/>
    </xf>
    <xf numFmtId="0" fontId="5" fillId="0" borderId="4" xfId="4" applyFont="1" applyBorder="1" applyAlignment="1">
      <alignment horizontal="center"/>
    </xf>
    <xf numFmtId="2" fontId="18" fillId="0" borderId="20" xfId="4" applyNumberFormat="1" applyFont="1" applyBorder="1"/>
    <xf numFmtId="0" fontId="18" fillId="0" borderId="29" xfId="4" applyFont="1" applyBorder="1" applyAlignment="1">
      <alignment horizontal="center"/>
    </xf>
    <xf numFmtId="0" fontId="18" fillId="0" borderId="15" xfId="4" applyFont="1" applyBorder="1" applyAlignment="1">
      <alignment horizontal="center"/>
    </xf>
    <xf numFmtId="0" fontId="18" fillId="0" borderId="7" xfId="4" applyFont="1" applyBorder="1"/>
    <xf numFmtId="0" fontId="18" fillId="0" borderId="8" xfId="4" applyFont="1" applyBorder="1"/>
    <xf numFmtId="0" fontId="18" fillId="0" borderId="9" xfId="4" applyFont="1" applyBorder="1"/>
    <xf numFmtId="0" fontId="18" fillId="0" borderId="12" xfId="4" applyFont="1" applyBorder="1"/>
    <xf numFmtId="0" fontId="18" fillId="0" borderId="10" xfId="4" applyFont="1" applyBorder="1"/>
    <xf numFmtId="0" fontId="18" fillId="0" borderId="11" xfId="4" applyFont="1" applyBorder="1"/>
    <xf numFmtId="0" fontId="18" fillId="0" borderId="6" xfId="4" applyFont="1" applyBorder="1"/>
    <xf numFmtId="0" fontId="18" fillId="0" borderId="3" xfId="4" applyFont="1" applyBorder="1"/>
    <xf numFmtId="0" fontId="5" fillId="0" borderId="21" xfId="4" applyFont="1" applyBorder="1" applyAlignment="1">
      <alignment horizontal="center"/>
    </xf>
    <xf numFmtId="2" fontId="18" fillId="0" borderId="21" xfId="4" applyNumberFormat="1" applyFont="1" applyBorder="1"/>
    <xf numFmtId="2" fontId="18" fillId="0" borderId="22" xfId="4" applyNumberFormat="1" applyFont="1" applyBorder="1" applyAlignment="1">
      <alignment horizontal="right"/>
    </xf>
    <xf numFmtId="0" fontId="18" fillId="0" borderId="0" xfId="4" applyFont="1" applyAlignment="1">
      <alignment horizontal="center"/>
    </xf>
    <xf numFmtId="0" fontId="5" fillId="0" borderId="0" xfId="4" applyFont="1" applyAlignment="1">
      <alignment horizontal="center"/>
    </xf>
    <xf numFmtId="0" fontId="5" fillId="0" borderId="28" xfId="4" applyFont="1" applyBorder="1" applyAlignment="1">
      <alignment horizontal="center"/>
    </xf>
    <xf numFmtId="0" fontId="5" fillId="0" borderId="29" xfId="4" applyFont="1" applyBorder="1" applyAlignment="1">
      <alignment horizontal="center"/>
    </xf>
    <xf numFmtId="2" fontId="18" fillId="0" borderId="4" xfId="4" applyNumberFormat="1" applyFont="1" applyBorder="1" applyAlignment="1">
      <alignment horizontal="right"/>
    </xf>
    <xf numFmtId="2" fontId="18" fillId="0" borderId="26" xfId="4" applyNumberFormat="1" applyFont="1" applyBorder="1" applyAlignment="1">
      <alignment horizontal="right"/>
    </xf>
    <xf numFmtId="0" fontId="18" fillId="0" borderId="19" xfId="4" applyFont="1" applyBorder="1" applyAlignment="1">
      <alignment horizontal="right"/>
    </xf>
    <xf numFmtId="0" fontId="18" fillId="0" borderId="20" xfId="4" applyFont="1" applyBorder="1"/>
    <xf numFmtId="0" fontId="18" fillId="0" borderId="8" xfId="4" applyFont="1" applyBorder="1" applyAlignment="1">
      <alignment horizontal="center"/>
    </xf>
    <xf numFmtId="49" fontId="18" fillId="0" borderId="4" xfId="1" quotePrefix="1" applyNumberFormat="1" applyFont="1" applyBorder="1" applyAlignment="1">
      <alignment horizontal="center" wrapText="1"/>
    </xf>
    <xf numFmtId="0" fontId="18" fillId="0" borderId="6" xfId="0" applyFont="1" applyBorder="1" applyAlignment="1">
      <alignment horizontal="center"/>
    </xf>
    <xf numFmtId="0" fontId="7" fillId="0" borderId="6" xfId="0" applyFont="1" applyBorder="1" applyAlignment="1">
      <alignment horizontal="left" vertical="center" wrapText="1"/>
    </xf>
    <xf numFmtId="0" fontId="7" fillId="0" borderId="11" xfId="0" applyFont="1" applyBorder="1" applyAlignment="1">
      <alignment horizontal="left" vertical="center"/>
    </xf>
    <xf numFmtId="0" fontId="7" fillId="0" borderId="0" xfId="0" applyFont="1" applyAlignment="1">
      <alignment horizontal="left" vertical="center"/>
    </xf>
    <xf numFmtId="0" fontId="16" fillId="0" borderId="5" xfId="0" applyFont="1" applyBorder="1"/>
    <xf numFmtId="0" fontId="18" fillId="0" borderId="5" xfId="0" applyFont="1" applyBorder="1"/>
    <xf numFmtId="2" fontId="6" fillId="0" borderId="4" xfId="0" applyNumberFormat="1" applyFont="1" applyBorder="1" applyAlignment="1">
      <alignment horizontal="right" vertical="center"/>
    </xf>
    <xf numFmtId="0" fontId="18" fillId="0" borderId="0" xfId="0" applyFont="1" applyAlignment="1">
      <alignment horizontal="left" wrapText="1"/>
    </xf>
    <xf numFmtId="0" fontId="19" fillId="0" borderId="15" xfId="0" applyFont="1" applyBorder="1" applyAlignment="1">
      <alignment horizontal="right"/>
    </xf>
    <xf numFmtId="0" fontId="19" fillId="0" borderId="8" xfId="0" applyFont="1" applyBorder="1" applyAlignment="1">
      <alignment horizontal="right"/>
    </xf>
    <xf numFmtId="0" fontId="19" fillId="0" borderId="9" xfId="0" applyFont="1" applyBorder="1" applyAlignment="1">
      <alignment horizontal="right"/>
    </xf>
    <xf numFmtId="0" fontId="18" fillId="0" borderId="1" xfId="1" applyFont="1" applyBorder="1" applyAlignment="1">
      <alignment horizontal="left"/>
    </xf>
    <xf numFmtId="0" fontId="18" fillId="0" borderId="5" xfId="1" applyFont="1" applyBorder="1" applyAlignment="1">
      <alignment horizontal="left"/>
    </xf>
    <xf numFmtId="0" fontId="18" fillId="0" borderId="15" xfId="1" applyFont="1" applyBorder="1" applyAlignment="1">
      <alignment wrapText="1"/>
    </xf>
    <xf numFmtId="0" fontId="18" fillId="0" borderId="9" xfId="1" applyFont="1" applyBorder="1" applyAlignment="1">
      <alignment wrapText="1"/>
    </xf>
    <xf numFmtId="0" fontId="7" fillId="0" borderId="9" xfId="1" applyFont="1" applyBorder="1" applyAlignment="1">
      <alignment wrapText="1"/>
    </xf>
    <xf numFmtId="0" fontId="18" fillId="0" borderId="12" xfId="0" applyFont="1" applyBorder="1" applyAlignment="1">
      <alignment wrapText="1"/>
    </xf>
    <xf numFmtId="0" fontId="18" fillId="0" borderId="6" xfId="1" applyFont="1" applyBorder="1" applyAlignment="1">
      <alignment wrapText="1"/>
    </xf>
    <xf numFmtId="167" fontId="7" fillId="0" borderId="15" xfId="2" applyNumberFormat="1" applyFont="1" applyBorder="1"/>
    <xf numFmtId="40" fontId="7" fillId="0" borderId="5" xfId="2" applyNumberFormat="1" applyFont="1" applyBorder="1"/>
    <xf numFmtId="40" fontId="7" fillId="0" borderId="2" xfId="2" applyNumberFormat="1" applyFont="1" applyBorder="1"/>
    <xf numFmtId="166" fontId="7" fillId="0" borderId="0" xfId="2" applyNumberFormat="1" applyFont="1" applyAlignment="1">
      <alignment horizontal="center"/>
    </xf>
    <xf numFmtId="0" fontId="7" fillId="0" borderId="0" xfId="3" applyFont="1" applyAlignment="1">
      <alignment wrapText="1"/>
    </xf>
    <xf numFmtId="0" fontId="18" fillId="0" borderId="8" xfId="2" applyFont="1" applyBorder="1"/>
    <xf numFmtId="0" fontId="18" fillId="0" borderId="9" xfId="2" applyFont="1" applyBorder="1"/>
    <xf numFmtId="0" fontId="18" fillId="0" borderId="0" xfId="2" applyFont="1" applyAlignment="1">
      <alignment horizontal="left"/>
    </xf>
    <xf numFmtId="0" fontId="18" fillId="0" borderId="0" xfId="2" applyFont="1" applyAlignment="1">
      <alignment horizontal="center"/>
    </xf>
    <xf numFmtId="168" fontId="18" fillId="0" borderId="0" xfId="2" applyNumberFormat="1" applyFont="1"/>
    <xf numFmtId="166" fontId="18" fillId="0" borderId="0" xfId="2" applyNumberFormat="1" applyFont="1" applyAlignment="1">
      <alignment horizontal="center"/>
    </xf>
    <xf numFmtId="0" fontId="7" fillId="0" borderId="0" xfId="1" applyFont="1" applyAlignment="1">
      <alignment horizontal="center"/>
    </xf>
    <xf numFmtId="0" fontId="5" fillId="0" borderId="0" xfId="0" applyFont="1" applyAlignment="1">
      <alignment horizontal="right"/>
    </xf>
    <xf numFmtId="0" fontId="18" fillId="0" borderId="8" xfId="4" applyFont="1" applyBorder="1" applyAlignment="1">
      <alignment wrapText="1"/>
    </xf>
    <xf numFmtId="0" fontId="18" fillId="0" borderId="6" xfId="4" applyFont="1" applyBorder="1" applyAlignment="1">
      <alignment wrapText="1"/>
    </xf>
    <xf numFmtId="0" fontId="18" fillId="0" borderId="12" xfId="4" applyFont="1" applyBorder="1" applyAlignment="1">
      <alignment horizontal="left"/>
    </xf>
    <xf numFmtId="0" fontId="18" fillId="0" borderId="0" xfId="4" applyFont="1" applyAlignment="1">
      <alignment wrapText="1"/>
    </xf>
    <xf numFmtId="0" fontId="18" fillId="0" borderId="9" xfId="4" applyFont="1" applyBorder="1" applyAlignment="1">
      <alignment horizontal="center"/>
    </xf>
    <xf numFmtId="2" fontId="6" fillId="0" borderId="19" xfId="4" applyNumberFormat="1" applyFont="1" applyBorder="1" applyAlignment="1">
      <alignment horizontal="right"/>
    </xf>
    <xf numFmtId="0" fontId="6" fillId="0" borderId="1" xfId="4" applyFont="1" applyBorder="1"/>
    <xf numFmtId="2" fontId="18" fillId="0" borderId="7" xfId="0" applyNumberFormat="1" applyFont="1" applyBorder="1"/>
    <xf numFmtId="2" fontId="18" fillId="0" borderId="15" xfId="0" applyNumberFormat="1" applyFont="1" applyBorder="1"/>
    <xf numFmtId="0" fontId="5" fillId="0" borderId="6" xfId="0" applyFont="1" applyBorder="1" applyAlignment="1">
      <alignment horizontal="center"/>
    </xf>
    <xf numFmtId="0" fontId="18" fillId="0" borderId="9" xfId="1" applyFont="1" applyBorder="1" applyAlignment="1">
      <alignment horizontal="center"/>
    </xf>
    <xf numFmtId="0" fontId="18" fillId="0" borderId="11" xfId="1" applyFont="1" applyBorder="1" applyAlignment="1">
      <alignment horizontal="left" vertical="center"/>
    </xf>
    <xf numFmtId="0" fontId="18" fillId="0" borderId="6" xfId="1" applyFont="1" applyBorder="1" applyAlignment="1">
      <alignment horizontal="left" vertical="center"/>
    </xf>
    <xf numFmtId="0" fontId="18" fillId="0" borderId="3" xfId="1" applyFont="1" applyBorder="1" applyAlignment="1">
      <alignment horizontal="left" vertical="center"/>
    </xf>
    <xf numFmtId="0" fontId="18" fillId="0" borderId="12" xfId="1" applyFont="1" applyBorder="1" applyAlignment="1">
      <alignment horizontal="left" wrapText="1"/>
    </xf>
    <xf numFmtId="0" fontId="8" fillId="2" borderId="2" xfId="0" applyFont="1" applyFill="1" applyBorder="1"/>
    <xf numFmtId="0" fontId="8" fillId="2" borderId="2" xfId="1" applyFont="1" applyFill="1" applyBorder="1"/>
    <xf numFmtId="0" fontId="5" fillId="2" borderId="2" xfId="0" applyFont="1" applyFill="1" applyBorder="1"/>
    <xf numFmtId="0" fontId="5" fillId="2" borderId="2" xfId="1" applyFont="1" applyFill="1" applyBorder="1"/>
    <xf numFmtId="0" fontId="8" fillId="2" borderId="2" xfId="0" applyFont="1" applyFill="1" applyBorder="1" applyAlignment="1">
      <alignment wrapText="1"/>
    </xf>
    <xf numFmtId="0" fontId="5" fillId="2" borderId="18" xfId="4" applyFont="1" applyFill="1" applyBorder="1"/>
    <xf numFmtId="0" fontId="5" fillId="0" borderId="11" xfId="1" applyFont="1" applyBorder="1"/>
    <xf numFmtId="0" fontId="5" fillId="0" borderId="3" xfId="1" applyFont="1" applyBorder="1"/>
    <xf numFmtId="0" fontId="5" fillId="2" borderId="1" xfId="0" applyFont="1" applyFill="1" applyBorder="1"/>
    <xf numFmtId="0" fontId="5" fillId="2" borderId="2" xfId="0" applyFont="1" applyFill="1" applyBorder="1" applyAlignment="1">
      <alignment horizontal="center"/>
    </xf>
    <xf numFmtId="0" fontId="5" fillId="0" borderId="12" xfId="1" applyFont="1" applyBorder="1"/>
    <xf numFmtId="0" fontId="5" fillId="0" borderId="10" xfId="1" applyFont="1" applyBorder="1"/>
    <xf numFmtId="0" fontId="8" fillId="0" borderId="11" xfId="1" applyFont="1" applyBorder="1"/>
    <xf numFmtId="0" fontId="8" fillId="0" borderId="3" xfId="0" applyFont="1" applyBorder="1" applyAlignment="1">
      <alignment horizontal="center"/>
    </xf>
    <xf numFmtId="0" fontId="8" fillId="2" borderId="2" xfId="0" applyFont="1" applyFill="1" applyBorder="1" applyAlignment="1">
      <alignment horizontal="center"/>
    </xf>
    <xf numFmtId="0" fontId="8" fillId="0" borderId="11" xfId="2" applyFont="1" applyBorder="1"/>
    <xf numFmtId="0" fontId="8" fillId="0" borderId="3" xfId="2" applyFont="1" applyBorder="1"/>
    <xf numFmtId="0" fontId="8" fillId="0" borderId="3" xfId="1" applyFont="1" applyBorder="1"/>
    <xf numFmtId="0" fontId="8" fillId="5" borderId="1" xfId="1" applyFont="1" applyFill="1" applyBorder="1"/>
    <xf numFmtId="0" fontId="18" fillId="0" borderId="10" xfId="0" applyFont="1" applyBorder="1" applyAlignment="1">
      <alignment horizontal="left" wrapText="1"/>
    </xf>
    <xf numFmtId="1" fontId="18" fillId="0" borderId="4" xfId="0" applyNumberFormat="1" applyFont="1" applyBorder="1" applyAlignment="1">
      <alignment wrapText="1"/>
    </xf>
    <xf numFmtId="0" fontId="23" fillId="0" borderId="0" xfId="0" applyFont="1"/>
    <xf numFmtId="0" fontId="5" fillId="2" borderId="24" xfId="1" applyFont="1" applyFill="1" applyBorder="1"/>
    <xf numFmtId="0" fontId="5" fillId="0" borderId="24" xfId="1" applyFont="1" applyBorder="1"/>
    <xf numFmtId="0" fontId="5" fillId="0" borderId="0" xfId="1" applyFont="1"/>
    <xf numFmtId="2" fontId="18" fillId="0" borderId="5" xfId="1" applyNumberFormat="1" applyFont="1" applyBorder="1"/>
    <xf numFmtId="2" fontId="18" fillId="0" borderId="0" xfId="1" applyNumberFormat="1" applyFont="1"/>
    <xf numFmtId="0" fontId="19" fillId="0" borderId="12" xfId="0" applyFont="1" applyBorder="1" applyAlignment="1">
      <alignment horizontal="left"/>
    </xf>
    <xf numFmtId="0" fontId="19" fillId="0" borderId="0" xfId="0" applyFont="1" applyAlignment="1">
      <alignment horizontal="left"/>
    </xf>
    <xf numFmtId="0" fontId="18" fillId="0" borderId="0" xfId="1" applyFont="1" applyAlignment="1">
      <alignment horizontal="left"/>
    </xf>
    <xf numFmtId="0" fontId="18" fillId="0" borderId="24" xfId="1" applyFont="1" applyBorder="1"/>
    <xf numFmtId="0" fontId="18" fillId="0" borderId="25" xfId="1" applyFont="1" applyBorder="1"/>
    <xf numFmtId="39" fontId="18" fillId="0" borderId="4" xfId="1" applyNumberFormat="1" applyFont="1" applyBorder="1"/>
    <xf numFmtId="39" fontId="18" fillId="0" borderId="2" xfId="1" applyNumberFormat="1" applyFont="1" applyBorder="1"/>
    <xf numFmtId="0" fontId="18" fillId="0" borderId="5" xfId="1" applyFont="1" applyBorder="1"/>
    <xf numFmtId="170" fontId="18" fillId="0" borderId="2" xfId="1" applyNumberFormat="1" applyFont="1" applyBorder="1"/>
    <xf numFmtId="164" fontId="18" fillId="0" borderId="4" xfId="1" applyNumberFormat="1" applyFont="1" applyBorder="1" applyAlignment="1">
      <alignment wrapText="1"/>
    </xf>
    <xf numFmtId="0" fontId="5" fillId="0" borderId="16" xfId="1" applyFont="1" applyBorder="1"/>
    <xf numFmtId="0" fontId="18" fillId="0" borderId="5" xfId="1" applyFont="1" applyBorder="1" applyAlignment="1">
      <alignment vertical="top" wrapText="1"/>
    </xf>
    <xf numFmtId="164" fontId="18" fillId="0" borderId="2" xfId="1" applyNumberFormat="1" applyFont="1" applyBorder="1"/>
    <xf numFmtId="1" fontId="18" fillId="0" borderId="8" xfId="1" applyNumberFormat="1" applyFont="1" applyBorder="1"/>
    <xf numFmtId="1" fontId="18" fillId="0" borderId="9" xfId="1" applyNumberFormat="1" applyFont="1" applyBorder="1"/>
    <xf numFmtId="0" fontId="18" fillId="0" borderId="2" xfId="1" applyFont="1" applyBorder="1"/>
    <xf numFmtId="0" fontId="18" fillId="2" borderId="1" xfId="0" applyFont="1" applyFill="1" applyBorder="1"/>
    <xf numFmtId="0" fontId="18" fillId="0" borderId="6" xfId="0" applyFont="1" applyBorder="1" applyAlignment="1" applyProtection="1">
      <alignment wrapText="1"/>
      <protection locked="0"/>
    </xf>
    <xf numFmtId="0" fontId="5" fillId="0" borderId="15" xfId="0" applyFont="1" applyBorder="1" applyAlignment="1">
      <alignment horizontal="center"/>
    </xf>
    <xf numFmtId="0" fontId="18" fillId="0" borderId="11" xfId="0" applyFont="1" applyBorder="1" applyAlignment="1">
      <alignment vertical="top"/>
    </xf>
    <xf numFmtId="0" fontId="18" fillId="0" borderId="6" xfId="0" applyFont="1" applyBorder="1" applyAlignment="1">
      <alignment vertical="top" wrapText="1"/>
    </xf>
    <xf numFmtId="0" fontId="18" fillId="0" borderId="3" xfId="0" applyFont="1" applyBorder="1" applyAlignment="1">
      <alignment vertical="top" wrapText="1"/>
    </xf>
    <xf numFmtId="0" fontId="5" fillId="2" borderId="1" xfId="2" applyFont="1" applyFill="1" applyBorder="1"/>
    <xf numFmtId="0" fontId="5" fillId="2" borderId="2" xfId="2" applyFont="1" applyFill="1" applyBorder="1"/>
    <xf numFmtId="40" fontId="6" fillId="0" borderId="4" xfId="2" applyNumberFormat="1" applyFont="1" applyBorder="1"/>
    <xf numFmtId="168" fontId="6" fillId="0" borderId="4" xfId="2" applyNumberFormat="1" applyFont="1" applyBorder="1"/>
    <xf numFmtId="0" fontId="6" fillId="0" borderId="4" xfId="2" applyFont="1" applyBorder="1" applyAlignment="1">
      <alignment horizontal="center"/>
    </xf>
    <xf numFmtId="40" fontId="6" fillId="0" borderId="15" xfId="2" applyNumberFormat="1" applyFont="1" applyBorder="1"/>
    <xf numFmtId="1" fontId="17" fillId="0" borderId="4" xfId="2" applyNumberFormat="1" applyFont="1" applyBorder="1" applyAlignment="1">
      <alignment horizontal="center" vertical="top"/>
    </xf>
    <xf numFmtId="0" fontId="6" fillId="0" borderId="15" xfId="2" applyFont="1" applyBorder="1" applyAlignment="1">
      <alignment horizontal="center"/>
    </xf>
    <xf numFmtId="0" fontId="18" fillId="0" borderId="12" xfId="3" applyFont="1" applyBorder="1"/>
    <xf numFmtId="0" fontId="15" fillId="0" borderId="0" xfId="2" applyFont="1"/>
    <xf numFmtId="0" fontId="15" fillId="0" borderId="0" xfId="2" applyFont="1" applyAlignment="1">
      <alignment horizontal="center"/>
    </xf>
    <xf numFmtId="166" fontId="15" fillId="0" borderId="0" xfId="2" applyNumberFormat="1" applyFont="1" applyAlignment="1">
      <alignment horizontal="center"/>
    </xf>
    <xf numFmtId="0" fontId="7" fillId="0" borderId="0" xfId="3" applyFont="1"/>
    <xf numFmtId="0" fontId="6" fillId="0" borderId="15" xfId="0" applyFont="1" applyBorder="1"/>
    <xf numFmtId="0" fontId="6" fillId="0" borderId="10" xfId="0" applyFont="1" applyBorder="1"/>
    <xf numFmtId="0" fontId="6" fillId="0" borderId="11" xfId="2" applyFont="1" applyBorder="1"/>
    <xf numFmtId="0" fontId="6" fillId="0" borderId="9" xfId="0" applyFont="1" applyBorder="1"/>
    <xf numFmtId="49" fontId="18" fillId="0" borderId="4" xfId="1" applyNumberFormat="1" applyFont="1" applyBorder="1" applyAlignment="1">
      <alignment horizontal="right" wrapText="1"/>
    </xf>
    <xf numFmtId="2" fontId="18" fillId="0" borderId="19" xfId="4" applyNumberFormat="1" applyFont="1" applyBorder="1" applyAlignment="1">
      <alignment horizontal="left"/>
    </xf>
    <xf numFmtId="2" fontId="18" fillId="0" borderId="22" xfId="4" applyNumberFormat="1" applyFont="1" applyBorder="1" applyAlignment="1">
      <alignment horizontal="center"/>
    </xf>
    <xf numFmtId="0" fontId="18" fillId="0" borderId="1" xfId="4" applyFont="1" applyBorder="1"/>
    <xf numFmtId="0" fontId="18" fillId="0" borderId="5" xfId="4" applyFont="1" applyBorder="1"/>
    <xf numFmtId="0" fontId="18" fillId="0" borderId="5" xfId="4" applyFont="1" applyBorder="1" applyAlignment="1">
      <alignment horizontal="center"/>
    </xf>
    <xf numFmtId="0" fontId="18" fillId="0" borderId="2" xfId="4" applyFont="1" applyBorder="1" applyAlignment="1">
      <alignment horizontal="center"/>
    </xf>
    <xf numFmtId="2" fontId="18" fillId="0" borderId="19" xfId="4" applyNumberFormat="1" applyFont="1" applyBorder="1" applyAlignment="1">
      <alignment horizontal="center"/>
    </xf>
    <xf numFmtId="0" fontId="18" fillId="0" borderId="10" xfId="0" applyFont="1" applyBorder="1" applyAlignment="1">
      <alignment horizontal="left"/>
    </xf>
    <xf numFmtId="0" fontId="18" fillId="0" borderId="6" xfId="0" applyFont="1" applyBorder="1" applyAlignment="1">
      <alignment horizontal="left"/>
    </xf>
    <xf numFmtId="0" fontId="18" fillId="0" borderId="3" xfId="0" applyFont="1" applyBorder="1" applyAlignment="1">
      <alignment horizontal="left"/>
    </xf>
    <xf numFmtId="2" fontId="18" fillId="0" borderId="4" xfId="1" quotePrefix="1" applyNumberFormat="1" applyFont="1" applyBorder="1" applyAlignment="1">
      <alignment horizontal="right" wrapText="1"/>
    </xf>
    <xf numFmtId="0" fontId="18" fillId="0" borderId="2" xfId="1" applyFont="1" applyBorder="1" applyAlignment="1">
      <alignment horizontal="left"/>
    </xf>
    <xf numFmtId="0" fontId="6" fillId="0" borderId="11" xfId="0" applyFont="1" applyBorder="1" applyProtection="1">
      <protection locked="0"/>
    </xf>
    <xf numFmtId="2" fontId="6" fillId="0" borderId="4" xfId="0" applyNumberFormat="1" applyFont="1" applyBorder="1" applyAlignment="1">
      <alignment wrapText="1"/>
    </xf>
    <xf numFmtId="2" fontId="6" fillId="0" borderId="22" xfId="4" applyNumberFormat="1" applyFont="1" applyBorder="1"/>
    <xf numFmtId="0" fontId="6" fillId="0" borderId="11" xfId="4" applyFont="1" applyBorder="1"/>
    <xf numFmtId="0" fontId="17" fillId="0" borderId="1" xfId="0" applyFont="1" applyBorder="1"/>
    <xf numFmtId="0" fontId="17" fillId="0" borderId="2" xfId="0" applyFont="1" applyBorder="1"/>
    <xf numFmtId="0" fontId="17" fillId="0" borderId="4" xfId="0" applyFont="1" applyBorder="1"/>
    <xf numFmtId="0" fontId="6" fillId="0" borderId="0" xfId="0" applyFont="1"/>
    <xf numFmtId="0" fontId="6" fillId="0" borderId="1" xfId="0" applyFont="1" applyBorder="1"/>
    <xf numFmtId="0" fontId="17" fillId="0" borderId="5" xfId="0" applyFont="1" applyBorder="1" applyAlignment="1">
      <alignment horizontal="center"/>
    </xf>
    <xf numFmtId="2" fontId="6" fillId="0" borderId="5" xfId="0" applyNumberFormat="1" applyFont="1" applyBorder="1" applyAlignment="1">
      <alignment horizontal="right"/>
    </xf>
    <xf numFmtId="49" fontId="6" fillId="0" borderId="4" xfId="0" applyNumberFormat="1" applyFont="1" applyBorder="1" applyAlignment="1">
      <alignment wrapText="1"/>
    </xf>
    <xf numFmtId="0" fontId="6" fillId="0" borderId="7" xfId="0" applyFont="1" applyBorder="1"/>
    <xf numFmtId="0" fontId="6" fillId="0" borderId="8" xfId="0" applyFont="1" applyBorder="1" applyAlignment="1">
      <alignment horizontal="center"/>
    </xf>
    <xf numFmtId="0" fontId="6" fillId="0" borderId="8" xfId="0" applyFont="1" applyBorder="1"/>
    <xf numFmtId="0" fontId="6" fillId="0" borderId="6" xfId="0" applyFont="1" applyBorder="1" applyAlignment="1">
      <alignment wrapText="1"/>
    </xf>
    <xf numFmtId="0" fontId="6" fillId="0" borderId="3" xfId="0" applyFont="1" applyBorder="1" applyAlignment="1">
      <alignment wrapText="1"/>
    </xf>
    <xf numFmtId="2" fontId="6" fillId="0" borderId="2" xfId="0" applyNumberFormat="1" applyFont="1" applyBorder="1" applyAlignment="1">
      <alignment horizontal="right"/>
    </xf>
    <xf numFmtId="0" fontId="6" fillId="0" borderId="6" xfId="0" applyFont="1" applyBorder="1"/>
    <xf numFmtId="20" fontId="25" fillId="0" borderId="12" xfId="0" applyNumberFormat="1" applyFont="1" applyBorder="1"/>
    <xf numFmtId="20" fontId="25" fillId="0" borderId="11" xfId="0" applyNumberFormat="1" applyFont="1" applyBorder="1"/>
    <xf numFmtId="2" fontId="25" fillId="0" borderId="4" xfId="0" applyNumberFormat="1" applyFont="1" applyBorder="1" applyAlignment="1">
      <alignment horizontal="right"/>
    </xf>
    <xf numFmtId="49" fontId="18" fillId="0" borderId="4" xfId="1" applyNumberFormat="1" applyFont="1" applyBorder="1" applyAlignment="1">
      <alignment horizontal="right"/>
    </xf>
    <xf numFmtId="49" fontId="7" fillId="0" borderId="4" xfId="1" applyNumberFormat="1" applyFont="1" applyBorder="1" applyAlignment="1">
      <alignment horizontal="right"/>
    </xf>
    <xf numFmtId="20" fontId="14" fillId="0" borderId="12" xfId="0" applyNumberFormat="1" applyFont="1" applyBorder="1"/>
    <xf numFmtId="0" fontId="18" fillId="0" borderId="10" xfId="1" applyFont="1" applyBorder="1"/>
    <xf numFmtId="0" fontId="6" fillId="0" borderId="12" xfId="0" applyFont="1" applyBorder="1" applyAlignment="1">
      <alignment vertical="center"/>
    </xf>
    <xf numFmtId="0" fontId="6" fillId="0" borderId="11" xfId="0" applyFont="1" applyBorder="1" applyAlignment="1">
      <alignment vertical="center"/>
    </xf>
    <xf numFmtId="0" fontId="17" fillId="0" borderId="16" xfId="0" applyFont="1" applyBorder="1" applyAlignment="1">
      <alignment horizontal="center"/>
    </xf>
    <xf numFmtId="1" fontId="6" fillId="0" borderId="15" xfId="0" applyNumberFormat="1" applyFont="1" applyBorder="1" applyAlignment="1">
      <alignment horizontal="center"/>
    </xf>
    <xf numFmtId="0" fontId="6" fillId="0" borderId="0" xfId="0" applyFont="1" applyAlignment="1">
      <alignment vertical="center" wrapText="1"/>
    </xf>
    <xf numFmtId="0" fontId="6" fillId="0" borderId="6" xfId="0" applyFont="1" applyBorder="1" applyAlignment="1">
      <alignment vertical="center" wrapText="1"/>
    </xf>
    <xf numFmtId="0" fontId="6" fillId="0" borderId="3" xfId="0" applyFont="1" applyBorder="1"/>
    <xf numFmtId="0" fontId="17" fillId="2" borderId="1" xfId="1" applyFont="1" applyFill="1" applyBorder="1"/>
    <xf numFmtId="0" fontId="17" fillId="2" borderId="2" xfId="1" applyFont="1" applyFill="1" applyBorder="1"/>
    <xf numFmtId="2" fontId="26" fillId="0" borderId="4" xfId="0" applyNumberFormat="1" applyFont="1" applyBorder="1" applyAlignment="1">
      <alignment horizontal="right"/>
    </xf>
    <xf numFmtId="0" fontId="27" fillId="0" borderId="0" xfId="0" applyFont="1" applyAlignment="1">
      <alignment horizontal="left" wrapText="1"/>
    </xf>
    <xf numFmtId="2" fontId="26" fillId="0" borderId="4" xfId="0" applyNumberFormat="1" applyFont="1" applyBorder="1"/>
    <xf numFmtId="2" fontId="6" fillId="0" borderId="0" xfId="0" applyNumberFormat="1" applyFont="1"/>
    <xf numFmtId="0" fontId="6" fillId="0" borderId="0" xfId="0" applyFont="1" applyAlignment="1">
      <alignment vertical="center"/>
    </xf>
    <xf numFmtId="0" fontId="6" fillId="0" borderId="12" xfId="1" applyFont="1" applyBorder="1" applyAlignment="1">
      <alignment horizontal="left"/>
    </xf>
    <xf numFmtId="164" fontId="6" fillId="0" borderId="4" xfId="1" applyNumberFormat="1" applyFont="1" applyBorder="1" applyAlignment="1">
      <alignment wrapText="1"/>
    </xf>
    <xf numFmtId="170" fontId="6" fillId="0" borderId="4" xfId="1" applyNumberFormat="1" applyFont="1" applyBorder="1"/>
    <xf numFmtId="0" fontId="25" fillId="6" borderId="0" xfId="0" applyFont="1" applyFill="1" applyAlignment="1">
      <alignment vertical="center"/>
    </xf>
    <xf numFmtId="0" fontId="33" fillId="0" borderId="4" xfId="0" applyFont="1" applyBorder="1"/>
    <xf numFmtId="0" fontId="32" fillId="0" borderId="0" xfId="0" applyFont="1"/>
    <xf numFmtId="0" fontId="6" fillId="0" borderId="4" xfId="0" applyFont="1" applyBorder="1"/>
    <xf numFmtId="0" fontId="32" fillId="0" borderId="4" xfId="0" applyFont="1" applyBorder="1"/>
    <xf numFmtId="0" fontId="25" fillId="6" borderId="4" xfId="0" applyFont="1" applyFill="1" applyBorder="1" applyAlignment="1">
      <alignment vertical="center"/>
    </xf>
    <xf numFmtId="0" fontId="25" fillId="6" borderId="4" xfId="0" applyFont="1" applyFill="1" applyBorder="1" applyAlignment="1">
      <alignment horizontal="right" vertical="center"/>
    </xf>
    <xf numFmtId="0" fontId="25" fillId="0" borderId="8" xfId="0" applyFont="1" applyBorder="1" applyAlignment="1">
      <alignment vertical="center"/>
    </xf>
    <xf numFmtId="0" fontId="32" fillId="0" borderId="8" xfId="0" applyFont="1" applyBorder="1"/>
    <xf numFmtId="0" fontId="25" fillId="0" borderId="12" xfId="0" applyFont="1" applyBorder="1" applyAlignment="1">
      <alignment vertical="center"/>
    </xf>
    <xf numFmtId="0" fontId="25" fillId="0" borderId="0" xfId="0" applyFont="1" applyAlignment="1">
      <alignment vertical="center"/>
    </xf>
    <xf numFmtId="0" fontId="25" fillId="0" borderId="6" xfId="0" applyFont="1" applyBorder="1" applyAlignment="1">
      <alignment vertical="center"/>
    </xf>
    <xf numFmtId="0" fontId="32" fillId="0" borderId="6" xfId="0" applyFont="1" applyBorder="1"/>
    <xf numFmtId="2" fontId="32" fillId="0" borderId="4" xfId="0" applyNumberFormat="1" applyFont="1" applyBorder="1"/>
    <xf numFmtId="0" fontId="33" fillId="0" borderId="1" xfId="0" applyFont="1" applyBorder="1"/>
    <xf numFmtId="2" fontId="34" fillId="0" borderId="4" xfId="0" applyNumberFormat="1" applyFont="1" applyBorder="1"/>
    <xf numFmtId="0" fontId="32" fillId="0" borderId="7" xfId="0" applyFont="1" applyBorder="1"/>
    <xf numFmtId="0" fontId="32" fillId="0" borderId="9" xfId="0" applyFont="1" applyBorder="1"/>
    <xf numFmtId="0" fontId="32" fillId="0" borderId="12" xfId="0" applyFont="1" applyBorder="1"/>
    <xf numFmtId="0" fontId="32" fillId="0" borderId="10" xfId="0" applyFont="1" applyBorder="1"/>
    <xf numFmtId="0" fontId="32" fillId="0" borderId="11" xfId="0" applyFont="1" applyBorder="1"/>
    <xf numFmtId="0" fontId="32" fillId="0" borderId="3" xfId="0" applyFont="1" applyBorder="1"/>
    <xf numFmtId="0" fontId="6" fillId="0" borderId="11" xfId="0" applyFont="1" applyBorder="1" applyAlignment="1">
      <alignment horizontal="left"/>
    </xf>
    <xf numFmtId="0" fontId="6" fillId="0" borderId="9" xfId="0" applyFont="1" applyBorder="1" applyAlignment="1">
      <alignment horizontal="center"/>
    </xf>
    <xf numFmtId="2" fontId="6" fillId="0" borderId="2" xfId="1" applyNumberFormat="1" applyFont="1" applyBorder="1"/>
    <xf numFmtId="0" fontId="6" fillId="0" borderId="4" xfId="1" applyFont="1" applyBorder="1" applyAlignment="1">
      <alignment horizontal="right"/>
    </xf>
    <xf numFmtId="0" fontId="6" fillId="0" borderId="11" xfId="1" applyFont="1" applyBorder="1" applyAlignment="1">
      <alignment horizontal="left"/>
    </xf>
    <xf numFmtId="0" fontId="7" fillId="0" borderId="6" xfId="0" applyFont="1" applyBorder="1" applyAlignment="1">
      <alignment horizontal="left"/>
    </xf>
    <xf numFmtId="0" fontId="6" fillId="0" borderId="3" xfId="0" applyFont="1" applyBorder="1" applyAlignment="1">
      <alignment horizontal="left"/>
    </xf>
    <xf numFmtId="2" fontId="6" fillId="0" borderId="19" xfId="4" quotePrefix="1" applyNumberFormat="1" applyFont="1" applyBorder="1"/>
    <xf numFmtId="0" fontId="17" fillId="0" borderId="19" xfId="4" applyFont="1" applyBorder="1" applyAlignment="1">
      <alignment horizontal="center"/>
    </xf>
    <xf numFmtId="2" fontId="6" fillId="0" borderId="19" xfId="4" applyNumberFormat="1" applyFont="1" applyBorder="1"/>
    <xf numFmtId="0" fontId="6" fillId="0" borderId="28" xfId="4" applyFont="1" applyBorder="1" applyAlignment="1">
      <alignment horizontal="center"/>
    </xf>
    <xf numFmtId="0" fontId="6" fillId="0" borderId="9" xfId="4" applyFont="1" applyBorder="1" applyAlignment="1">
      <alignment horizontal="center"/>
    </xf>
    <xf numFmtId="0" fontId="18" fillId="0" borderId="3" xfId="0" applyFont="1" applyBorder="1" applyAlignment="1">
      <alignment horizontal="left" wrapText="1"/>
    </xf>
    <xf numFmtId="0" fontId="17" fillId="0" borderId="2" xfId="0" applyFont="1" applyBorder="1" applyAlignment="1">
      <alignment horizontal="center"/>
    </xf>
    <xf numFmtId="0" fontId="18" fillId="0" borderId="0" xfId="1" applyFont="1" applyAlignment="1">
      <alignment vertical="top" wrapText="1"/>
    </xf>
    <xf numFmtId="0" fontId="18" fillId="0" borderId="12" xfId="1" applyFont="1" applyBorder="1" applyAlignment="1">
      <alignment vertical="top"/>
    </xf>
    <xf numFmtId="0" fontId="6" fillId="0" borderId="11" xfId="1" applyFont="1" applyBorder="1" applyAlignment="1">
      <alignment vertical="top"/>
    </xf>
    <xf numFmtId="0" fontId="18" fillId="0" borderId="6" xfId="1" applyFont="1" applyBorder="1" applyAlignment="1">
      <alignment vertical="top" wrapText="1"/>
    </xf>
    <xf numFmtId="0" fontId="18" fillId="0" borderId="1" xfId="1" applyFont="1" applyBorder="1" applyAlignment="1">
      <alignment vertical="top" wrapText="1"/>
    </xf>
    <xf numFmtId="0" fontId="6" fillId="0" borderId="5" xfId="1" applyFont="1" applyBorder="1" applyAlignment="1">
      <alignment vertical="top" wrapText="1"/>
    </xf>
    <xf numFmtId="0" fontId="6" fillId="0" borderId="2" xfId="1" applyFont="1" applyBorder="1" applyAlignment="1">
      <alignment vertical="top" wrapText="1"/>
    </xf>
    <xf numFmtId="0" fontId="27" fillId="0" borderId="0" xfId="0" applyFont="1" applyAlignment="1">
      <alignment horizontal="left" wrapText="1"/>
    </xf>
    <xf numFmtId="0" fontId="6" fillId="0" borderId="11" xfId="1" applyFont="1" applyBorder="1" applyAlignment="1">
      <alignment horizontal="left" wrapText="1"/>
    </xf>
    <xf numFmtId="0" fontId="6" fillId="0" borderId="6" xfId="1" applyFont="1" applyBorder="1" applyAlignment="1">
      <alignment horizontal="left" wrapText="1"/>
    </xf>
    <xf numFmtId="0" fontId="7" fillId="0" borderId="0" xfId="0" applyFont="1" applyAlignment="1">
      <alignment horizontal="left" wrapText="1"/>
    </xf>
    <xf numFmtId="0" fontId="18" fillId="0" borderId="12" xfId="0" applyFont="1" applyBorder="1" applyAlignment="1">
      <alignment horizontal="left" wrapText="1"/>
    </xf>
    <xf numFmtId="0" fontId="18" fillId="0" borderId="0" xfId="0" applyFont="1" applyAlignment="1">
      <alignment horizontal="left" wrapText="1"/>
    </xf>
    <xf numFmtId="0" fontId="18" fillId="0" borderId="7" xfId="0" applyFont="1" applyBorder="1" applyAlignment="1">
      <alignment horizontal="left" wrapText="1"/>
    </xf>
    <xf numFmtId="0" fontId="18" fillId="0" borderId="8" xfId="0" applyFont="1" applyBorder="1" applyAlignment="1">
      <alignment horizontal="left" wrapText="1"/>
    </xf>
    <xf numFmtId="0" fontId="7" fillId="0" borderId="12"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18" fillId="0" borderId="11" xfId="0" applyFont="1" applyBorder="1" applyAlignment="1">
      <alignment horizontal="left" wrapText="1"/>
    </xf>
    <xf numFmtId="0" fontId="18" fillId="0" borderId="6" xfId="0" applyFont="1" applyBorder="1" applyAlignment="1">
      <alignment horizontal="left" wrapText="1"/>
    </xf>
    <xf numFmtId="0" fontId="6" fillId="0" borderId="11" xfId="0" applyFont="1" applyBorder="1" applyAlignment="1">
      <alignment horizontal="left" wrapText="1"/>
    </xf>
    <xf numFmtId="0" fontId="6" fillId="0" borderId="6" xfId="0" applyFont="1" applyBorder="1" applyAlignment="1">
      <alignment horizontal="left" wrapText="1"/>
    </xf>
    <xf numFmtId="0" fontId="18" fillId="0" borderId="7" xfId="1" applyFont="1" applyBorder="1" applyAlignment="1">
      <alignment horizontal="left"/>
    </xf>
    <xf numFmtId="0" fontId="18" fillId="0" borderId="8" xfId="1" applyFont="1" applyBorder="1" applyAlignment="1">
      <alignment horizontal="left"/>
    </xf>
    <xf numFmtId="0" fontId="7" fillId="0" borderId="12" xfId="0" applyFont="1" applyBorder="1" applyAlignment="1">
      <alignment horizontal="left" vertical="center" wrapText="1"/>
    </xf>
    <xf numFmtId="0" fontId="7" fillId="0" borderId="0" xfId="0" applyFont="1" applyAlignment="1">
      <alignment horizontal="left" vertical="center" wrapText="1"/>
    </xf>
    <xf numFmtId="0" fontId="7" fillId="0" borderId="7" xfId="1" applyFont="1" applyBorder="1" applyAlignment="1">
      <alignment horizontal="left" wrapText="1"/>
    </xf>
    <xf numFmtId="0" fontId="7" fillId="0" borderId="8" xfId="1" applyFont="1" applyBorder="1" applyAlignment="1">
      <alignment horizontal="left" wrapText="1"/>
    </xf>
    <xf numFmtId="0" fontId="18" fillId="0" borderId="11" xfId="1" applyFont="1" applyBorder="1" applyAlignment="1">
      <alignment horizontal="left" vertical="top" wrapText="1"/>
    </xf>
    <xf numFmtId="0" fontId="18" fillId="0" borderId="6" xfId="1" applyFont="1" applyBorder="1" applyAlignment="1">
      <alignment horizontal="left" vertical="top" wrapText="1"/>
    </xf>
    <xf numFmtId="0" fontId="18" fillId="0" borderId="1" xfId="0" applyFont="1" applyBorder="1" applyAlignment="1">
      <alignment horizontal="left" wrapText="1"/>
    </xf>
    <xf numFmtId="0" fontId="18" fillId="0" borderId="5" xfId="0" applyFont="1" applyBorder="1" applyAlignment="1">
      <alignment horizontal="left" wrapText="1"/>
    </xf>
    <xf numFmtId="0" fontId="7" fillId="0" borderId="11" xfId="0" applyFont="1" applyBorder="1" applyAlignment="1">
      <alignment horizontal="left" wrapText="1"/>
    </xf>
    <xf numFmtId="0" fontId="7" fillId="0" borderId="6" xfId="0" applyFont="1" applyBorder="1" applyAlignment="1">
      <alignment horizontal="left" wrapText="1"/>
    </xf>
    <xf numFmtId="0" fontId="18" fillId="0" borderId="10" xfId="0" applyFont="1" applyBorder="1" applyAlignment="1">
      <alignment horizontal="left" wrapText="1"/>
    </xf>
    <xf numFmtId="0" fontId="18" fillId="0" borderId="4" xfId="0" applyFont="1" applyBorder="1" applyAlignment="1">
      <alignment horizontal="left" wrapText="1"/>
    </xf>
    <xf numFmtId="0" fontId="18" fillId="0" borderId="16" xfId="0" applyFont="1" applyBorder="1" applyAlignment="1">
      <alignment horizontal="left" wrapText="1"/>
    </xf>
    <xf numFmtId="0" fontId="7" fillId="0" borderId="12" xfId="3" applyFont="1" applyBorder="1" applyAlignment="1">
      <alignment horizontal="left" wrapText="1"/>
    </xf>
    <xf numFmtId="0" fontId="7" fillId="0" borderId="0" xfId="3" applyFont="1" applyAlignment="1">
      <alignment horizontal="left" wrapText="1"/>
    </xf>
    <xf numFmtId="0" fontId="7" fillId="0" borderId="7" xfId="0" applyFont="1" applyBorder="1" applyAlignment="1">
      <alignment horizontal="left"/>
    </xf>
    <xf numFmtId="0" fontId="7" fillId="0" borderId="8" xfId="0" applyFont="1" applyBorder="1" applyAlignment="1">
      <alignment horizontal="left"/>
    </xf>
    <xf numFmtId="0" fontId="7" fillId="0" borderId="9" xfId="0" applyFont="1" applyBorder="1" applyAlignment="1">
      <alignment horizontal="left"/>
    </xf>
    <xf numFmtId="0" fontId="7" fillId="0" borderId="3" xfId="0" applyFont="1" applyBorder="1" applyAlignment="1">
      <alignment horizontal="left" wrapText="1"/>
    </xf>
    <xf numFmtId="2" fontId="18" fillId="0" borderId="1" xfId="1" applyNumberFormat="1" applyFont="1" applyBorder="1" applyAlignment="1">
      <alignment horizontal="center"/>
    </xf>
    <xf numFmtId="2" fontId="18" fillId="0" borderId="5" xfId="1" applyNumberFormat="1" applyFont="1" applyBorder="1" applyAlignment="1">
      <alignment horizontal="center"/>
    </xf>
    <xf numFmtId="2" fontId="18" fillId="0" borderId="2" xfId="1" applyNumberFormat="1" applyFont="1" applyBorder="1" applyAlignment="1">
      <alignment horizontal="center"/>
    </xf>
    <xf numFmtId="0" fontId="18" fillId="0" borderId="7" xfId="1" applyFont="1" applyBorder="1" applyAlignment="1">
      <alignment horizontal="left" wrapText="1"/>
    </xf>
    <xf numFmtId="0" fontId="18" fillId="0" borderId="8" xfId="1" applyFont="1" applyBorder="1" applyAlignment="1">
      <alignment horizontal="left" wrapText="1"/>
    </xf>
    <xf numFmtId="0" fontId="18" fillId="0" borderId="4" xfId="1" applyFont="1" applyBorder="1" applyAlignment="1">
      <alignment horizontal="left"/>
    </xf>
    <xf numFmtId="0" fontId="18" fillId="0" borderId="1" xfId="1" applyFont="1" applyBorder="1" applyAlignment="1">
      <alignment horizontal="left"/>
    </xf>
    <xf numFmtId="0" fontId="18" fillId="0" borderId="5" xfId="1" applyFont="1" applyBorder="1" applyAlignment="1">
      <alignment horizontal="left"/>
    </xf>
    <xf numFmtId="0" fontId="19" fillId="0" borderId="7" xfId="0" applyFont="1" applyBorder="1" applyAlignment="1">
      <alignment horizontal="left"/>
    </xf>
    <xf numFmtId="0" fontId="19" fillId="0" borderId="8" xfId="0" applyFont="1" applyBorder="1" applyAlignment="1">
      <alignment horizontal="left"/>
    </xf>
    <xf numFmtId="0" fontId="18" fillId="0" borderId="1" xfId="1" applyFont="1" applyBorder="1" applyAlignment="1">
      <alignment horizontal="left" wrapText="1"/>
    </xf>
    <xf numFmtId="0" fontId="18" fillId="0" borderId="5" xfId="1" applyFont="1" applyBorder="1" applyAlignment="1">
      <alignment horizontal="left" wrapText="1"/>
    </xf>
    <xf numFmtId="0" fontId="18" fillId="0" borderId="2" xfId="1" applyFont="1" applyBorder="1" applyAlignment="1">
      <alignment horizontal="left" wrapText="1"/>
    </xf>
  </cellXfs>
  <cellStyles count="8">
    <cellStyle name="Normal" xfId="0" builtinId="0"/>
    <cellStyle name="Normal 2" xfId="1" xr:uid="{00000000-0005-0000-0000-000001000000}"/>
    <cellStyle name="Normal 3" xfId="4" xr:uid="{00000000-0005-0000-0000-000002000000}"/>
    <cellStyle name="Normal 4" xfId="5" xr:uid="{64DFD5AE-932A-43CB-89FD-77DBA7A77495}"/>
    <cellStyle name="Normal 5" xfId="6" xr:uid="{0B908675-5FC1-47F7-A420-9E22167CE1EC}"/>
    <cellStyle name="표준 3" xfId="7" xr:uid="{62E14E76-F9FB-4938-A6D0-9109D4D5C877}"/>
    <cellStyle name="標準 2" xfId="2" xr:uid="{00000000-0005-0000-0000-000003000000}"/>
    <cellStyle name="標準_COMP FORMS Japan"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2017"/>
  <sheetViews>
    <sheetView tabSelected="1" zoomScale="60" zoomScaleNormal="60" workbookViewId="0">
      <selection activeCell="J15" sqref="J15"/>
    </sheetView>
  </sheetViews>
  <sheetFormatPr defaultColWidth="9.109375" defaultRowHeight="13.2" x14ac:dyDescent="0.25"/>
  <cols>
    <col min="1" max="1" width="19.88671875" style="19" customWidth="1"/>
    <col min="2" max="9" width="28.5546875" style="19" customWidth="1"/>
    <col min="10" max="10" width="29.44140625" style="19" customWidth="1"/>
    <col min="11" max="11" width="20.6640625" style="19" customWidth="1"/>
    <col min="12" max="12" width="15.88671875" style="19" customWidth="1"/>
    <col min="13" max="16" width="10.33203125" style="19" customWidth="1"/>
    <col min="17" max="16384" width="9.109375" style="19"/>
  </cols>
  <sheetData>
    <row r="1" spans="1:16384" ht="13.8" x14ac:dyDescent="0.3">
      <c r="A1" s="24" t="s">
        <v>1001</v>
      </c>
      <c r="B1" s="18"/>
      <c r="C1" s="18"/>
      <c r="D1" s="18"/>
      <c r="E1" s="18"/>
      <c r="F1" s="24"/>
      <c r="G1" s="18"/>
    </row>
    <row r="2" spans="1:16384" ht="13.8" x14ac:dyDescent="0.3">
      <c r="A2" s="25" t="s">
        <v>1002</v>
      </c>
      <c r="B2" s="18"/>
      <c r="C2" s="18"/>
      <c r="D2" s="18"/>
      <c r="E2" s="18"/>
      <c r="F2" s="24"/>
      <c r="G2" s="18"/>
    </row>
    <row r="3" spans="1:16384" ht="13.8" x14ac:dyDescent="0.3">
      <c r="A3" s="24" t="s">
        <v>1003</v>
      </c>
      <c r="B3" s="18"/>
      <c r="C3" s="18"/>
      <c r="D3" s="18"/>
      <c r="E3" s="18"/>
      <c r="F3" s="24"/>
      <c r="G3" s="18"/>
    </row>
    <row r="4" spans="1:16384" ht="13.8" x14ac:dyDescent="0.3">
      <c r="A4" s="24"/>
      <c r="B4" s="18"/>
      <c r="C4" s="18"/>
      <c r="D4" s="18"/>
      <c r="E4" s="18"/>
      <c r="F4" s="24"/>
      <c r="G4" s="18"/>
    </row>
    <row r="5" spans="1:16384" ht="13.8" x14ac:dyDescent="0.3">
      <c r="A5" s="716" t="s">
        <v>957</v>
      </c>
      <c r="B5" s="716"/>
      <c r="C5" s="716"/>
      <c r="D5" s="716"/>
      <c r="E5" s="716"/>
      <c r="F5" s="716"/>
      <c r="G5" s="716"/>
      <c r="H5" s="716"/>
      <c r="I5" s="716"/>
      <c r="J5" s="716"/>
      <c r="K5" s="716"/>
      <c r="L5" s="716"/>
      <c r="M5" s="716"/>
      <c r="N5" s="716"/>
      <c r="O5" s="716"/>
      <c r="P5" s="716"/>
      <c r="Q5" s="716"/>
      <c r="R5" s="716"/>
      <c r="S5" s="716"/>
      <c r="T5" s="716"/>
      <c r="U5" s="716"/>
      <c r="V5" s="716"/>
      <c r="W5" s="716"/>
      <c r="X5" s="716"/>
      <c r="Y5" s="716"/>
      <c r="Z5" s="716"/>
      <c r="AA5" s="716"/>
      <c r="AB5" s="716"/>
      <c r="AC5" s="716"/>
      <c r="AD5" s="716"/>
      <c r="AE5" s="716"/>
      <c r="AF5" s="716"/>
      <c r="AG5" s="713" t="s">
        <v>956</v>
      </c>
      <c r="AH5" s="713"/>
      <c r="AI5" s="713"/>
      <c r="AJ5" s="713"/>
      <c r="AK5" s="713"/>
      <c r="AL5" s="713"/>
      <c r="AM5" s="713"/>
      <c r="AN5" s="713"/>
      <c r="AO5" s="713"/>
      <c r="AP5" s="713"/>
      <c r="AQ5" s="713"/>
      <c r="AR5" s="713"/>
      <c r="AS5" s="713"/>
      <c r="AT5" s="713"/>
      <c r="AU5" s="713"/>
      <c r="AV5" s="713"/>
      <c r="AW5" s="713"/>
      <c r="AX5" s="713"/>
      <c r="AY5" s="713"/>
      <c r="AZ5" s="713"/>
      <c r="BA5" s="713"/>
      <c r="BB5" s="713"/>
      <c r="BC5" s="713"/>
      <c r="BD5" s="713"/>
      <c r="BE5" s="713"/>
      <c r="BF5" s="713"/>
      <c r="BG5" s="713"/>
      <c r="BH5" s="713"/>
      <c r="BI5" s="713"/>
      <c r="BJ5" s="713"/>
      <c r="BK5" s="713"/>
      <c r="BL5" s="713"/>
      <c r="BM5" s="713" t="s">
        <v>956</v>
      </c>
      <c r="BN5" s="713"/>
      <c r="BO5" s="713"/>
      <c r="BP5" s="713"/>
      <c r="BQ5" s="713"/>
      <c r="BR5" s="713"/>
      <c r="BS5" s="713"/>
      <c r="BT5" s="713"/>
      <c r="BU5" s="713"/>
      <c r="BV5" s="713"/>
      <c r="BW5" s="713"/>
      <c r="BX5" s="713"/>
      <c r="BY5" s="713"/>
      <c r="BZ5" s="713"/>
      <c r="CA5" s="713"/>
      <c r="CB5" s="713"/>
      <c r="CC5" s="713"/>
      <c r="CD5" s="713"/>
      <c r="CE5" s="713"/>
      <c r="CF5" s="713"/>
      <c r="CG5" s="713"/>
      <c r="CH5" s="713"/>
      <c r="CI5" s="713"/>
      <c r="CJ5" s="713"/>
      <c r="CK5" s="713"/>
      <c r="CL5" s="713"/>
      <c r="CM5" s="713"/>
      <c r="CN5" s="713"/>
      <c r="CO5" s="713"/>
      <c r="CP5" s="713"/>
      <c r="CQ5" s="713"/>
      <c r="CR5" s="713"/>
      <c r="CS5" s="713" t="s">
        <v>956</v>
      </c>
      <c r="CT5" s="713"/>
      <c r="CU5" s="713"/>
      <c r="CV5" s="713"/>
      <c r="CW5" s="713"/>
      <c r="CX5" s="713"/>
      <c r="CY5" s="713"/>
      <c r="CZ5" s="713"/>
      <c r="DA5" s="713"/>
      <c r="DB5" s="713"/>
      <c r="DC5" s="713"/>
      <c r="DD5" s="713"/>
      <c r="DE5" s="713"/>
      <c r="DF5" s="713"/>
      <c r="DG5" s="713"/>
      <c r="DH5" s="713"/>
      <c r="DI5" s="713"/>
      <c r="DJ5" s="713"/>
      <c r="DK5" s="713"/>
      <c r="DL5" s="713"/>
      <c r="DM5" s="713"/>
      <c r="DN5" s="713"/>
      <c r="DO5" s="713"/>
      <c r="DP5" s="713"/>
      <c r="DQ5" s="713"/>
      <c r="DR5" s="713"/>
      <c r="DS5" s="713"/>
      <c r="DT5" s="713"/>
      <c r="DU5" s="713"/>
      <c r="DV5" s="713"/>
      <c r="DW5" s="713"/>
      <c r="DX5" s="713"/>
      <c r="DY5" s="713" t="s">
        <v>956</v>
      </c>
      <c r="DZ5" s="713"/>
      <c r="EA5" s="713"/>
      <c r="EB5" s="713"/>
      <c r="EC5" s="713"/>
      <c r="ED5" s="713"/>
      <c r="EE5" s="713"/>
      <c r="EF5" s="713"/>
      <c r="EG5" s="713"/>
      <c r="EH5" s="713"/>
      <c r="EI5" s="713"/>
      <c r="EJ5" s="713"/>
      <c r="EK5" s="713"/>
      <c r="EL5" s="713"/>
      <c r="EM5" s="713"/>
      <c r="EN5" s="713"/>
      <c r="EO5" s="713"/>
      <c r="EP5" s="713"/>
      <c r="EQ5" s="713"/>
      <c r="ER5" s="713"/>
      <c r="ES5" s="713"/>
      <c r="ET5" s="713"/>
      <c r="EU5" s="713"/>
      <c r="EV5" s="713"/>
      <c r="EW5" s="713"/>
      <c r="EX5" s="713"/>
      <c r="EY5" s="713"/>
      <c r="EZ5" s="713"/>
      <c r="FA5" s="713"/>
      <c r="FB5" s="713"/>
      <c r="FC5" s="713"/>
      <c r="FD5" s="713"/>
      <c r="FE5" s="713" t="s">
        <v>956</v>
      </c>
      <c r="FF5" s="713"/>
      <c r="FG5" s="713"/>
      <c r="FH5" s="713"/>
      <c r="FI5" s="713"/>
      <c r="FJ5" s="713"/>
      <c r="FK5" s="713"/>
      <c r="FL5" s="713"/>
      <c r="FM5" s="713"/>
      <c r="FN5" s="713"/>
      <c r="FO5" s="713"/>
      <c r="FP5" s="713"/>
      <c r="FQ5" s="713"/>
      <c r="FR5" s="713"/>
      <c r="FS5" s="713"/>
      <c r="FT5" s="713"/>
      <c r="FU5" s="713"/>
      <c r="FV5" s="713"/>
      <c r="FW5" s="713"/>
      <c r="FX5" s="713"/>
      <c r="FY5" s="713"/>
      <c r="FZ5" s="713"/>
      <c r="GA5" s="713"/>
      <c r="GB5" s="713"/>
      <c r="GC5" s="713"/>
      <c r="GD5" s="713"/>
      <c r="GE5" s="713"/>
      <c r="GF5" s="713"/>
      <c r="GG5" s="713"/>
      <c r="GH5" s="713"/>
      <c r="GI5" s="713"/>
      <c r="GJ5" s="713"/>
      <c r="GK5" s="713" t="s">
        <v>956</v>
      </c>
      <c r="GL5" s="713"/>
      <c r="GM5" s="713"/>
      <c r="GN5" s="713"/>
      <c r="GO5" s="713"/>
      <c r="GP5" s="713"/>
      <c r="GQ5" s="713"/>
      <c r="GR5" s="713"/>
      <c r="GS5" s="713"/>
      <c r="GT5" s="713"/>
      <c r="GU5" s="713"/>
      <c r="GV5" s="713"/>
      <c r="GW5" s="713"/>
      <c r="GX5" s="713"/>
      <c r="GY5" s="713"/>
      <c r="GZ5" s="713"/>
      <c r="HA5" s="713"/>
      <c r="HB5" s="713"/>
      <c r="HC5" s="713"/>
      <c r="HD5" s="713"/>
      <c r="HE5" s="713"/>
      <c r="HF5" s="713"/>
      <c r="HG5" s="713"/>
      <c r="HH5" s="713"/>
      <c r="HI5" s="713"/>
      <c r="HJ5" s="713"/>
      <c r="HK5" s="713"/>
      <c r="HL5" s="713"/>
      <c r="HM5" s="713"/>
      <c r="HN5" s="713"/>
      <c r="HO5" s="713"/>
      <c r="HP5" s="713"/>
      <c r="HQ5" s="713" t="s">
        <v>956</v>
      </c>
      <c r="HR5" s="713"/>
      <c r="HS5" s="713"/>
      <c r="HT5" s="713"/>
      <c r="HU5" s="713"/>
      <c r="HV5" s="713"/>
      <c r="HW5" s="713"/>
      <c r="HX5" s="713"/>
      <c r="HY5" s="713"/>
      <c r="HZ5" s="713"/>
      <c r="IA5" s="713"/>
      <c r="IB5" s="713"/>
      <c r="IC5" s="713"/>
      <c r="ID5" s="713"/>
      <c r="IE5" s="713"/>
      <c r="IF5" s="713"/>
      <c r="IG5" s="713"/>
      <c r="IH5" s="713"/>
      <c r="II5" s="713"/>
      <c r="IJ5" s="713"/>
      <c r="IK5" s="713"/>
      <c r="IL5" s="713"/>
      <c r="IM5" s="713"/>
      <c r="IN5" s="713"/>
      <c r="IO5" s="713"/>
      <c r="IP5" s="713"/>
      <c r="IQ5" s="713"/>
      <c r="IR5" s="713"/>
      <c r="IS5" s="713"/>
      <c r="IT5" s="713"/>
      <c r="IU5" s="713"/>
      <c r="IV5" s="713"/>
      <c r="IW5" s="713" t="s">
        <v>956</v>
      </c>
      <c r="IX5" s="713"/>
      <c r="IY5" s="713"/>
      <c r="IZ5" s="713"/>
      <c r="JA5" s="713"/>
      <c r="JB5" s="713"/>
      <c r="JC5" s="713"/>
      <c r="JD5" s="713"/>
      <c r="JE5" s="713"/>
      <c r="JF5" s="713"/>
      <c r="JG5" s="713"/>
      <c r="JH5" s="713"/>
      <c r="JI5" s="713"/>
      <c r="JJ5" s="713"/>
      <c r="JK5" s="713"/>
      <c r="JL5" s="713"/>
      <c r="JM5" s="713"/>
      <c r="JN5" s="713"/>
      <c r="JO5" s="713"/>
      <c r="JP5" s="713"/>
      <c r="JQ5" s="713"/>
      <c r="JR5" s="713"/>
      <c r="JS5" s="713"/>
      <c r="JT5" s="713"/>
      <c r="JU5" s="713"/>
      <c r="JV5" s="713"/>
      <c r="JW5" s="713"/>
      <c r="JX5" s="713"/>
      <c r="JY5" s="713"/>
      <c r="JZ5" s="713"/>
      <c r="KA5" s="713"/>
      <c r="KB5" s="713"/>
      <c r="KC5" s="713" t="s">
        <v>956</v>
      </c>
      <c r="KD5" s="713"/>
      <c r="KE5" s="713"/>
      <c r="KF5" s="713"/>
      <c r="KG5" s="713"/>
      <c r="KH5" s="713"/>
      <c r="KI5" s="713"/>
      <c r="KJ5" s="713"/>
      <c r="KK5" s="713"/>
      <c r="KL5" s="713"/>
      <c r="KM5" s="713"/>
      <c r="KN5" s="713"/>
      <c r="KO5" s="713"/>
      <c r="KP5" s="713"/>
      <c r="KQ5" s="713"/>
      <c r="KR5" s="713"/>
      <c r="KS5" s="713"/>
      <c r="KT5" s="713"/>
      <c r="KU5" s="713"/>
      <c r="KV5" s="713"/>
      <c r="KW5" s="713"/>
      <c r="KX5" s="713"/>
      <c r="KY5" s="713"/>
      <c r="KZ5" s="713"/>
      <c r="LA5" s="713"/>
      <c r="LB5" s="713"/>
      <c r="LC5" s="713"/>
      <c r="LD5" s="713"/>
      <c r="LE5" s="713"/>
      <c r="LF5" s="713"/>
      <c r="LG5" s="713"/>
      <c r="LH5" s="713"/>
      <c r="LI5" s="713" t="s">
        <v>956</v>
      </c>
      <c r="LJ5" s="713"/>
      <c r="LK5" s="713"/>
      <c r="LL5" s="713"/>
      <c r="LM5" s="713"/>
      <c r="LN5" s="713"/>
      <c r="LO5" s="713"/>
      <c r="LP5" s="713"/>
      <c r="LQ5" s="713"/>
      <c r="LR5" s="713"/>
      <c r="LS5" s="713"/>
      <c r="LT5" s="713"/>
      <c r="LU5" s="713"/>
      <c r="LV5" s="713"/>
      <c r="LW5" s="713"/>
      <c r="LX5" s="713"/>
      <c r="LY5" s="713"/>
      <c r="LZ5" s="713"/>
      <c r="MA5" s="713"/>
      <c r="MB5" s="713"/>
      <c r="MC5" s="713"/>
      <c r="MD5" s="713"/>
      <c r="ME5" s="713"/>
      <c r="MF5" s="713"/>
      <c r="MG5" s="713"/>
      <c r="MH5" s="713"/>
      <c r="MI5" s="713"/>
      <c r="MJ5" s="713"/>
      <c r="MK5" s="713"/>
      <c r="ML5" s="713"/>
      <c r="MM5" s="713"/>
      <c r="MN5" s="713"/>
      <c r="MO5" s="713" t="s">
        <v>956</v>
      </c>
      <c r="MP5" s="713"/>
      <c r="MQ5" s="713"/>
      <c r="MR5" s="713"/>
      <c r="MS5" s="713"/>
      <c r="MT5" s="713"/>
      <c r="MU5" s="713"/>
      <c r="MV5" s="713"/>
      <c r="MW5" s="713"/>
      <c r="MX5" s="713"/>
      <c r="MY5" s="713"/>
      <c r="MZ5" s="713"/>
      <c r="NA5" s="713"/>
      <c r="NB5" s="713"/>
      <c r="NC5" s="713"/>
      <c r="ND5" s="713"/>
      <c r="NE5" s="713"/>
      <c r="NF5" s="713"/>
      <c r="NG5" s="713"/>
      <c r="NH5" s="713"/>
      <c r="NI5" s="713"/>
      <c r="NJ5" s="713"/>
      <c r="NK5" s="713"/>
      <c r="NL5" s="713"/>
      <c r="NM5" s="713"/>
      <c r="NN5" s="713"/>
      <c r="NO5" s="713"/>
      <c r="NP5" s="713"/>
      <c r="NQ5" s="713"/>
      <c r="NR5" s="713"/>
      <c r="NS5" s="713"/>
      <c r="NT5" s="713"/>
      <c r="NU5" s="713" t="s">
        <v>956</v>
      </c>
      <c r="NV5" s="713"/>
      <c r="NW5" s="713"/>
      <c r="NX5" s="713"/>
      <c r="NY5" s="713"/>
      <c r="NZ5" s="713"/>
      <c r="OA5" s="713"/>
      <c r="OB5" s="713"/>
      <c r="OC5" s="713"/>
      <c r="OD5" s="713"/>
      <c r="OE5" s="713"/>
      <c r="OF5" s="713"/>
      <c r="OG5" s="713"/>
      <c r="OH5" s="713"/>
      <c r="OI5" s="713"/>
      <c r="OJ5" s="713"/>
      <c r="OK5" s="713"/>
      <c r="OL5" s="713"/>
      <c r="OM5" s="713"/>
      <c r="ON5" s="713"/>
      <c r="OO5" s="713"/>
      <c r="OP5" s="713"/>
      <c r="OQ5" s="713"/>
      <c r="OR5" s="713"/>
      <c r="OS5" s="713"/>
      <c r="OT5" s="713"/>
      <c r="OU5" s="713"/>
      <c r="OV5" s="713"/>
      <c r="OW5" s="713"/>
      <c r="OX5" s="713"/>
      <c r="OY5" s="713"/>
      <c r="OZ5" s="713"/>
      <c r="PA5" s="713" t="s">
        <v>956</v>
      </c>
      <c r="PB5" s="713"/>
      <c r="PC5" s="713"/>
      <c r="PD5" s="713"/>
      <c r="PE5" s="713"/>
      <c r="PF5" s="713"/>
      <c r="PG5" s="713"/>
      <c r="PH5" s="713"/>
      <c r="PI5" s="713"/>
      <c r="PJ5" s="713"/>
      <c r="PK5" s="713"/>
      <c r="PL5" s="713"/>
      <c r="PM5" s="713"/>
      <c r="PN5" s="713"/>
      <c r="PO5" s="713"/>
      <c r="PP5" s="713"/>
      <c r="PQ5" s="713"/>
      <c r="PR5" s="713"/>
      <c r="PS5" s="713"/>
      <c r="PT5" s="713"/>
      <c r="PU5" s="713"/>
      <c r="PV5" s="713"/>
      <c r="PW5" s="713"/>
      <c r="PX5" s="713"/>
      <c r="PY5" s="713"/>
      <c r="PZ5" s="713"/>
      <c r="QA5" s="713"/>
      <c r="QB5" s="713"/>
      <c r="QC5" s="713"/>
      <c r="QD5" s="713"/>
      <c r="QE5" s="713"/>
      <c r="QF5" s="713"/>
      <c r="QG5" s="713" t="s">
        <v>956</v>
      </c>
      <c r="QH5" s="713"/>
      <c r="QI5" s="713"/>
      <c r="QJ5" s="713"/>
      <c r="QK5" s="713"/>
      <c r="QL5" s="713"/>
      <c r="QM5" s="713"/>
      <c r="QN5" s="713"/>
      <c r="QO5" s="713"/>
      <c r="QP5" s="713"/>
      <c r="QQ5" s="713"/>
      <c r="QR5" s="713"/>
      <c r="QS5" s="713"/>
      <c r="QT5" s="713"/>
      <c r="QU5" s="713"/>
      <c r="QV5" s="713"/>
      <c r="QW5" s="713"/>
      <c r="QX5" s="713"/>
      <c r="QY5" s="713"/>
      <c r="QZ5" s="713"/>
      <c r="RA5" s="713"/>
      <c r="RB5" s="713"/>
      <c r="RC5" s="713"/>
      <c r="RD5" s="713"/>
      <c r="RE5" s="713"/>
      <c r="RF5" s="713"/>
      <c r="RG5" s="713"/>
      <c r="RH5" s="713"/>
      <c r="RI5" s="713"/>
      <c r="RJ5" s="713"/>
      <c r="RK5" s="713"/>
      <c r="RL5" s="713"/>
      <c r="RM5" s="713" t="s">
        <v>956</v>
      </c>
      <c r="RN5" s="713"/>
      <c r="RO5" s="713"/>
      <c r="RP5" s="713"/>
      <c r="RQ5" s="713"/>
      <c r="RR5" s="713"/>
      <c r="RS5" s="713"/>
      <c r="RT5" s="713"/>
      <c r="RU5" s="713"/>
      <c r="RV5" s="713"/>
      <c r="RW5" s="713"/>
      <c r="RX5" s="713"/>
      <c r="RY5" s="713"/>
      <c r="RZ5" s="713"/>
      <c r="SA5" s="713"/>
      <c r="SB5" s="713"/>
      <c r="SC5" s="713"/>
      <c r="SD5" s="713"/>
      <c r="SE5" s="713"/>
      <c r="SF5" s="713"/>
      <c r="SG5" s="713"/>
      <c r="SH5" s="713"/>
      <c r="SI5" s="713"/>
      <c r="SJ5" s="713"/>
      <c r="SK5" s="713"/>
      <c r="SL5" s="713"/>
      <c r="SM5" s="713"/>
      <c r="SN5" s="713"/>
      <c r="SO5" s="713"/>
      <c r="SP5" s="713"/>
      <c r="SQ5" s="713"/>
      <c r="SR5" s="713"/>
      <c r="SS5" s="713" t="s">
        <v>956</v>
      </c>
      <c r="ST5" s="713"/>
      <c r="SU5" s="713"/>
      <c r="SV5" s="713"/>
      <c r="SW5" s="713"/>
      <c r="SX5" s="713"/>
      <c r="SY5" s="713"/>
      <c r="SZ5" s="713"/>
      <c r="TA5" s="713"/>
      <c r="TB5" s="713"/>
      <c r="TC5" s="713"/>
      <c r="TD5" s="713"/>
      <c r="TE5" s="713"/>
      <c r="TF5" s="713"/>
      <c r="TG5" s="713"/>
      <c r="TH5" s="713"/>
      <c r="TI5" s="713"/>
      <c r="TJ5" s="713"/>
      <c r="TK5" s="713"/>
      <c r="TL5" s="713"/>
      <c r="TM5" s="713"/>
      <c r="TN5" s="713"/>
      <c r="TO5" s="713"/>
      <c r="TP5" s="713"/>
      <c r="TQ5" s="713"/>
      <c r="TR5" s="713"/>
      <c r="TS5" s="713"/>
      <c r="TT5" s="713"/>
      <c r="TU5" s="713"/>
      <c r="TV5" s="713"/>
      <c r="TW5" s="713"/>
      <c r="TX5" s="713"/>
      <c r="TY5" s="713" t="s">
        <v>956</v>
      </c>
      <c r="TZ5" s="713"/>
      <c r="UA5" s="713"/>
      <c r="UB5" s="713"/>
      <c r="UC5" s="713"/>
      <c r="UD5" s="713"/>
      <c r="UE5" s="713"/>
      <c r="UF5" s="713"/>
      <c r="UG5" s="713"/>
      <c r="UH5" s="713"/>
      <c r="UI5" s="713"/>
      <c r="UJ5" s="713"/>
      <c r="UK5" s="713"/>
      <c r="UL5" s="713"/>
      <c r="UM5" s="713"/>
      <c r="UN5" s="713"/>
      <c r="UO5" s="713"/>
      <c r="UP5" s="713"/>
      <c r="UQ5" s="713"/>
      <c r="UR5" s="713"/>
      <c r="US5" s="713"/>
      <c r="UT5" s="713"/>
      <c r="UU5" s="713"/>
      <c r="UV5" s="713"/>
      <c r="UW5" s="713"/>
      <c r="UX5" s="713"/>
      <c r="UY5" s="713"/>
      <c r="UZ5" s="713"/>
      <c r="VA5" s="713"/>
      <c r="VB5" s="713"/>
      <c r="VC5" s="713"/>
      <c r="VD5" s="713"/>
      <c r="VE5" s="713" t="s">
        <v>956</v>
      </c>
      <c r="VF5" s="713"/>
      <c r="VG5" s="713"/>
      <c r="VH5" s="713"/>
      <c r="VI5" s="713"/>
      <c r="VJ5" s="713"/>
      <c r="VK5" s="713"/>
      <c r="VL5" s="713"/>
      <c r="VM5" s="713"/>
      <c r="VN5" s="713"/>
      <c r="VO5" s="713"/>
      <c r="VP5" s="713"/>
      <c r="VQ5" s="713"/>
      <c r="VR5" s="713"/>
      <c r="VS5" s="713"/>
      <c r="VT5" s="713"/>
      <c r="VU5" s="713"/>
      <c r="VV5" s="713"/>
      <c r="VW5" s="713"/>
      <c r="VX5" s="713"/>
      <c r="VY5" s="713"/>
      <c r="VZ5" s="713"/>
      <c r="WA5" s="713"/>
      <c r="WB5" s="713"/>
      <c r="WC5" s="713"/>
      <c r="WD5" s="713"/>
      <c r="WE5" s="713"/>
      <c r="WF5" s="713"/>
      <c r="WG5" s="713"/>
      <c r="WH5" s="713"/>
      <c r="WI5" s="713"/>
      <c r="WJ5" s="713"/>
      <c r="WK5" s="713" t="s">
        <v>956</v>
      </c>
      <c r="WL5" s="713"/>
      <c r="WM5" s="713"/>
      <c r="WN5" s="713"/>
      <c r="WO5" s="713"/>
      <c r="WP5" s="713"/>
      <c r="WQ5" s="713"/>
      <c r="WR5" s="713"/>
      <c r="WS5" s="713"/>
      <c r="WT5" s="713"/>
      <c r="WU5" s="713"/>
      <c r="WV5" s="713"/>
      <c r="WW5" s="713"/>
      <c r="WX5" s="713"/>
      <c r="WY5" s="713"/>
      <c r="WZ5" s="713"/>
      <c r="XA5" s="713"/>
      <c r="XB5" s="713"/>
      <c r="XC5" s="713"/>
      <c r="XD5" s="713"/>
      <c r="XE5" s="713"/>
      <c r="XF5" s="713"/>
      <c r="XG5" s="713"/>
      <c r="XH5" s="713"/>
      <c r="XI5" s="713"/>
      <c r="XJ5" s="713"/>
      <c r="XK5" s="713"/>
      <c r="XL5" s="713"/>
      <c r="XM5" s="713"/>
      <c r="XN5" s="713"/>
      <c r="XO5" s="713"/>
      <c r="XP5" s="713"/>
      <c r="XQ5" s="713" t="s">
        <v>956</v>
      </c>
      <c r="XR5" s="713"/>
      <c r="XS5" s="713"/>
      <c r="XT5" s="713"/>
      <c r="XU5" s="713"/>
      <c r="XV5" s="713"/>
      <c r="XW5" s="713"/>
      <c r="XX5" s="713"/>
      <c r="XY5" s="713"/>
      <c r="XZ5" s="713"/>
      <c r="YA5" s="713"/>
      <c r="YB5" s="713"/>
      <c r="YC5" s="713"/>
      <c r="YD5" s="713"/>
      <c r="YE5" s="713"/>
      <c r="YF5" s="713"/>
      <c r="YG5" s="713"/>
      <c r="YH5" s="713"/>
      <c r="YI5" s="713"/>
      <c r="YJ5" s="713"/>
      <c r="YK5" s="713"/>
      <c r="YL5" s="713"/>
      <c r="YM5" s="713"/>
      <c r="YN5" s="713"/>
      <c r="YO5" s="713"/>
      <c r="YP5" s="713"/>
      <c r="YQ5" s="713"/>
      <c r="YR5" s="713"/>
      <c r="YS5" s="713"/>
      <c r="YT5" s="713"/>
      <c r="YU5" s="713"/>
      <c r="YV5" s="713"/>
      <c r="YW5" s="713" t="s">
        <v>956</v>
      </c>
      <c r="YX5" s="713"/>
      <c r="YY5" s="713"/>
      <c r="YZ5" s="713"/>
      <c r="ZA5" s="713"/>
      <c r="ZB5" s="713"/>
      <c r="ZC5" s="713"/>
      <c r="ZD5" s="713"/>
      <c r="ZE5" s="713"/>
      <c r="ZF5" s="713"/>
      <c r="ZG5" s="713"/>
      <c r="ZH5" s="713"/>
      <c r="ZI5" s="713"/>
      <c r="ZJ5" s="713"/>
      <c r="ZK5" s="713"/>
      <c r="ZL5" s="713"/>
      <c r="ZM5" s="713"/>
      <c r="ZN5" s="713"/>
      <c r="ZO5" s="713"/>
      <c r="ZP5" s="713"/>
      <c r="ZQ5" s="713"/>
      <c r="ZR5" s="713"/>
      <c r="ZS5" s="713"/>
      <c r="ZT5" s="713"/>
      <c r="ZU5" s="713"/>
      <c r="ZV5" s="713"/>
      <c r="ZW5" s="713"/>
      <c r="ZX5" s="713"/>
      <c r="ZY5" s="713"/>
      <c r="ZZ5" s="713"/>
      <c r="AAA5" s="713"/>
      <c r="AAB5" s="713"/>
      <c r="AAC5" s="713" t="s">
        <v>956</v>
      </c>
      <c r="AAD5" s="713"/>
      <c r="AAE5" s="713"/>
      <c r="AAF5" s="713"/>
      <c r="AAG5" s="713"/>
      <c r="AAH5" s="713"/>
      <c r="AAI5" s="713"/>
      <c r="AAJ5" s="713"/>
      <c r="AAK5" s="713"/>
      <c r="AAL5" s="713"/>
      <c r="AAM5" s="713"/>
      <c r="AAN5" s="713"/>
      <c r="AAO5" s="713"/>
      <c r="AAP5" s="713"/>
      <c r="AAQ5" s="713"/>
      <c r="AAR5" s="713"/>
      <c r="AAS5" s="713"/>
      <c r="AAT5" s="713"/>
      <c r="AAU5" s="713"/>
      <c r="AAV5" s="713"/>
      <c r="AAW5" s="713"/>
      <c r="AAX5" s="713"/>
      <c r="AAY5" s="713"/>
      <c r="AAZ5" s="713"/>
      <c r="ABA5" s="713"/>
      <c r="ABB5" s="713"/>
      <c r="ABC5" s="713"/>
      <c r="ABD5" s="713"/>
      <c r="ABE5" s="713"/>
      <c r="ABF5" s="713"/>
      <c r="ABG5" s="713"/>
      <c r="ABH5" s="713"/>
      <c r="ABI5" s="713" t="s">
        <v>956</v>
      </c>
      <c r="ABJ5" s="713"/>
      <c r="ABK5" s="713"/>
      <c r="ABL5" s="713"/>
      <c r="ABM5" s="713"/>
      <c r="ABN5" s="713"/>
      <c r="ABO5" s="713"/>
      <c r="ABP5" s="713"/>
      <c r="ABQ5" s="713"/>
      <c r="ABR5" s="713"/>
      <c r="ABS5" s="713"/>
      <c r="ABT5" s="713"/>
      <c r="ABU5" s="713"/>
      <c r="ABV5" s="713"/>
      <c r="ABW5" s="713"/>
      <c r="ABX5" s="713"/>
      <c r="ABY5" s="713"/>
      <c r="ABZ5" s="713"/>
      <c r="ACA5" s="713"/>
      <c r="ACB5" s="713"/>
      <c r="ACC5" s="713"/>
      <c r="ACD5" s="713"/>
      <c r="ACE5" s="713"/>
      <c r="ACF5" s="713"/>
      <c r="ACG5" s="713"/>
      <c r="ACH5" s="713"/>
      <c r="ACI5" s="713"/>
      <c r="ACJ5" s="713"/>
      <c r="ACK5" s="713"/>
      <c r="ACL5" s="713"/>
      <c r="ACM5" s="713"/>
      <c r="ACN5" s="713"/>
      <c r="ACO5" s="713" t="s">
        <v>956</v>
      </c>
      <c r="ACP5" s="713"/>
      <c r="ACQ5" s="713"/>
      <c r="ACR5" s="713"/>
      <c r="ACS5" s="713"/>
      <c r="ACT5" s="713"/>
      <c r="ACU5" s="713"/>
      <c r="ACV5" s="713"/>
      <c r="ACW5" s="713"/>
      <c r="ACX5" s="713"/>
      <c r="ACY5" s="713"/>
      <c r="ACZ5" s="713"/>
      <c r="ADA5" s="713"/>
      <c r="ADB5" s="713"/>
      <c r="ADC5" s="713"/>
      <c r="ADD5" s="713"/>
      <c r="ADE5" s="713"/>
      <c r="ADF5" s="713"/>
      <c r="ADG5" s="713"/>
      <c r="ADH5" s="713"/>
      <c r="ADI5" s="713"/>
      <c r="ADJ5" s="713"/>
      <c r="ADK5" s="713"/>
      <c r="ADL5" s="713"/>
      <c r="ADM5" s="713"/>
      <c r="ADN5" s="713"/>
      <c r="ADO5" s="713"/>
      <c r="ADP5" s="713"/>
      <c r="ADQ5" s="713"/>
      <c r="ADR5" s="713"/>
      <c r="ADS5" s="713"/>
      <c r="ADT5" s="713"/>
      <c r="ADU5" s="713" t="s">
        <v>956</v>
      </c>
      <c r="ADV5" s="713"/>
      <c r="ADW5" s="713"/>
      <c r="ADX5" s="713"/>
      <c r="ADY5" s="713"/>
      <c r="ADZ5" s="713"/>
      <c r="AEA5" s="713"/>
      <c r="AEB5" s="713"/>
      <c r="AEC5" s="713"/>
      <c r="AED5" s="713"/>
      <c r="AEE5" s="713"/>
      <c r="AEF5" s="713"/>
      <c r="AEG5" s="713"/>
      <c r="AEH5" s="713"/>
      <c r="AEI5" s="713"/>
      <c r="AEJ5" s="713"/>
      <c r="AEK5" s="713"/>
      <c r="AEL5" s="713"/>
      <c r="AEM5" s="713"/>
      <c r="AEN5" s="713"/>
      <c r="AEO5" s="713"/>
      <c r="AEP5" s="713"/>
      <c r="AEQ5" s="713"/>
      <c r="AER5" s="713"/>
      <c r="AES5" s="713"/>
      <c r="AET5" s="713"/>
      <c r="AEU5" s="713"/>
      <c r="AEV5" s="713"/>
      <c r="AEW5" s="713"/>
      <c r="AEX5" s="713"/>
      <c r="AEY5" s="713"/>
      <c r="AEZ5" s="713"/>
      <c r="AFA5" s="713" t="s">
        <v>956</v>
      </c>
      <c r="AFB5" s="713"/>
      <c r="AFC5" s="713"/>
      <c r="AFD5" s="713"/>
      <c r="AFE5" s="713"/>
      <c r="AFF5" s="713"/>
      <c r="AFG5" s="713"/>
      <c r="AFH5" s="713"/>
      <c r="AFI5" s="713"/>
      <c r="AFJ5" s="713"/>
      <c r="AFK5" s="713"/>
      <c r="AFL5" s="713"/>
      <c r="AFM5" s="713"/>
      <c r="AFN5" s="713"/>
      <c r="AFO5" s="713"/>
      <c r="AFP5" s="713"/>
      <c r="AFQ5" s="713"/>
      <c r="AFR5" s="713"/>
      <c r="AFS5" s="713"/>
      <c r="AFT5" s="713"/>
      <c r="AFU5" s="713"/>
      <c r="AFV5" s="713"/>
      <c r="AFW5" s="713"/>
      <c r="AFX5" s="713"/>
      <c r="AFY5" s="713"/>
      <c r="AFZ5" s="713"/>
      <c r="AGA5" s="713"/>
      <c r="AGB5" s="713"/>
      <c r="AGC5" s="713"/>
      <c r="AGD5" s="713"/>
      <c r="AGE5" s="713"/>
      <c r="AGF5" s="713"/>
      <c r="AGG5" s="713" t="s">
        <v>956</v>
      </c>
      <c r="AGH5" s="713"/>
      <c r="AGI5" s="713"/>
      <c r="AGJ5" s="713"/>
      <c r="AGK5" s="713"/>
      <c r="AGL5" s="713"/>
      <c r="AGM5" s="713"/>
      <c r="AGN5" s="713"/>
      <c r="AGO5" s="713"/>
      <c r="AGP5" s="713"/>
      <c r="AGQ5" s="713"/>
      <c r="AGR5" s="713"/>
      <c r="AGS5" s="713"/>
      <c r="AGT5" s="713"/>
      <c r="AGU5" s="713"/>
      <c r="AGV5" s="713"/>
      <c r="AGW5" s="713"/>
      <c r="AGX5" s="713"/>
      <c r="AGY5" s="713"/>
      <c r="AGZ5" s="713"/>
      <c r="AHA5" s="713"/>
      <c r="AHB5" s="713"/>
      <c r="AHC5" s="713"/>
      <c r="AHD5" s="713"/>
      <c r="AHE5" s="713"/>
      <c r="AHF5" s="713"/>
      <c r="AHG5" s="713"/>
      <c r="AHH5" s="713"/>
      <c r="AHI5" s="713"/>
      <c r="AHJ5" s="713"/>
      <c r="AHK5" s="713"/>
      <c r="AHL5" s="713"/>
      <c r="AHM5" s="713" t="s">
        <v>956</v>
      </c>
      <c r="AHN5" s="713"/>
      <c r="AHO5" s="713"/>
      <c r="AHP5" s="713"/>
      <c r="AHQ5" s="713"/>
      <c r="AHR5" s="713"/>
      <c r="AHS5" s="713"/>
      <c r="AHT5" s="713"/>
      <c r="AHU5" s="713"/>
      <c r="AHV5" s="713"/>
      <c r="AHW5" s="713"/>
      <c r="AHX5" s="713"/>
      <c r="AHY5" s="713"/>
      <c r="AHZ5" s="713"/>
      <c r="AIA5" s="713"/>
      <c r="AIB5" s="713"/>
      <c r="AIC5" s="713"/>
      <c r="AID5" s="713"/>
      <c r="AIE5" s="713"/>
      <c r="AIF5" s="713"/>
      <c r="AIG5" s="713"/>
      <c r="AIH5" s="713"/>
      <c r="AII5" s="713"/>
      <c r="AIJ5" s="713"/>
      <c r="AIK5" s="713"/>
      <c r="AIL5" s="713"/>
      <c r="AIM5" s="713"/>
      <c r="AIN5" s="713"/>
      <c r="AIO5" s="713"/>
      <c r="AIP5" s="713"/>
      <c r="AIQ5" s="713"/>
      <c r="AIR5" s="713"/>
      <c r="AIS5" s="713" t="s">
        <v>956</v>
      </c>
      <c r="AIT5" s="713"/>
      <c r="AIU5" s="713"/>
      <c r="AIV5" s="713"/>
      <c r="AIW5" s="713"/>
      <c r="AIX5" s="713"/>
      <c r="AIY5" s="713"/>
      <c r="AIZ5" s="713"/>
      <c r="AJA5" s="713"/>
      <c r="AJB5" s="713"/>
      <c r="AJC5" s="713"/>
      <c r="AJD5" s="713"/>
      <c r="AJE5" s="713"/>
      <c r="AJF5" s="713"/>
      <c r="AJG5" s="713"/>
      <c r="AJH5" s="713"/>
      <c r="AJI5" s="713"/>
      <c r="AJJ5" s="713"/>
      <c r="AJK5" s="713"/>
      <c r="AJL5" s="713"/>
      <c r="AJM5" s="713"/>
      <c r="AJN5" s="713"/>
      <c r="AJO5" s="713"/>
      <c r="AJP5" s="713"/>
      <c r="AJQ5" s="713"/>
      <c r="AJR5" s="713"/>
      <c r="AJS5" s="713"/>
      <c r="AJT5" s="713"/>
      <c r="AJU5" s="713"/>
      <c r="AJV5" s="713"/>
      <c r="AJW5" s="713"/>
      <c r="AJX5" s="713"/>
      <c r="AJY5" s="713" t="s">
        <v>956</v>
      </c>
      <c r="AJZ5" s="713"/>
      <c r="AKA5" s="713"/>
      <c r="AKB5" s="713"/>
      <c r="AKC5" s="713"/>
      <c r="AKD5" s="713"/>
      <c r="AKE5" s="713"/>
      <c r="AKF5" s="713"/>
      <c r="AKG5" s="713"/>
      <c r="AKH5" s="713"/>
      <c r="AKI5" s="713"/>
      <c r="AKJ5" s="713"/>
      <c r="AKK5" s="713"/>
      <c r="AKL5" s="713"/>
      <c r="AKM5" s="713"/>
      <c r="AKN5" s="713"/>
      <c r="AKO5" s="713"/>
      <c r="AKP5" s="713"/>
      <c r="AKQ5" s="713"/>
      <c r="AKR5" s="713"/>
      <c r="AKS5" s="713"/>
      <c r="AKT5" s="713"/>
      <c r="AKU5" s="713"/>
      <c r="AKV5" s="713"/>
      <c r="AKW5" s="713"/>
      <c r="AKX5" s="713"/>
      <c r="AKY5" s="713"/>
      <c r="AKZ5" s="713"/>
      <c r="ALA5" s="713"/>
      <c r="ALB5" s="713"/>
      <c r="ALC5" s="713"/>
      <c r="ALD5" s="713"/>
      <c r="ALE5" s="713" t="s">
        <v>956</v>
      </c>
      <c r="ALF5" s="713"/>
      <c r="ALG5" s="713"/>
      <c r="ALH5" s="713"/>
      <c r="ALI5" s="713"/>
      <c r="ALJ5" s="713"/>
      <c r="ALK5" s="713"/>
      <c r="ALL5" s="713"/>
      <c r="ALM5" s="713"/>
      <c r="ALN5" s="713"/>
      <c r="ALO5" s="713"/>
      <c r="ALP5" s="713"/>
      <c r="ALQ5" s="713"/>
      <c r="ALR5" s="713"/>
      <c r="ALS5" s="713"/>
      <c r="ALT5" s="713"/>
      <c r="ALU5" s="713"/>
      <c r="ALV5" s="713"/>
      <c r="ALW5" s="713"/>
      <c r="ALX5" s="713"/>
      <c r="ALY5" s="713"/>
      <c r="ALZ5" s="713"/>
      <c r="AMA5" s="713"/>
      <c r="AMB5" s="713"/>
      <c r="AMC5" s="713"/>
      <c r="AMD5" s="713"/>
      <c r="AME5" s="713"/>
      <c r="AMF5" s="713"/>
      <c r="AMG5" s="713"/>
      <c r="AMH5" s="713"/>
      <c r="AMI5" s="713"/>
      <c r="AMJ5" s="713"/>
      <c r="AMK5" s="713" t="s">
        <v>956</v>
      </c>
      <c r="AML5" s="713"/>
      <c r="AMM5" s="713"/>
      <c r="AMN5" s="713"/>
      <c r="AMO5" s="713"/>
      <c r="AMP5" s="713"/>
      <c r="AMQ5" s="713"/>
      <c r="AMR5" s="713"/>
      <c r="AMS5" s="713"/>
      <c r="AMT5" s="713"/>
      <c r="AMU5" s="713"/>
      <c r="AMV5" s="713"/>
      <c r="AMW5" s="713"/>
      <c r="AMX5" s="713"/>
      <c r="AMY5" s="713"/>
      <c r="AMZ5" s="713"/>
      <c r="ANA5" s="713"/>
      <c r="ANB5" s="713"/>
      <c r="ANC5" s="713"/>
      <c r="AND5" s="713"/>
      <c r="ANE5" s="713"/>
      <c r="ANF5" s="713"/>
      <c r="ANG5" s="713"/>
      <c r="ANH5" s="713"/>
      <c r="ANI5" s="713"/>
      <c r="ANJ5" s="713"/>
      <c r="ANK5" s="713"/>
      <c r="ANL5" s="713"/>
      <c r="ANM5" s="713"/>
      <c r="ANN5" s="713"/>
      <c r="ANO5" s="713"/>
      <c r="ANP5" s="713"/>
      <c r="ANQ5" s="713" t="s">
        <v>956</v>
      </c>
      <c r="ANR5" s="713"/>
      <c r="ANS5" s="713"/>
      <c r="ANT5" s="713"/>
      <c r="ANU5" s="713"/>
      <c r="ANV5" s="713"/>
      <c r="ANW5" s="713"/>
      <c r="ANX5" s="713"/>
      <c r="ANY5" s="713"/>
      <c r="ANZ5" s="713"/>
      <c r="AOA5" s="713"/>
      <c r="AOB5" s="713"/>
      <c r="AOC5" s="713"/>
      <c r="AOD5" s="713"/>
      <c r="AOE5" s="713"/>
      <c r="AOF5" s="713"/>
      <c r="AOG5" s="713"/>
      <c r="AOH5" s="713"/>
      <c r="AOI5" s="713"/>
      <c r="AOJ5" s="713"/>
      <c r="AOK5" s="713"/>
      <c r="AOL5" s="713"/>
      <c r="AOM5" s="713"/>
      <c r="AON5" s="713"/>
      <c r="AOO5" s="713"/>
      <c r="AOP5" s="713"/>
      <c r="AOQ5" s="713"/>
      <c r="AOR5" s="713"/>
      <c r="AOS5" s="713"/>
      <c r="AOT5" s="713"/>
      <c r="AOU5" s="713"/>
      <c r="AOV5" s="713"/>
      <c r="AOW5" s="713" t="s">
        <v>956</v>
      </c>
      <c r="AOX5" s="713"/>
      <c r="AOY5" s="713"/>
      <c r="AOZ5" s="713"/>
      <c r="APA5" s="713"/>
      <c r="APB5" s="713"/>
      <c r="APC5" s="713"/>
      <c r="APD5" s="713"/>
      <c r="APE5" s="713"/>
      <c r="APF5" s="713"/>
      <c r="APG5" s="713"/>
      <c r="APH5" s="713"/>
      <c r="API5" s="713"/>
      <c r="APJ5" s="713"/>
      <c r="APK5" s="713"/>
      <c r="APL5" s="713"/>
      <c r="APM5" s="713"/>
      <c r="APN5" s="713"/>
      <c r="APO5" s="713"/>
      <c r="APP5" s="713"/>
      <c r="APQ5" s="713"/>
      <c r="APR5" s="713"/>
      <c r="APS5" s="713"/>
      <c r="APT5" s="713"/>
      <c r="APU5" s="713"/>
      <c r="APV5" s="713"/>
      <c r="APW5" s="713"/>
      <c r="APX5" s="713"/>
      <c r="APY5" s="713"/>
      <c r="APZ5" s="713"/>
      <c r="AQA5" s="713"/>
      <c r="AQB5" s="713"/>
      <c r="AQC5" s="713" t="s">
        <v>956</v>
      </c>
      <c r="AQD5" s="713"/>
      <c r="AQE5" s="713"/>
      <c r="AQF5" s="713"/>
      <c r="AQG5" s="713"/>
      <c r="AQH5" s="713"/>
      <c r="AQI5" s="713"/>
      <c r="AQJ5" s="713"/>
      <c r="AQK5" s="713"/>
      <c r="AQL5" s="713"/>
      <c r="AQM5" s="713"/>
      <c r="AQN5" s="713"/>
      <c r="AQO5" s="713"/>
      <c r="AQP5" s="713"/>
      <c r="AQQ5" s="713"/>
      <c r="AQR5" s="713"/>
      <c r="AQS5" s="713"/>
      <c r="AQT5" s="713"/>
      <c r="AQU5" s="713"/>
      <c r="AQV5" s="713"/>
      <c r="AQW5" s="713"/>
      <c r="AQX5" s="713"/>
      <c r="AQY5" s="713"/>
      <c r="AQZ5" s="713"/>
      <c r="ARA5" s="713"/>
      <c r="ARB5" s="713"/>
      <c r="ARC5" s="713"/>
      <c r="ARD5" s="713"/>
      <c r="ARE5" s="713"/>
      <c r="ARF5" s="713"/>
      <c r="ARG5" s="713"/>
      <c r="ARH5" s="713"/>
      <c r="ARI5" s="713" t="s">
        <v>956</v>
      </c>
      <c r="ARJ5" s="713"/>
      <c r="ARK5" s="713"/>
      <c r="ARL5" s="713"/>
      <c r="ARM5" s="713"/>
      <c r="ARN5" s="713"/>
      <c r="ARO5" s="713"/>
      <c r="ARP5" s="713"/>
      <c r="ARQ5" s="713"/>
      <c r="ARR5" s="713"/>
      <c r="ARS5" s="713"/>
      <c r="ART5" s="713"/>
      <c r="ARU5" s="713"/>
      <c r="ARV5" s="713"/>
      <c r="ARW5" s="713"/>
      <c r="ARX5" s="713"/>
      <c r="ARY5" s="713"/>
      <c r="ARZ5" s="713"/>
      <c r="ASA5" s="713"/>
      <c r="ASB5" s="713"/>
      <c r="ASC5" s="713"/>
      <c r="ASD5" s="713"/>
      <c r="ASE5" s="713"/>
      <c r="ASF5" s="713"/>
      <c r="ASG5" s="713"/>
      <c r="ASH5" s="713"/>
      <c r="ASI5" s="713"/>
      <c r="ASJ5" s="713"/>
      <c r="ASK5" s="713"/>
      <c r="ASL5" s="713"/>
      <c r="ASM5" s="713"/>
      <c r="ASN5" s="713"/>
      <c r="ASO5" s="713" t="s">
        <v>956</v>
      </c>
      <c r="ASP5" s="713"/>
      <c r="ASQ5" s="713"/>
      <c r="ASR5" s="713"/>
      <c r="ASS5" s="713"/>
      <c r="AST5" s="713"/>
      <c r="ASU5" s="713"/>
      <c r="ASV5" s="713"/>
      <c r="ASW5" s="713"/>
      <c r="ASX5" s="713"/>
      <c r="ASY5" s="713"/>
      <c r="ASZ5" s="713"/>
      <c r="ATA5" s="713"/>
      <c r="ATB5" s="713"/>
      <c r="ATC5" s="713"/>
      <c r="ATD5" s="713"/>
      <c r="ATE5" s="713"/>
      <c r="ATF5" s="713"/>
      <c r="ATG5" s="713"/>
      <c r="ATH5" s="713"/>
      <c r="ATI5" s="713"/>
      <c r="ATJ5" s="713"/>
      <c r="ATK5" s="713"/>
      <c r="ATL5" s="713"/>
      <c r="ATM5" s="713"/>
      <c r="ATN5" s="713"/>
      <c r="ATO5" s="713"/>
      <c r="ATP5" s="713"/>
      <c r="ATQ5" s="713"/>
      <c r="ATR5" s="713"/>
      <c r="ATS5" s="713"/>
      <c r="ATT5" s="713"/>
      <c r="ATU5" s="713" t="s">
        <v>956</v>
      </c>
      <c r="ATV5" s="713"/>
      <c r="ATW5" s="713"/>
      <c r="ATX5" s="713"/>
      <c r="ATY5" s="713"/>
      <c r="ATZ5" s="713"/>
      <c r="AUA5" s="713"/>
      <c r="AUB5" s="713"/>
      <c r="AUC5" s="713"/>
      <c r="AUD5" s="713"/>
      <c r="AUE5" s="713"/>
      <c r="AUF5" s="713"/>
      <c r="AUG5" s="713"/>
      <c r="AUH5" s="713"/>
      <c r="AUI5" s="713"/>
      <c r="AUJ5" s="713"/>
      <c r="AUK5" s="713"/>
      <c r="AUL5" s="713"/>
      <c r="AUM5" s="713"/>
      <c r="AUN5" s="713"/>
      <c r="AUO5" s="713"/>
      <c r="AUP5" s="713"/>
      <c r="AUQ5" s="713"/>
      <c r="AUR5" s="713"/>
      <c r="AUS5" s="713"/>
      <c r="AUT5" s="713"/>
      <c r="AUU5" s="713"/>
      <c r="AUV5" s="713"/>
      <c r="AUW5" s="713"/>
      <c r="AUX5" s="713"/>
      <c r="AUY5" s="713"/>
      <c r="AUZ5" s="713"/>
      <c r="AVA5" s="713" t="s">
        <v>956</v>
      </c>
      <c r="AVB5" s="713"/>
      <c r="AVC5" s="713"/>
      <c r="AVD5" s="713"/>
      <c r="AVE5" s="713"/>
      <c r="AVF5" s="713"/>
      <c r="AVG5" s="713"/>
      <c r="AVH5" s="713"/>
      <c r="AVI5" s="713"/>
      <c r="AVJ5" s="713"/>
      <c r="AVK5" s="713"/>
      <c r="AVL5" s="713"/>
      <c r="AVM5" s="713"/>
      <c r="AVN5" s="713"/>
      <c r="AVO5" s="713"/>
      <c r="AVP5" s="713"/>
      <c r="AVQ5" s="713"/>
      <c r="AVR5" s="713"/>
      <c r="AVS5" s="713"/>
      <c r="AVT5" s="713"/>
      <c r="AVU5" s="713"/>
      <c r="AVV5" s="713"/>
      <c r="AVW5" s="713"/>
      <c r="AVX5" s="713"/>
      <c r="AVY5" s="713"/>
      <c r="AVZ5" s="713"/>
      <c r="AWA5" s="713"/>
      <c r="AWB5" s="713"/>
      <c r="AWC5" s="713"/>
      <c r="AWD5" s="713"/>
      <c r="AWE5" s="713"/>
      <c r="AWF5" s="713"/>
      <c r="AWG5" s="713" t="s">
        <v>956</v>
      </c>
      <c r="AWH5" s="713"/>
      <c r="AWI5" s="713"/>
      <c r="AWJ5" s="713"/>
      <c r="AWK5" s="713"/>
      <c r="AWL5" s="713"/>
      <c r="AWM5" s="713"/>
      <c r="AWN5" s="713"/>
      <c r="AWO5" s="713"/>
      <c r="AWP5" s="713"/>
      <c r="AWQ5" s="713"/>
      <c r="AWR5" s="713"/>
      <c r="AWS5" s="713"/>
      <c r="AWT5" s="713"/>
      <c r="AWU5" s="713"/>
      <c r="AWV5" s="713"/>
      <c r="AWW5" s="713"/>
      <c r="AWX5" s="713"/>
      <c r="AWY5" s="713"/>
      <c r="AWZ5" s="713"/>
      <c r="AXA5" s="713"/>
      <c r="AXB5" s="713"/>
      <c r="AXC5" s="713"/>
      <c r="AXD5" s="713"/>
      <c r="AXE5" s="713"/>
      <c r="AXF5" s="713"/>
      <c r="AXG5" s="713"/>
      <c r="AXH5" s="713"/>
      <c r="AXI5" s="713"/>
      <c r="AXJ5" s="713"/>
      <c r="AXK5" s="713"/>
      <c r="AXL5" s="713"/>
      <c r="AXM5" s="713" t="s">
        <v>956</v>
      </c>
      <c r="AXN5" s="713"/>
      <c r="AXO5" s="713"/>
      <c r="AXP5" s="713"/>
      <c r="AXQ5" s="713"/>
      <c r="AXR5" s="713"/>
      <c r="AXS5" s="713"/>
      <c r="AXT5" s="713"/>
      <c r="AXU5" s="713"/>
      <c r="AXV5" s="713"/>
      <c r="AXW5" s="713"/>
      <c r="AXX5" s="713"/>
      <c r="AXY5" s="713"/>
      <c r="AXZ5" s="713"/>
      <c r="AYA5" s="713"/>
      <c r="AYB5" s="713"/>
      <c r="AYC5" s="713"/>
      <c r="AYD5" s="713"/>
      <c r="AYE5" s="713"/>
      <c r="AYF5" s="713"/>
      <c r="AYG5" s="713"/>
      <c r="AYH5" s="713"/>
      <c r="AYI5" s="713"/>
      <c r="AYJ5" s="713"/>
      <c r="AYK5" s="713"/>
      <c r="AYL5" s="713"/>
      <c r="AYM5" s="713"/>
      <c r="AYN5" s="713"/>
      <c r="AYO5" s="713"/>
      <c r="AYP5" s="713"/>
      <c r="AYQ5" s="713"/>
      <c r="AYR5" s="713"/>
      <c r="AYS5" s="713" t="s">
        <v>956</v>
      </c>
      <c r="AYT5" s="713"/>
      <c r="AYU5" s="713"/>
      <c r="AYV5" s="713"/>
      <c r="AYW5" s="713"/>
      <c r="AYX5" s="713"/>
      <c r="AYY5" s="713"/>
      <c r="AYZ5" s="713"/>
      <c r="AZA5" s="713"/>
      <c r="AZB5" s="713"/>
      <c r="AZC5" s="713"/>
      <c r="AZD5" s="713"/>
      <c r="AZE5" s="713"/>
      <c r="AZF5" s="713"/>
      <c r="AZG5" s="713"/>
      <c r="AZH5" s="713"/>
      <c r="AZI5" s="713"/>
      <c r="AZJ5" s="713"/>
      <c r="AZK5" s="713"/>
      <c r="AZL5" s="713"/>
      <c r="AZM5" s="713"/>
      <c r="AZN5" s="713"/>
      <c r="AZO5" s="713"/>
      <c r="AZP5" s="713"/>
      <c r="AZQ5" s="713"/>
      <c r="AZR5" s="713"/>
      <c r="AZS5" s="713"/>
      <c r="AZT5" s="713"/>
      <c r="AZU5" s="713"/>
      <c r="AZV5" s="713"/>
      <c r="AZW5" s="713"/>
      <c r="AZX5" s="713"/>
      <c r="AZY5" s="713" t="s">
        <v>956</v>
      </c>
      <c r="AZZ5" s="713"/>
      <c r="BAA5" s="713"/>
      <c r="BAB5" s="713"/>
      <c r="BAC5" s="713"/>
      <c r="BAD5" s="713"/>
      <c r="BAE5" s="713"/>
      <c r="BAF5" s="713"/>
      <c r="BAG5" s="713"/>
      <c r="BAH5" s="713"/>
      <c r="BAI5" s="713"/>
      <c r="BAJ5" s="713"/>
      <c r="BAK5" s="713"/>
      <c r="BAL5" s="713"/>
      <c r="BAM5" s="713"/>
      <c r="BAN5" s="713"/>
      <c r="BAO5" s="713"/>
      <c r="BAP5" s="713"/>
      <c r="BAQ5" s="713"/>
      <c r="BAR5" s="713"/>
      <c r="BAS5" s="713"/>
      <c r="BAT5" s="713"/>
      <c r="BAU5" s="713"/>
      <c r="BAV5" s="713"/>
      <c r="BAW5" s="713"/>
      <c r="BAX5" s="713"/>
      <c r="BAY5" s="713"/>
      <c r="BAZ5" s="713"/>
      <c r="BBA5" s="713"/>
      <c r="BBB5" s="713"/>
      <c r="BBC5" s="713"/>
      <c r="BBD5" s="713"/>
      <c r="BBE5" s="713" t="s">
        <v>956</v>
      </c>
      <c r="BBF5" s="713"/>
      <c r="BBG5" s="713"/>
      <c r="BBH5" s="713"/>
      <c r="BBI5" s="713"/>
      <c r="BBJ5" s="713"/>
      <c r="BBK5" s="713"/>
      <c r="BBL5" s="713"/>
      <c r="BBM5" s="713"/>
      <c r="BBN5" s="713"/>
      <c r="BBO5" s="713"/>
      <c r="BBP5" s="713"/>
      <c r="BBQ5" s="713"/>
      <c r="BBR5" s="713"/>
      <c r="BBS5" s="713"/>
      <c r="BBT5" s="713"/>
      <c r="BBU5" s="713"/>
      <c r="BBV5" s="713"/>
      <c r="BBW5" s="713"/>
      <c r="BBX5" s="713"/>
      <c r="BBY5" s="713"/>
      <c r="BBZ5" s="713"/>
      <c r="BCA5" s="713"/>
      <c r="BCB5" s="713"/>
      <c r="BCC5" s="713"/>
      <c r="BCD5" s="713"/>
      <c r="BCE5" s="713"/>
      <c r="BCF5" s="713"/>
      <c r="BCG5" s="713"/>
      <c r="BCH5" s="713"/>
      <c r="BCI5" s="713"/>
      <c r="BCJ5" s="713"/>
      <c r="BCK5" s="713" t="s">
        <v>956</v>
      </c>
      <c r="BCL5" s="713"/>
      <c r="BCM5" s="713"/>
      <c r="BCN5" s="713"/>
      <c r="BCO5" s="713"/>
      <c r="BCP5" s="713"/>
      <c r="BCQ5" s="713"/>
      <c r="BCR5" s="713"/>
      <c r="BCS5" s="713"/>
      <c r="BCT5" s="713"/>
      <c r="BCU5" s="713"/>
      <c r="BCV5" s="713"/>
      <c r="BCW5" s="713"/>
      <c r="BCX5" s="713"/>
      <c r="BCY5" s="713"/>
      <c r="BCZ5" s="713"/>
      <c r="BDA5" s="713"/>
      <c r="BDB5" s="713"/>
      <c r="BDC5" s="713"/>
      <c r="BDD5" s="713"/>
      <c r="BDE5" s="713"/>
      <c r="BDF5" s="713"/>
      <c r="BDG5" s="713"/>
      <c r="BDH5" s="713"/>
      <c r="BDI5" s="713"/>
      <c r="BDJ5" s="713"/>
      <c r="BDK5" s="713"/>
      <c r="BDL5" s="713"/>
      <c r="BDM5" s="713"/>
      <c r="BDN5" s="713"/>
      <c r="BDO5" s="713"/>
      <c r="BDP5" s="713"/>
      <c r="BDQ5" s="713" t="s">
        <v>956</v>
      </c>
      <c r="BDR5" s="713"/>
      <c r="BDS5" s="713"/>
      <c r="BDT5" s="713"/>
      <c r="BDU5" s="713"/>
      <c r="BDV5" s="713"/>
      <c r="BDW5" s="713"/>
      <c r="BDX5" s="713"/>
      <c r="BDY5" s="713"/>
      <c r="BDZ5" s="713"/>
      <c r="BEA5" s="713"/>
      <c r="BEB5" s="713"/>
      <c r="BEC5" s="713"/>
      <c r="BED5" s="713"/>
      <c r="BEE5" s="713"/>
      <c r="BEF5" s="713"/>
      <c r="BEG5" s="713"/>
      <c r="BEH5" s="713"/>
      <c r="BEI5" s="713"/>
      <c r="BEJ5" s="713"/>
      <c r="BEK5" s="713"/>
      <c r="BEL5" s="713"/>
      <c r="BEM5" s="713"/>
      <c r="BEN5" s="713"/>
      <c r="BEO5" s="713"/>
      <c r="BEP5" s="713"/>
      <c r="BEQ5" s="713"/>
      <c r="BER5" s="713"/>
      <c r="BES5" s="713"/>
      <c r="BET5" s="713"/>
      <c r="BEU5" s="713"/>
      <c r="BEV5" s="713"/>
      <c r="BEW5" s="713" t="s">
        <v>956</v>
      </c>
      <c r="BEX5" s="713"/>
      <c r="BEY5" s="713"/>
      <c r="BEZ5" s="713"/>
      <c r="BFA5" s="713"/>
      <c r="BFB5" s="713"/>
      <c r="BFC5" s="713"/>
      <c r="BFD5" s="713"/>
      <c r="BFE5" s="713"/>
      <c r="BFF5" s="713"/>
      <c r="BFG5" s="713"/>
      <c r="BFH5" s="713"/>
      <c r="BFI5" s="713"/>
      <c r="BFJ5" s="713"/>
      <c r="BFK5" s="713"/>
      <c r="BFL5" s="713"/>
      <c r="BFM5" s="713"/>
      <c r="BFN5" s="713"/>
      <c r="BFO5" s="713"/>
      <c r="BFP5" s="713"/>
      <c r="BFQ5" s="713"/>
      <c r="BFR5" s="713"/>
      <c r="BFS5" s="713"/>
      <c r="BFT5" s="713"/>
      <c r="BFU5" s="713"/>
      <c r="BFV5" s="713"/>
      <c r="BFW5" s="713"/>
      <c r="BFX5" s="713"/>
      <c r="BFY5" s="713"/>
      <c r="BFZ5" s="713"/>
      <c r="BGA5" s="713"/>
      <c r="BGB5" s="713"/>
      <c r="BGC5" s="713" t="s">
        <v>956</v>
      </c>
      <c r="BGD5" s="713"/>
      <c r="BGE5" s="713"/>
      <c r="BGF5" s="713"/>
      <c r="BGG5" s="713"/>
      <c r="BGH5" s="713"/>
      <c r="BGI5" s="713"/>
      <c r="BGJ5" s="713"/>
      <c r="BGK5" s="713"/>
      <c r="BGL5" s="713"/>
      <c r="BGM5" s="713"/>
      <c r="BGN5" s="713"/>
      <c r="BGO5" s="713"/>
      <c r="BGP5" s="713"/>
      <c r="BGQ5" s="713"/>
      <c r="BGR5" s="713"/>
      <c r="BGS5" s="713"/>
      <c r="BGT5" s="713"/>
      <c r="BGU5" s="713"/>
      <c r="BGV5" s="713"/>
      <c r="BGW5" s="713"/>
      <c r="BGX5" s="713"/>
      <c r="BGY5" s="713"/>
      <c r="BGZ5" s="713"/>
      <c r="BHA5" s="713"/>
      <c r="BHB5" s="713"/>
      <c r="BHC5" s="713"/>
      <c r="BHD5" s="713"/>
      <c r="BHE5" s="713"/>
      <c r="BHF5" s="713"/>
      <c r="BHG5" s="713"/>
      <c r="BHH5" s="713"/>
      <c r="BHI5" s="713" t="s">
        <v>956</v>
      </c>
      <c r="BHJ5" s="713"/>
      <c r="BHK5" s="713"/>
      <c r="BHL5" s="713"/>
      <c r="BHM5" s="713"/>
      <c r="BHN5" s="713"/>
      <c r="BHO5" s="713"/>
      <c r="BHP5" s="713"/>
      <c r="BHQ5" s="713"/>
      <c r="BHR5" s="713"/>
      <c r="BHS5" s="713"/>
      <c r="BHT5" s="713"/>
      <c r="BHU5" s="713"/>
      <c r="BHV5" s="713"/>
      <c r="BHW5" s="713"/>
      <c r="BHX5" s="713"/>
      <c r="BHY5" s="713"/>
      <c r="BHZ5" s="713"/>
      <c r="BIA5" s="713"/>
      <c r="BIB5" s="713"/>
      <c r="BIC5" s="713"/>
      <c r="BID5" s="713"/>
      <c r="BIE5" s="713"/>
      <c r="BIF5" s="713"/>
      <c r="BIG5" s="713"/>
      <c r="BIH5" s="713"/>
      <c r="BII5" s="713"/>
      <c r="BIJ5" s="713"/>
      <c r="BIK5" s="713"/>
      <c r="BIL5" s="713"/>
      <c r="BIM5" s="713"/>
      <c r="BIN5" s="713"/>
      <c r="BIO5" s="713" t="s">
        <v>956</v>
      </c>
      <c r="BIP5" s="713"/>
      <c r="BIQ5" s="713"/>
      <c r="BIR5" s="713"/>
      <c r="BIS5" s="713"/>
      <c r="BIT5" s="713"/>
      <c r="BIU5" s="713"/>
      <c r="BIV5" s="713"/>
      <c r="BIW5" s="713"/>
      <c r="BIX5" s="713"/>
      <c r="BIY5" s="713"/>
      <c r="BIZ5" s="713"/>
      <c r="BJA5" s="713"/>
      <c r="BJB5" s="713"/>
      <c r="BJC5" s="713"/>
      <c r="BJD5" s="713"/>
      <c r="BJE5" s="713"/>
      <c r="BJF5" s="713"/>
      <c r="BJG5" s="713"/>
      <c r="BJH5" s="713"/>
      <c r="BJI5" s="713"/>
      <c r="BJJ5" s="713"/>
      <c r="BJK5" s="713"/>
      <c r="BJL5" s="713"/>
      <c r="BJM5" s="713"/>
      <c r="BJN5" s="713"/>
      <c r="BJO5" s="713"/>
      <c r="BJP5" s="713"/>
      <c r="BJQ5" s="713"/>
      <c r="BJR5" s="713"/>
      <c r="BJS5" s="713"/>
      <c r="BJT5" s="713"/>
      <c r="BJU5" s="713" t="s">
        <v>956</v>
      </c>
      <c r="BJV5" s="713"/>
      <c r="BJW5" s="713"/>
      <c r="BJX5" s="713"/>
      <c r="BJY5" s="713"/>
      <c r="BJZ5" s="713"/>
      <c r="BKA5" s="713"/>
      <c r="BKB5" s="713"/>
      <c r="BKC5" s="713"/>
      <c r="BKD5" s="713"/>
      <c r="BKE5" s="713"/>
      <c r="BKF5" s="713"/>
      <c r="BKG5" s="713"/>
      <c r="BKH5" s="713"/>
      <c r="BKI5" s="713"/>
      <c r="BKJ5" s="713"/>
      <c r="BKK5" s="713"/>
      <c r="BKL5" s="713"/>
      <c r="BKM5" s="713"/>
      <c r="BKN5" s="713"/>
      <c r="BKO5" s="713"/>
      <c r="BKP5" s="713"/>
      <c r="BKQ5" s="713"/>
      <c r="BKR5" s="713"/>
      <c r="BKS5" s="713"/>
      <c r="BKT5" s="713"/>
      <c r="BKU5" s="713"/>
      <c r="BKV5" s="713"/>
      <c r="BKW5" s="713"/>
      <c r="BKX5" s="713"/>
      <c r="BKY5" s="713"/>
      <c r="BKZ5" s="713"/>
      <c r="BLA5" s="713" t="s">
        <v>956</v>
      </c>
      <c r="BLB5" s="713"/>
      <c r="BLC5" s="713"/>
      <c r="BLD5" s="713"/>
      <c r="BLE5" s="713"/>
      <c r="BLF5" s="713"/>
      <c r="BLG5" s="713"/>
      <c r="BLH5" s="713"/>
      <c r="BLI5" s="713"/>
      <c r="BLJ5" s="713"/>
      <c r="BLK5" s="713"/>
      <c r="BLL5" s="713"/>
      <c r="BLM5" s="713"/>
      <c r="BLN5" s="713"/>
      <c r="BLO5" s="713"/>
      <c r="BLP5" s="713"/>
      <c r="BLQ5" s="713"/>
      <c r="BLR5" s="713"/>
      <c r="BLS5" s="713"/>
      <c r="BLT5" s="713"/>
      <c r="BLU5" s="713"/>
      <c r="BLV5" s="713"/>
      <c r="BLW5" s="713"/>
      <c r="BLX5" s="713"/>
      <c r="BLY5" s="713"/>
      <c r="BLZ5" s="713"/>
      <c r="BMA5" s="713"/>
      <c r="BMB5" s="713"/>
      <c r="BMC5" s="713"/>
      <c r="BMD5" s="713"/>
      <c r="BME5" s="713"/>
      <c r="BMF5" s="713"/>
      <c r="BMG5" s="713" t="s">
        <v>956</v>
      </c>
      <c r="BMH5" s="713"/>
      <c r="BMI5" s="713"/>
      <c r="BMJ5" s="713"/>
      <c r="BMK5" s="713"/>
      <c r="BML5" s="713"/>
      <c r="BMM5" s="713"/>
      <c r="BMN5" s="713"/>
      <c r="BMO5" s="713"/>
      <c r="BMP5" s="713"/>
      <c r="BMQ5" s="713"/>
      <c r="BMR5" s="713"/>
      <c r="BMS5" s="713"/>
      <c r="BMT5" s="713"/>
      <c r="BMU5" s="713"/>
      <c r="BMV5" s="713"/>
      <c r="BMW5" s="713"/>
      <c r="BMX5" s="713"/>
      <c r="BMY5" s="713"/>
      <c r="BMZ5" s="713"/>
      <c r="BNA5" s="713"/>
      <c r="BNB5" s="713"/>
      <c r="BNC5" s="713"/>
      <c r="BND5" s="713"/>
      <c r="BNE5" s="713"/>
      <c r="BNF5" s="713"/>
      <c r="BNG5" s="713"/>
      <c r="BNH5" s="713"/>
      <c r="BNI5" s="713"/>
      <c r="BNJ5" s="713"/>
      <c r="BNK5" s="713"/>
      <c r="BNL5" s="713"/>
      <c r="BNM5" s="713" t="s">
        <v>956</v>
      </c>
      <c r="BNN5" s="713"/>
      <c r="BNO5" s="713"/>
      <c r="BNP5" s="713"/>
      <c r="BNQ5" s="713"/>
      <c r="BNR5" s="713"/>
      <c r="BNS5" s="713"/>
      <c r="BNT5" s="713"/>
      <c r="BNU5" s="713"/>
      <c r="BNV5" s="713"/>
      <c r="BNW5" s="713"/>
      <c r="BNX5" s="713"/>
      <c r="BNY5" s="713"/>
      <c r="BNZ5" s="713"/>
      <c r="BOA5" s="713"/>
      <c r="BOB5" s="713"/>
      <c r="BOC5" s="713"/>
      <c r="BOD5" s="713"/>
      <c r="BOE5" s="713"/>
      <c r="BOF5" s="713"/>
      <c r="BOG5" s="713"/>
      <c r="BOH5" s="713"/>
      <c r="BOI5" s="713"/>
      <c r="BOJ5" s="713"/>
      <c r="BOK5" s="713"/>
      <c r="BOL5" s="713"/>
      <c r="BOM5" s="713"/>
      <c r="BON5" s="713"/>
      <c r="BOO5" s="713"/>
      <c r="BOP5" s="713"/>
      <c r="BOQ5" s="713"/>
      <c r="BOR5" s="713"/>
      <c r="BOS5" s="713" t="s">
        <v>956</v>
      </c>
      <c r="BOT5" s="713"/>
      <c r="BOU5" s="713"/>
      <c r="BOV5" s="713"/>
      <c r="BOW5" s="713"/>
      <c r="BOX5" s="713"/>
      <c r="BOY5" s="713"/>
      <c r="BOZ5" s="713"/>
      <c r="BPA5" s="713"/>
      <c r="BPB5" s="713"/>
      <c r="BPC5" s="713"/>
      <c r="BPD5" s="713"/>
      <c r="BPE5" s="713"/>
      <c r="BPF5" s="713"/>
      <c r="BPG5" s="713"/>
      <c r="BPH5" s="713"/>
      <c r="BPI5" s="713"/>
      <c r="BPJ5" s="713"/>
      <c r="BPK5" s="713"/>
      <c r="BPL5" s="713"/>
      <c r="BPM5" s="713"/>
      <c r="BPN5" s="713"/>
      <c r="BPO5" s="713"/>
      <c r="BPP5" s="713"/>
      <c r="BPQ5" s="713"/>
      <c r="BPR5" s="713"/>
      <c r="BPS5" s="713"/>
      <c r="BPT5" s="713"/>
      <c r="BPU5" s="713"/>
      <c r="BPV5" s="713"/>
      <c r="BPW5" s="713"/>
      <c r="BPX5" s="713"/>
      <c r="BPY5" s="713" t="s">
        <v>956</v>
      </c>
      <c r="BPZ5" s="713"/>
      <c r="BQA5" s="713"/>
      <c r="BQB5" s="713"/>
      <c r="BQC5" s="713"/>
      <c r="BQD5" s="713"/>
      <c r="BQE5" s="713"/>
      <c r="BQF5" s="713"/>
      <c r="BQG5" s="713"/>
      <c r="BQH5" s="713"/>
      <c r="BQI5" s="713"/>
      <c r="BQJ5" s="713"/>
      <c r="BQK5" s="713"/>
      <c r="BQL5" s="713"/>
      <c r="BQM5" s="713"/>
      <c r="BQN5" s="713"/>
      <c r="BQO5" s="713"/>
      <c r="BQP5" s="713"/>
      <c r="BQQ5" s="713"/>
      <c r="BQR5" s="713"/>
      <c r="BQS5" s="713"/>
      <c r="BQT5" s="713"/>
      <c r="BQU5" s="713"/>
      <c r="BQV5" s="713"/>
      <c r="BQW5" s="713"/>
      <c r="BQX5" s="713"/>
      <c r="BQY5" s="713"/>
      <c r="BQZ5" s="713"/>
      <c r="BRA5" s="713"/>
      <c r="BRB5" s="713"/>
      <c r="BRC5" s="713"/>
      <c r="BRD5" s="713"/>
      <c r="BRE5" s="713" t="s">
        <v>956</v>
      </c>
      <c r="BRF5" s="713"/>
      <c r="BRG5" s="713"/>
      <c r="BRH5" s="713"/>
      <c r="BRI5" s="713"/>
      <c r="BRJ5" s="713"/>
      <c r="BRK5" s="713"/>
      <c r="BRL5" s="713"/>
      <c r="BRM5" s="713"/>
      <c r="BRN5" s="713"/>
      <c r="BRO5" s="713"/>
      <c r="BRP5" s="713"/>
      <c r="BRQ5" s="713"/>
      <c r="BRR5" s="713"/>
      <c r="BRS5" s="713"/>
      <c r="BRT5" s="713"/>
      <c r="BRU5" s="713"/>
      <c r="BRV5" s="713"/>
      <c r="BRW5" s="713"/>
      <c r="BRX5" s="713"/>
      <c r="BRY5" s="713"/>
      <c r="BRZ5" s="713"/>
      <c r="BSA5" s="713"/>
      <c r="BSB5" s="713"/>
      <c r="BSC5" s="713"/>
      <c r="BSD5" s="713"/>
      <c r="BSE5" s="713"/>
      <c r="BSF5" s="713"/>
      <c r="BSG5" s="713"/>
      <c r="BSH5" s="713"/>
      <c r="BSI5" s="713"/>
      <c r="BSJ5" s="713"/>
      <c r="BSK5" s="713" t="s">
        <v>956</v>
      </c>
      <c r="BSL5" s="713"/>
      <c r="BSM5" s="713"/>
      <c r="BSN5" s="713"/>
      <c r="BSO5" s="713"/>
      <c r="BSP5" s="713"/>
      <c r="BSQ5" s="713"/>
      <c r="BSR5" s="713"/>
      <c r="BSS5" s="713"/>
      <c r="BST5" s="713"/>
      <c r="BSU5" s="713"/>
      <c r="BSV5" s="713"/>
      <c r="BSW5" s="713"/>
      <c r="BSX5" s="713"/>
      <c r="BSY5" s="713"/>
      <c r="BSZ5" s="713"/>
      <c r="BTA5" s="713"/>
      <c r="BTB5" s="713"/>
      <c r="BTC5" s="713"/>
      <c r="BTD5" s="713"/>
      <c r="BTE5" s="713"/>
      <c r="BTF5" s="713"/>
      <c r="BTG5" s="713"/>
      <c r="BTH5" s="713"/>
      <c r="BTI5" s="713"/>
      <c r="BTJ5" s="713"/>
      <c r="BTK5" s="713"/>
      <c r="BTL5" s="713"/>
      <c r="BTM5" s="713"/>
      <c r="BTN5" s="713"/>
      <c r="BTO5" s="713"/>
      <c r="BTP5" s="713"/>
      <c r="BTQ5" s="713" t="s">
        <v>956</v>
      </c>
      <c r="BTR5" s="713"/>
      <c r="BTS5" s="713"/>
      <c r="BTT5" s="713"/>
      <c r="BTU5" s="713"/>
      <c r="BTV5" s="713"/>
      <c r="BTW5" s="713"/>
      <c r="BTX5" s="713"/>
      <c r="BTY5" s="713"/>
      <c r="BTZ5" s="713"/>
      <c r="BUA5" s="713"/>
      <c r="BUB5" s="713"/>
      <c r="BUC5" s="713"/>
      <c r="BUD5" s="713"/>
      <c r="BUE5" s="713"/>
      <c r="BUF5" s="713"/>
      <c r="BUG5" s="713"/>
      <c r="BUH5" s="713"/>
      <c r="BUI5" s="713"/>
      <c r="BUJ5" s="713"/>
      <c r="BUK5" s="713"/>
      <c r="BUL5" s="713"/>
      <c r="BUM5" s="713"/>
      <c r="BUN5" s="713"/>
      <c r="BUO5" s="713"/>
      <c r="BUP5" s="713"/>
      <c r="BUQ5" s="713"/>
      <c r="BUR5" s="713"/>
      <c r="BUS5" s="713"/>
      <c r="BUT5" s="713"/>
      <c r="BUU5" s="713"/>
      <c r="BUV5" s="713"/>
      <c r="BUW5" s="713" t="s">
        <v>956</v>
      </c>
      <c r="BUX5" s="713"/>
      <c r="BUY5" s="713"/>
      <c r="BUZ5" s="713"/>
      <c r="BVA5" s="713"/>
      <c r="BVB5" s="713"/>
      <c r="BVC5" s="713"/>
      <c r="BVD5" s="713"/>
      <c r="BVE5" s="713"/>
      <c r="BVF5" s="713"/>
      <c r="BVG5" s="713"/>
      <c r="BVH5" s="713"/>
      <c r="BVI5" s="713"/>
      <c r="BVJ5" s="713"/>
      <c r="BVK5" s="713"/>
      <c r="BVL5" s="713"/>
      <c r="BVM5" s="713"/>
      <c r="BVN5" s="713"/>
      <c r="BVO5" s="713"/>
      <c r="BVP5" s="713"/>
      <c r="BVQ5" s="713"/>
      <c r="BVR5" s="713"/>
      <c r="BVS5" s="713"/>
      <c r="BVT5" s="713"/>
      <c r="BVU5" s="713"/>
      <c r="BVV5" s="713"/>
      <c r="BVW5" s="713"/>
      <c r="BVX5" s="713"/>
      <c r="BVY5" s="713"/>
      <c r="BVZ5" s="713"/>
      <c r="BWA5" s="713"/>
      <c r="BWB5" s="713"/>
      <c r="BWC5" s="713" t="s">
        <v>956</v>
      </c>
      <c r="BWD5" s="713"/>
      <c r="BWE5" s="713"/>
      <c r="BWF5" s="713"/>
      <c r="BWG5" s="713"/>
      <c r="BWH5" s="713"/>
      <c r="BWI5" s="713"/>
      <c r="BWJ5" s="713"/>
      <c r="BWK5" s="713"/>
      <c r="BWL5" s="713"/>
      <c r="BWM5" s="713"/>
      <c r="BWN5" s="713"/>
      <c r="BWO5" s="713"/>
      <c r="BWP5" s="713"/>
      <c r="BWQ5" s="713"/>
      <c r="BWR5" s="713"/>
      <c r="BWS5" s="713"/>
      <c r="BWT5" s="713"/>
      <c r="BWU5" s="713"/>
      <c r="BWV5" s="713"/>
      <c r="BWW5" s="713"/>
      <c r="BWX5" s="713"/>
      <c r="BWY5" s="713"/>
      <c r="BWZ5" s="713"/>
      <c r="BXA5" s="713"/>
      <c r="BXB5" s="713"/>
      <c r="BXC5" s="713"/>
      <c r="BXD5" s="713"/>
      <c r="BXE5" s="713"/>
      <c r="BXF5" s="713"/>
      <c r="BXG5" s="713"/>
      <c r="BXH5" s="713"/>
      <c r="BXI5" s="713" t="s">
        <v>956</v>
      </c>
      <c r="BXJ5" s="713"/>
      <c r="BXK5" s="713"/>
      <c r="BXL5" s="713"/>
      <c r="BXM5" s="713"/>
      <c r="BXN5" s="713"/>
      <c r="BXO5" s="713"/>
      <c r="BXP5" s="713"/>
      <c r="BXQ5" s="713"/>
      <c r="BXR5" s="713"/>
      <c r="BXS5" s="713"/>
      <c r="BXT5" s="713"/>
      <c r="BXU5" s="713"/>
      <c r="BXV5" s="713"/>
      <c r="BXW5" s="713"/>
      <c r="BXX5" s="713"/>
      <c r="BXY5" s="713"/>
      <c r="BXZ5" s="713"/>
      <c r="BYA5" s="713"/>
      <c r="BYB5" s="713"/>
      <c r="BYC5" s="713"/>
      <c r="BYD5" s="713"/>
      <c r="BYE5" s="713"/>
      <c r="BYF5" s="713"/>
      <c r="BYG5" s="713"/>
      <c r="BYH5" s="713"/>
      <c r="BYI5" s="713"/>
      <c r="BYJ5" s="713"/>
      <c r="BYK5" s="713"/>
      <c r="BYL5" s="713"/>
      <c r="BYM5" s="713"/>
      <c r="BYN5" s="713"/>
      <c r="BYO5" s="713" t="s">
        <v>956</v>
      </c>
      <c r="BYP5" s="713"/>
      <c r="BYQ5" s="713"/>
      <c r="BYR5" s="713"/>
      <c r="BYS5" s="713"/>
      <c r="BYT5" s="713"/>
      <c r="BYU5" s="713"/>
      <c r="BYV5" s="713"/>
      <c r="BYW5" s="713"/>
      <c r="BYX5" s="713"/>
      <c r="BYY5" s="713"/>
      <c r="BYZ5" s="713"/>
      <c r="BZA5" s="713"/>
      <c r="BZB5" s="713"/>
      <c r="BZC5" s="713"/>
      <c r="BZD5" s="713"/>
      <c r="BZE5" s="713"/>
      <c r="BZF5" s="713"/>
      <c r="BZG5" s="713"/>
      <c r="BZH5" s="713"/>
      <c r="BZI5" s="713"/>
      <c r="BZJ5" s="713"/>
      <c r="BZK5" s="713"/>
      <c r="BZL5" s="713"/>
      <c r="BZM5" s="713"/>
      <c r="BZN5" s="713"/>
      <c r="BZO5" s="713"/>
      <c r="BZP5" s="713"/>
      <c r="BZQ5" s="713"/>
      <c r="BZR5" s="713"/>
      <c r="BZS5" s="713"/>
      <c r="BZT5" s="713"/>
      <c r="BZU5" s="713" t="s">
        <v>956</v>
      </c>
      <c r="BZV5" s="713"/>
      <c r="BZW5" s="713"/>
      <c r="BZX5" s="713"/>
      <c r="BZY5" s="713"/>
      <c r="BZZ5" s="713"/>
      <c r="CAA5" s="713"/>
      <c r="CAB5" s="713"/>
      <c r="CAC5" s="713"/>
      <c r="CAD5" s="713"/>
      <c r="CAE5" s="713"/>
      <c r="CAF5" s="713"/>
      <c r="CAG5" s="713"/>
      <c r="CAH5" s="713"/>
      <c r="CAI5" s="713"/>
      <c r="CAJ5" s="713"/>
      <c r="CAK5" s="713"/>
      <c r="CAL5" s="713"/>
      <c r="CAM5" s="713"/>
      <c r="CAN5" s="713"/>
      <c r="CAO5" s="713"/>
      <c r="CAP5" s="713"/>
      <c r="CAQ5" s="713"/>
      <c r="CAR5" s="713"/>
      <c r="CAS5" s="713"/>
      <c r="CAT5" s="713"/>
      <c r="CAU5" s="713"/>
      <c r="CAV5" s="713"/>
      <c r="CAW5" s="713"/>
      <c r="CAX5" s="713"/>
      <c r="CAY5" s="713"/>
      <c r="CAZ5" s="713"/>
      <c r="CBA5" s="713" t="s">
        <v>956</v>
      </c>
      <c r="CBB5" s="713"/>
      <c r="CBC5" s="713"/>
      <c r="CBD5" s="713"/>
      <c r="CBE5" s="713"/>
      <c r="CBF5" s="713"/>
      <c r="CBG5" s="713"/>
      <c r="CBH5" s="713"/>
      <c r="CBI5" s="713"/>
      <c r="CBJ5" s="713"/>
      <c r="CBK5" s="713"/>
      <c r="CBL5" s="713"/>
      <c r="CBM5" s="713"/>
      <c r="CBN5" s="713"/>
      <c r="CBO5" s="713"/>
      <c r="CBP5" s="713"/>
      <c r="CBQ5" s="713"/>
      <c r="CBR5" s="713"/>
      <c r="CBS5" s="713"/>
      <c r="CBT5" s="713"/>
      <c r="CBU5" s="713"/>
      <c r="CBV5" s="713"/>
      <c r="CBW5" s="713"/>
      <c r="CBX5" s="713"/>
      <c r="CBY5" s="713"/>
      <c r="CBZ5" s="713"/>
      <c r="CCA5" s="713"/>
      <c r="CCB5" s="713"/>
      <c r="CCC5" s="713"/>
      <c r="CCD5" s="713"/>
      <c r="CCE5" s="713"/>
      <c r="CCF5" s="713"/>
      <c r="CCG5" s="713" t="s">
        <v>956</v>
      </c>
      <c r="CCH5" s="713"/>
      <c r="CCI5" s="713"/>
      <c r="CCJ5" s="713"/>
      <c r="CCK5" s="713"/>
      <c r="CCL5" s="713"/>
      <c r="CCM5" s="713"/>
      <c r="CCN5" s="713"/>
      <c r="CCO5" s="713"/>
      <c r="CCP5" s="713"/>
      <c r="CCQ5" s="713"/>
      <c r="CCR5" s="713"/>
      <c r="CCS5" s="713"/>
      <c r="CCT5" s="713"/>
      <c r="CCU5" s="713"/>
      <c r="CCV5" s="713"/>
      <c r="CCW5" s="713"/>
      <c r="CCX5" s="713"/>
      <c r="CCY5" s="713"/>
      <c r="CCZ5" s="713"/>
      <c r="CDA5" s="713"/>
      <c r="CDB5" s="713"/>
      <c r="CDC5" s="713"/>
      <c r="CDD5" s="713"/>
      <c r="CDE5" s="713"/>
      <c r="CDF5" s="713"/>
      <c r="CDG5" s="713"/>
      <c r="CDH5" s="713"/>
      <c r="CDI5" s="713"/>
      <c r="CDJ5" s="713"/>
      <c r="CDK5" s="713"/>
      <c r="CDL5" s="713"/>
      <c r="CDM5" s="713" t="s">
        <v>956</v>
      </c>
      <c r="CDN5" s="713"/>
      <c r="CDO5" s="713"/>
      <c r="CDP5" s="713"/>
      <c r="CDQ5" s="713"/>
      <c r="CDR5" s="713"/>
      <c r="CDS5" s="713"/>
      <c r="CDT5" s="713"/>
      <c r="CDU5" s="713"/>
      <c r="CDV5" s="713"/>
      <c r="CDW5" s="713"/>
      <c r="CDX5" s="713"/>
      <c r="CDY5" s="713"/>
      <c r="CDZ5" s="713"/>
      <c r="CEA5" s="713"/>
      <c r="CEB5" s="713"/>
      <c r="CEC5" s="713"/>
      <c r="CED5" s="713"/>
      <c r="CEE5" s="713"/>
      <c r="CEF5" s="713"/>
      <c r="CEG5" s="713"/>
      <c r="CEH5" s="713"/>
      <c r="CEI5" s="713"/>
      <c r="CEJ5" s="713"/>
      <c r="CEK5" s="713"/>
      <c r="CEL5" s="713"/>
      <c r="CEM5" s="713"/>
      <c r="CEN5" s="713"/>
      <c r="CEO5" s="713"/>
      <c r="CEP5" s="713"/>
      <c r="CEQ5" s="713"/>
      <c r="CER5" s="713"/>
      <c r="CES5" s="713" t="s">
        <v>956</v>
      </c>
      <c r="CET5" s="713"/>
      <c r="CEU5" s="713"/>
      <c r="CEV5" s="713"/>
      <c r="CEW5" s="713"/>
      <c r="CEX5" s="713"/>
      <c r="CEY5" s="713"/>
      <c r="CEZ5" s="713"/>
      <c r="CFA5" s="713"/>
      <c r="CFB5" s="713"/>
      <c r="CFC5" s="713"/>
      <c r="CFD5" s="713"/>
      <c r="CFE5" s="713"/>
      <c r="CFF5" s="713"/>
      <c r="CFG5" s="713"/>
      <c r="CFH5" s="713"/>
      <c r="CFI5" s="713"/>
      <c r="CFJ5" s="713"/>
      <c r="CFK5" s="713"/>
      <c r="CFL5" s="713"/>
      <c r="CFM5" s="713"/>
      <c r="CFN5" s="713"/>
      <c r="CFO5" s="713"/>
      <c r="CFP5" s="713"/>
      <c r="CFQ5" s="713"/>
      <c r="CFR5" s="713"/>
      <c r="CFS5" s="713"/>
      <c r="CFT5" s="713"/>
      <c r="CFU5" s="713"/>
      <c r="CFV5" s="713"/>
      <c r="CFW5" s="713"/>
      <c r="CFX5" s="713"/>
      <c r="CFY5" s="713" t="s">
        <v>956</v>
      </c>
      <c r="CFZ5" s="713"/>
      <c r="CGA5" s="713"/>
      <c r="CGB5" s="713"/>
      <c r="CGC5" s="713"/>
      <c r="CGD5" s="713"/>
      <c r="CGE5" s="713"/>
      <c r="CGF5" s="713"/>
      <c r="CGG5" s="713"/>
      <c r="CGH5" s="713"/>
      <c r="CGI5" s="713"/>
      <c r="CGJ5" s="713"/>
      <c r="CGK5" s="713"/>
      <c r="CGL5" s="713"/>
      <c r="CGM5" s="713"/>
      <c r="CGN5" s="713"/>
      <c r="CGO5" s="713"/>
      <c r="CGP5" s="713"/>
      <c r="CGQ5" s="713"/>
      <c r="CGR5" s="713"/>
      <c r="CGS5" s="713"/>
      <c r="CGT5" s="713"/>
      <c r="CGU5" s="713"/>
      <c r="CGV5" s="713"/>
      <c r="CGW5" s="713"/>
      <c r="CGX5" s="713"/>
      <c r="CGY5" s="713"/>
      <c r="CGZ5" s="713"/>
      <c r="CHA5" s="713"/>
      <c r="CHB5" s="713"/>
      <c r="CHC5" s="713"/>
      <c r="CHD5" s="713"/>
      <c r="CHE5" s="713" t="s">
        <v>956</v>
      </c>
      <c r="CHF5" s="713"/>
      <c r="CHG5" s="713"/>
      <c r="CHH5" s="713"/>
      <c r="CHI5" s="713"/>
      <c r="CHJ5" s="713"/>
      <c r="CHK5" s="713"/>
      <c r="CHL5" s="713"/>
      <c r="CHM5" s="713"/>
      <c r="CHN5" s="713"/>
      <c r="CHO5" s="713"/>
      <c r="CHP5" s="713"/>
      <c r="CHQ5" s="713"/>
      <c r="CHR5" s="713"/>
      <c r="CHS5" s="713"/>
      <c r="CHT5" s="713"/>
      <c r="CHU5" s="713"/>
      <c r="CHV5" s="713"/>
      <c r="CHW5" s="713"/>
      <c r="CHX5" s="713"/>
      <c r="CHY5" s="713"/>
      <c r="CHZ5" s="713"/>
      <c r="CIA5" s="713"/>
      <c r="CIB5" s="713"/>
      <c r="CIC5" s="713"/>
      <c r="CID5" s="713"/>
      <c r="CIE5" s="713"/>
      <c r="CIF5" s="713"/>
      <c r="CIG5" s="713"/>
      <c r="CIH5" s="713"/>
      <c r="CII5" s="713"/>
      <c r="CIJ5" s="713"/>
      <c r="CIK5" s="713" t="s">
        <v>956</v>
      </c>
      <c r="CIL5" s="713"/>
      <c r="CIM5" s="713"/>
      <c r="CIN5" s="713"/>
      <c r="CIO5" s="713"/>
      <c r="CIP5" s="713"/>
      <c r="CIQ5" s="713"/>
      <c r="CIR5" s="713"/>
      <c r="CIS5" s="713"/>
      <c r="CIT5" s="713"/>
      <c r="CIU5" s="713"/>
      <c r="CIV5" s="713"/>
      <c r="CIW5" s="713"/>
      <c r="CIX5" s="713"/>
      <c r="CIY5" s="713"/>
      <c r="CIZ5" s="713"/>
      <c r="CJA5" s="713"/>
      <c r="CJB5" s="713"/>
      <c r="CJC5" s="713"/>
      <c r="CJD5" s="713"/>
      <c r="CJE5" s="713"/>
      <c r="CJF5" s="713"/>
      <c r="CJG5" s="713"/>
      <c r="CJH5" s="713"/>
      <c r="CJI5" s="713"/>
      <c r="CJJ5" s="713"/>
      <c r="CJK5" s="713"/>
      <c r="CJL5" s="713"/>
      <c r="CJM5" s="713"/>
      <c r="CJN5" s="713"/>
      <c r="CJO5" s="713"/>
      <c r="CJP5" s="713"/>
      <c r="CJQ5" s="713" t="s">
        <v>956</v>
      </c>
      <c r="CJR5" s="713"/>
      <c r="CJS5" s="713"/>
      <c r="CJT5" s="713"/>
      <c r="CJU5" s="713"/>
      <c r="CJV5" s="713"/>
      <c r="CJW5" s="713"/>
      <c r="CJX5" s="713"/>
      <c r="CJY5" s="713"/>
      <c r="CJZ5" s="713"/>
      <c r="CKA5" s="713"/>
      <c r="CKB5" s="713"/>
      <c r="CKC5" s="713"/>
      <c r="CKD5" s="713"/>
      <c r="CKE5" s="713"/>
      <c r="CKF5" s="713"/>
      <c r="CKG5" s="713"/>
      <c r="CKH5" s="713"/>
      <c r="CKI5" s="713"/>
      <c r="CKJ5" s="713"/>
      <c r="CKK5" s="713"/>
      <c r="CKL5" s="713"/>
      <c r="CKM5" s="713"/>
      <c r="CKN5" s="713"/>
      <c r="CKO5" s="713"/>
      <c r="CKP5" s="713"/>
      <c r="CKQ5" s="713"/>
      <c r="CKR5" s="713"/>
      <c r="CKS5" s="713"/>
      <c r="CKT5" s="713"/>
      <c r="CKU5" s="713"/>
      <c r="CKV5" s="713"/>
      <c r="CKW5" s="713" t="s">
        <v>956</v>
      </c>
      <c r="CKX5" s="713"/>
      <c r="CKY5" s="713"/>
      <c r="CKZ5" s="713"/>
      <c r="CLA5" s="713"/>
      <c r="CLB5" s="713"/>
      <c r="CLC5" s="713"/>
      <c r="CLD5" s="713"/>
      <c r="CLE5" s="713"/>
      <c r="CLF5" s="713"/>
      <c r="CLG5" s="713"/>
      <c r="CLH5" s="713"/>
      <c r="CLI5" s="713"/>
      <c r="CLJ5" s="713"/>
      <c r="CLK5" s="713"/>
      <c r="CLL5" s="713"/>
      <c r="CLM5" s="713"/>
      <c r="CLN5" s="713"/>
      <c r="CLO5" s="713"/>
      <c r="CLP5" s="713"/>
      <c r="CLQ5" s="713"/>
      <c r="CLR5" s="713"/>
      <c r="CLS5" s="713"/>
      <c r="CLT5" s="713"/>
      <c r="CLU5" s="713"/>
      <c r="CLV5" s="713"/>
      <c r="CLW5" s="713"/>
      <c r="CLX5" s="713"/>
      <c r="CLY5" s="713"/>
      <c r="CLZ5" s="713"/>
      <c r="CMA5" s="713"/>
      <c r="CMB5" s="713"/>
      <c r="CMC5" s="713" t="s">
        <v>956</v>
      </c>
      <c r="CMD5" s="713"/>
      <c r="CME5" s="713"/>
      <c r="CMF5" s="713"/>
      <c r="CMG5" s="713"/>
      <c r="CMH5" s="713"/>
      <c r="CMI5" s="713"/>
      <c r="CMJ5" s="713"/>
      <c r="CMK5" s="713"/>
      <c r="CML5" s="713"/>
      <c r="CMM5" s="713"/>
      <c r="CMN5" s="713"/>
      <c r="CMO5" s="713"/>
      <c r="CMP5" s="713"/>
      <c r="CMQ5" s="713"/>
      <c r="CMR5" s="713"/>
      <c r="CMS5" s="713"/>
      <c r="CMT5" s="713"/>
      <c r="CMU5" s="713"/>
      <c r="CMV5" s="713"/>
      <c r="CMW5" s="713"/>
      <c r="CMX5" s="713"/>
      <c r="CMY5" s="713"/>
      <c r="CMZ5" s="713"/>
      <c r="CNA5" s="713"/>
      <c r="CNB5" s="713"/>
      <c r="CNC5" s="713"/>
      <c r="CND5" s="713"/>
      <c r="CNE5" s="713"/>
      <c r="CNF5" s="713"/>
      <c r="CNG5" s="713"/>
      <c r="CNH5" s="713"/>
      <c r="CNI5" s="713" t="s">
        <v>956</v>
      </c>
      <c r="CNJ5" s="713"/>
      <c r="CNK5" s="713"/>
      <c r="CNL5" s="713"/>
      <c r="CNM5" s="713"/>
      <c r="CNN5" s="713"/>
      <c r="CNO5" s="713"/>
      <c r="CNP5" s="713"/>
      <c r="CNQ5" s="713"/>
      <c r="CNR5" s="713"/>
      <c r="CNS5" s="713"/>
      <c r="CNT5" s="713"/>
      <c r="CNU5" s="713"/>
      <c r="CNV5" s="713"/>
      <c r="CNW5" s="713"/>
      <c r="CNX5" s="713"/>
      <c r="CNY5" s="713"/>
      <c r="CNZ5" s="713"/>
      <c r="COA5" s="713"/>
      <c r="COB5" s="713"/>
      <c r="COC5" s="713"/>
      <c r="COD5" s="713"/>
      <c r="COE5" s="713"/>
      <c r="COF5" s="713"/>
      <c r="COG5" s="713"/>
      <c r="COH5" s="713"/>
      <c r="COI5" s="713"/>
      <c r="COJ5" s="713"/>
      <c r="COK5" s="713"/>
      <c r="COL5" s="713"/>
      <c r="COM5" s="713"/>
      <c r="CON5" s="713"/>
      <c r="COO5" s="713" t="s">
        <v>956</v>
      </c>
      <c r="COP5" s="713"/>
      <c r="COQ5" s="713"/>
      <c r="COR5" s="713"/>
      <c r="COS5" s="713"/>
      <c r="COT5" s="713"/>
      <c r="COU5" s="713"/>
      <c r="COV5" s="713"/>
      <c r="COW5" s="713"/>
      <c r="COX5" s="713"/>
      <c r="COY5" s="713"/>
      <c r="COZ5" s="713"/>
      <c r="CPA5" s="713"/>
      <c r="CPB5" s="713"/>
      <c r="CPC5" s="713"/>
      <c r="CPD5" s="713"/>
      <c r="CPE5" s="713"/>
      <c r="CPF5" s="713"/>
      <c r="CPG5" s="713"/>
      <c r="CPH5" s="713"/>
      <c r="CPI5" s="713"/>
      <c r="CPJ5" s="713"/>
      <c r="CPK5" s="713"/>
      <c r="CPL5" s="713"/>
      <c r="CPM5" s="713"/>
      <c r="CPN5" s="713"/>
      <c r="CPO5" s="713"/>
      <c r="CPP5" s="713"/>
      <c r="CPQ5" s="713"/>
      <c r="CPR5" s="713"/>
      <c r="CPS5" s="713"/>
      <c r="CPT5" s="713"/>
      <c r="CPU5" s="713" t="s">
        <v>956</v>
      </c>
      <c r="CPV5" s="713"/>
      <c r="CPW5" s="713"/>
      <c r="CPX5" s="713"/>
      <c r="CPY5" s="713"/>
      <c r="CPZ5" s="713"/>
      <c r="CQA5" s="713"/>
      <c r="CQB5" s="713"/>
      <c r="CQC5" s="713"/>
      <c r="CQD5" s="713"/>
      <c r="CQE5" s="713"/>
      <c r="CQF5" s="713"/>
      <c r="CQG5" s="713"/>
      <c r="CQH5" s="713"/>
      <c r="CQI5" s="713"/>
      <c r="CQJ5" s="713"/>
      <c r="CQK5" s="713"/>
      <c r="CQL5" s="713"/>
      <c r="CQM5" s="713"/>
      <c r="CQN5" s="713"/>
      <c r="CQO5" s="713"/>
      <c r="CQP5" s="713"/>
      <c r="CQQ5" s="713"/>
      <c r="CQR5" s="713"/>
      <c r="CQS5" s="713"/>
      <c r="CQT5" s="713"/>
      <c r="CQU5" s="713"/>
      <c r="CQV5" s="713"/>
      <c r="CQW5" s="713"/>
      <c r="CQX5" s="713"/>
      <c r="CQY5" s="713"/>
      <c r="CQZ5" s="713"/>
      <c r="CRA5" s="713" t="s">
        <v>956</v>
      </c>
      <c r="CRB5" s="713"/>
      <c r="CRC5" s="713"/>
      <c r="CRD5" s="713"/>
      <c r="CRE5" s="713"/>
      <c r="CRF5" s="713"/>
      <c r="CRG5" s="713"/>
      <c r="CRH5" s="713"/>
      <c r="CRI5" s="713"/>
      <c r="CRJ5" s="713"/>
      <c r="CRK5" s="713"/>
      <c r="CRL5" s="713"/>
      <c r="CRM5" s="713"/>
      <c r="CRN5" s="713"/>
      <c r="CRO5" s="713"/>
      <c r="CRP5" s="713"/>
      <c r="CRQ5" s="713"/>
      <c r="CRR5" s="713"/>
      <c r="CRS5" s="713"/>
      <c r="CRT5" s="713"/>
      <c r="CRU5" s="713"/>
      <c r="CRV5" s="713"/>
      <c r="CRW5" s="713"/>
      <c r="CRX5" s="713"/>
      <c r="CRY5" s="713"/>
      <c r="CRZ5" s="713"/>
      <c r="CSA5" s="713"/>
      <c r="CSB5" s="713"/>
      <c r="CSC5" s="713"/>
      <c r="CSD5" s="713"/>
      <c r="CSE5" s="713"/>
      <c r="CSF5" s="713"/>
      <c r="CSG5" s="713" t="s">
        <v>956</v>
      </c>
      <c r="CSH5" s="713"/>
      <c r="CSI5" s="713"/>
      <c r="CSJ5" s="713"/>
      <c r="CSK5" s="713"/>
      <c r="CSL5" s="713"/>
      <c r="CSM5" s="713"/>
      <c r="CSN5" s="713"/>
      <c r="CSO5" s="713"/>
      <c r="CSP5" s="713"/>
      <c r="CSQ5" s="713"/>
      <c r="CSR5" s="713"/>
      <c r="CSS5" s="713"/>
      <c r="CST5" s="713"/>
      <c r="CSU5" s="713"/>
      <c r="CSV5" s="713"/>
      <c r="CSW5" s="713"/>
      <c r="CSX5" s="713"/>
      <c r="CSY5" s="713"/>
      <c r="CSZ5" s="713"/>
      <c r="CTA5" s="713"/>
      <c r="CTB5" s="713"/>
      <c r="CTC5" s="713"/>
      <c r="CTD5" s="713"/>
      <c r="CTE5" s="713"/>
      <c r="CTF5" s="713"/>
      <c r="CTG5" s="713"/>
      <c r="CTH5" s="713"/>
      <c r="CTI5" s="713"/>
      <c r="CTJ5" s="713"/>
      <c r="CTK5" s="713"/>
      <c r="CTL5" s="713"/>
      <c r="CTM5" s="713" t="s">
        <v>956</v>
      </c>
      <c r="CTN5" s="713"/>
      <c r="CTO5" s="713"/>
      <c r="CTP5" s="713"/>
      <c r="CTQ5" s="713"/>
      <c r="CTR5" s="713"/>
      <c r="CTS5" s="713"/>
      <c r="CTT5" s="713"/>
      <c r="CTU5" s="713"/>
      <c r="CTV5" s="713"/>
      <c r="CTW5" s="713"/>
      <c r="CTX5" s="713"/>
      <c r="CTY5" s="713"/>
      <c r="CTZ5" s="713"/>
      <c r="CUA5" s="713"/>
      <c r="CUB5" s="713"/>
      <c r="CUC5" s="713"/>
      <c r="CUD5" s="713"/>
      <c r="CUE5" s="713"/>
      <c r="CUF5" s="713"/>
      <c r="CUG5" s="713"/>
      <c r="CUH5" s="713"/>
      <c r="CUI5" s="713"/>
      <c r="CUJ5" s="713"/>
      <c r="CUK5" s="713"/>
      <c r="CUL5" s="713"/>
      <c r="CUM5" s="713"/>
      <c r="CUN5" s="713"/>
      <c r="CUO5" s="713"/>
      <c r="CUP5" s="713"/>
      <c r="CUQ5" s="713"/>
      <c r="CUR5" s="713"/>
      <c r="CUS5" s="713" t="s">
        <v>956</v>
      </c>
      <c r="CUT5" s="713"/>
      <c r="CUU5" s="713"/>
      <c r="CUV5" s="713"/>
      <c r="CUW5" s="713"/>
      <c r="CUX5" s="713"/>
      <c r="CUY5" s="713"/>
      <c r="CUZ5" s="713"/>
      <c r="CVA5" s="713"/>
      <c r="CVB5" s="713"/>
      <c r="CVC5" s="713"/>
      <c r="CVD5" s="713"/>
      <c r="CVE5" s="713"/>
      <c r="CVF5" s="713"/>
      <c r="CVG5" s="713"/>
      <c r="CVH5" s="713"/>
      <c r="CVI5" s="713"/>
      <c r="CVJ5" s="713"/>
      <c r="CVK5" s="713"/>
      <c r="CVL5" s="713"/>
      <c r="CVM5" s="713"/>
      <c r="CVN5" s="713"/>
      <c r="CVO5" s="713"/>
      <c r="CVP5" s="713"/>
      <c r="CVQ5" s="713"/>
      <c r="CVR5" s="713"/>
      <c r="CVS5" s="713"/>
      <c r="CVT5" s="713"/>
      <c r="CVU5" s="713"/>
      <c r="CVV5" s="713"/>
      <c r="CVW5" s="713"/>
      <c r="CVX5" s="713"/>
      <c r="CVY5" s="713" t="s">
        <v>956</v>
      </c>
      <c r="CVZ5" s="713"/>
      <c r="CWA5" s="713"/>
      <c r="CWB5" s="713"/>
      <c r="CWC5" s="713"/>
      <c r="CWD5" s="713"/>
      <c r="CWE5" s="713"/>
      <c r="CWF5" s="713"/>
      <c r="CWG5" s="713"/>
      <c r="CWH5" s="713"/>
      <c r="CWI5" s="713"/>
      <c r="CWJ5" s="713"/>
      <c r="CWK5" s="713"/>
      <c r="CWL5" s="713"/>
      <c r="CWM5" s="713"/>
      <c r="CWN5" s="713"/>
      <c r="CWO5" s="713"/>
      <c r="CWP5" s="713"/>
      <c r="CWQ5" s="713"/>
      <c r="CWR5" s="713"/>
      <c r="CWS5" s="713"/>
      <c r="CWT5" s="713"/>
      <c r="CWU5" s="713"/>
      <c r="CWV5" s="713"/>
      <c r="CWW5" s="713"/>
      <c r="CWX5" s="713"/>
      <c r="CWY5" s="713"/>
      <c r="CWZ5" s="713"/>
      <c r="CXA5" s="713"/>
      <c r="CXB5" s="713"/>
      <c r="CXC5" s="713"/>
      <c r="CXD5" s="713"/>
      <c r="CXE5" s="713" t="s">
        <v>956</v>
      </c>
      <c r="CXF5" s="713"/>
      <c r="CXG5" s="713"/>
      <c r="CXH5" s="713"/>
      <c r="CXI5" s="713"/>
      <c r="CXJ5" s="713"/>
      <c r="CXK5" s="713"/>
      <c r="CXL5" s="713"/>
      <c r="CXM5" s="713"/>
      <c r="CXN5" s="713"/>
      <c r="CXO5" s="713"/>
      <c r="CXP5" s="713"/>
      <c r="CXQ5" s="713"/>
      <c r="CXR5" s="713"/>
      <c r="CXS5" s="713"/>
      <c r="CXT5" s="713"/>
      <c r="CXU5" s="713"/>
      <c r="CXV5" s="713"/>
      <c r="CXW5" s="713"/>
      <c r="CXX5" s="713"/>
      <c r="CXY5" s="713"/>
      <c r="CXZ5" s="713"/>
      <c r="CYA5" s="713"/>
      <c r="CYB5" s="713"/>
      <c r="CYC5" s="713"/>
      <c r="CYD5" s="713"/>
      <c r="CYE5" s="713"/>
      <c r="CYF5" s="713"/>
      <c r="CYG5" s="713"/>
      <c r="CYH5" s="713"/>
      <c r="CYI5" s="713"/>
      <c r="CYJ5" s="713"/>
      <c r="CYK5" s="713" t="s">
        <v>956</v>
      </c>
      <c r="CYL5" s="713"/>
      <c r="CYM5" s="713"/>
      <c r="CYN5" s="713"/>
      <c r="CYO5" s="713"/>
      <c r="CYP5" s="713"/>
      <c r="CYQ5" s="713"/>
      <c r="CYR5" s="713"/>
      <c r="CYS5" s="713"/>
      <c r="CYT5" s="713"/>
      <c r="CYU5" s="713"/>
      <c r="CYV5" s="713"/>
      <c r="CYW5" s="713"/>
      <c r="CYX5" s="713"/>
      <c r="CYY5" s="713"/>
      <c r="CYZ5" s="713"/>
      <c r="CZA5" s="713"/>
      <c r="CZB5" s="713"/>
      <c r="CZC5" s="713"/>
      <c r="CZD5" s="713"/>
      <c r="CZE5" s="713"/>
      <c r="CZF5" s="713"/>
      <c r="CZG5" s="713"/>
      <c r="CZH5" s="713"/>
      <c r="CZI5" s="713"/>
      <c r="CZJ5" s="713"/>
      <c r="CZK5" s="713"/>
      <c r="CZL5" s="713"/>
      <c r="CZM5" s="713"/>
      <c r="CZN5" s="713"/>
      <c r="CZO5" s="713"/>
      <c r="CZP5" s="713"/>
      <c r="CZQ5" s="713" t="s">
        <v>956</v>
      </c>
      <c r="CZR5" s="713"/>
      <c r="CZS5" s="713"/>
      <c r="CZT5" s="713"/>
      <c r="CZU5" s="713"/>
      <c r="CZV5" s="713"/>
      <c r="CZW5" s="713"/>
      <c r="CZX5" s="713"/>
      <c r="CZY5" s="713"/>
      <c r="CZZ5" s="713"/>
      <c r="DAA5" s="713"/>
      <c r="DAB5" s="713"/>
      <c r="DAC5" s="713"/>
      <c r="DAD5" s="713"/>
      <c r="DAE5" s="713"/>
      <c r="DAF5" s="713"/>
      <c r="DAG5" s="713"/>
      <c r="DAH5" s="713"/>
      <c r="DAI5" s="713"/>
      <c r="DAJ5" s="713"/>
      <c r="DAK5" s="713"/>
      <c r="DAL5" s="713"/>
      <c r="DAM5" s="713"/>
      <c r="DAN5" s="713"/>
      <c r="DAO5" s="713"/>
      <c r="DAP5" s="713"/>
      <c r="DAQ5" s="713"/>
      <c r="DAR5" s="713"/>
      <c r="DAS5" s="713"/>
      <c r="DAT5" s="713"/>
      <c r="DAU5" s="713"/>
      <c r="DAV5" s="713"/>
      <c r="DAW5" s="713" t="s">
        <v>956</v>
      </c>
      <c r="DAX5" s="713"/>
      <c r="DAY5" s="713"/>
      <c r="DAZ5" s="713"/>
      <c r="DBA5" s="713"/>
      <c r="DBB5" s="713"/>
      <c r="DBC5" s="713"/>
      <c r="DBD5" s="713"/>
      <c r="DBE5" s="713"/>
      <c r="DBF5" s="713"/>
      <c r="DBG5" s="713"/>
      <c r="DBH5" s="713"/>
      <c r="DBI5" s="713"/>
      <c r="DBJ5" s="713"/>
      <c r="DBK5" s="713"/>
      <c r="DBL5" s="713"/>
      <c r="DBM5" s="713"/>
      <c r="DBN5" s="713"/>
      <c r="DBO5" s="713"/>
      <c r="DBP5" s="713"/>
      <c r="DBQ5" s="713"/>
      <c r="DBR5" s="713"/>
      <c r="DBS5" s="713"/>
      <c r="DBT5" s="713"/>
      <c r="DBU5" s="713"/>
      <c r="DBV5" s="713"/>
      <c r="DBW5" s="713"/>
      <c r="DBX5" s="713"/>
      <c r="DBY5" s="713"/>
      <c r="DBZ5" s="713"/>
      <c r="DCA5" s="713"/>
      <c r="DCB5" s="713"/>
      <c r="DCC5" s="713" t="s">
        <v>956</v>
      </c>
      <c r="DCD5" s="713"/>
      <c r="DCE5" s="713"/>
      <c r="DCF5" s="713"/>
      <c r="DCG5" s="713"/>
      <c r="DCH5" s="713"/>
      <c r="DCI5" s="713"/>
      <c r="DCJ5" s="713"/>
      <c r="DCK5" s="713"/>
      <c r="DCL5" s="713"/>
      <c r="DCM5" s="713"/>
      <c r="DCN5" s="713"/>
      <c r="DCO5" s="713"/>
      <c r="DCP5" s="713"/>
      <c r="DCQ5" s="713"/>
      <c r="DCR5" s="713"/>
      <c r="DCS5" s="713"/>
      <c r="DCT5" s="713"/>
      <c r="DCU5" s="713"/>
      <c r="DCV5" s="713"/>
      <c r="DCW5" s="713"/>
      <c r="DCX5" s="713"/>
      <c r="DCY5" s="713"/>
      <c r="DCZ5" s="713"/>
      <c r="DDA5" s="713"/>
      <c r="DDB5" s="713"/>
      <c r="DDC5" s="713"/>
      <c r="DDD5" s="713"/>
      <c r="DDE5" s="713"/>
      <c r="DDF5" s="713"/>
      <c r="DDG5" s="713"/>
      <c r="DDH5" s="713"/>
      <c r="DDI5" s="713" t="s">
        <v>956</v>
      </c>
      <c r="DDJ5" s="713"/>
      <c r="DDK5" s="713"/>
      <c r="DDL5" s="713"/>
      <c r="DDM5" s="713"/>
      <c r="DDN5" s="713"/>
      <c r="DDO5" s="713"/>
      <c r="DDP5" s="713"/>
      <c r="DDQ5" s="713"/>
      <c r="DDR5" s="713"/>
      <c r="DDS5" s="713"/>
      <c r="DDT5" s="713"/>
      <c r="DDU5" s="713"/>
      <c r="DDV5" s="713"/>
      <c r="DDW5" s="713"/>
      <c r="DDX5" s="713"/>
      <c r="DDY5" s="713"/>
      <c r="DDZ5" s="713"/>
      <c r="DEA5" s="713"/>
      <c r="DEB5" s="713"/>
      <c r="DEC5" s="713"/>
      <c r="DED5" s="713"/>
      <c r="DEE5" s="713"/>
      <c r="DEF5" s="713"/>
      <c r="DEG5" s="713"/>
      <c r="DEH5" s="713"/>
      <c r="DEI5" s="713"/>
      <c r="DEJ5" s="713"/>
      <c r="DEK5" s="713"/>
      <c r="DEL5" s="713"/>
      <c r="DEM5" s="713"/>
      <c r="DEN5" s="713"/>
      <c r="DEO5" s="713" t="s">
        <v>956</v>
      </c>
      <c r="DEP5" s="713"/>
      <c r="DEQ5" s="713"/>
      <c r="DER5" s="713"/>
      <c r="DES5" s="713"/>
      <c r="DET5" s="713"/>
      <c r="DEU5" s="713"/>
      <c r="DEV5" s="713"/>
      <c r="DEW5" s="713"/>
      <c r="DEX5" s="713"/>
      <c r="DEY5" s="713"/>
      <c r="DEZ5" s="713"/>
      <c r="DFA5" s="713"/>
      <c r="DFB5" s="713"/>
      <c r="DFC5" s="713"/>
      <c r="DFD5" s="713"/>
      <c r="DFE5" s="713"/>
      <c r="DFF5" s="713"/>
      <c r="DFG5" s="713"/>
      <c r="DFH5" s="713"/>
      <c r="DFI5" s="713"/>
      <c r="DFJ5" s="713"/>
      <c r="DFK5" s="713"/>
      <c r="DFL5" s="713"/>
      <c r="DFM5" s="713"/>
      <c r="DFN5" s="713"/>
      <c r="DFO5" s="713"/>
      <c r="DFP5" s="713"/>
      <c r="DFQ5" s="713"/>
      <c r="DFR5" s="713"/>
      <c r="DFS5" s="713"/>
      <c r="DFT5" s="713"/>
      <c r="DFU5" s="713" t="s">
        <v>956</v>
      </c>
      <c r="DFV5" s="713"/>
      <c r="DFW5" s="713"/>
      <c r="DFX5" s="713"/>
      <c r="DFY5" s="713"/>
      <c r="DFZ5" s="713"/>
      <c r="DGA5" s="713"/>
      <c r="DGB5" s="713"/>
      <c r="DGC5" s="713"/>
      <c r="DGD5" s="713"/>
      <c r="DGE5" s="713"/>
      <c r="DGF5" s="713"/>
      <c r="DGG5" s="713"/>
      <c r="DGH5" s="713"/>
      <c r="DGI5" s="713"/>
      <c r="DGJ5" s="713"/>
      <c r="DGK5" s="713"/>
      <c r="DGL5" s="713"/>
      <c r="DGM5" s="713"/>
      <c r="DGN5" s="713"/>
      <c r="DGO5" s="713"/>
      <c r="DGP5" s="713"/>
      <c r="DGQ5" s="713"/>
      <c r="DGR5" s="713"/>
      <c r="DGS5" s="713"/>
      <c r="DGT5" s="713"/>
      <c r="DGU5" s="713"/>
      <c r="DGV5" s="713"/>
      <c r="DGW5" s="713"/>
      <c r="DGX5" s="713"/>
      <c r="DGY5" s="713"/>
      <c r="DGZ5" s="713"/>
      <c r="DHA5" s="713" t="s">
        <v>956</v>
      </c>
      <c r="DHB5" s="713"/>
      <c r="DHC5" s="713"/>
      <c r="DHD5" s="713"/>
      <c r="DHE5" s="713"/>
      <c r="DHF5" s="713"/>
      <c r="DHG5" s="713"/>
      <c r="DHH5" s="713"/>
      <c r="DHI5" s="713"/>
      <c r="DHJ5" s="713"/>
      <c r="DHK5" s="713"/>
      <c r="DHL5" s="713"/>
      <c r="DHM5" s="713"/>
      <c r="DHN5" s="713"/>
      <c r="DHO5" s="713"/>
      <c r="DHP5" s="713"/>
      <c r="DHQ5" s="713"/>
      <c r="DHR5" s="713"/>
      <c r="DHS5" s="713"/>
      <c r="DHT5" s="713"/>
      <c r="DHU5" s="713"/>
      <c r="DHV5" s="713"/>
      <c r="DHW5" s="713"/>
      <c r="DHX5" s="713"/>
      <c r="DHY5" s="713"/>
      <c r="DHZ5" s="713"/>
      <c r="DIA5" s="713"/>
      <c r="DIB5" s="713"/>
      <c r="DIC5" s="713"/>
      <c r="DID5" s="713"/>
      <c r="DIE5" s="713"/>
      <c r="DIF5" s="713"/>
      <c r="DIG5" s="713" t="s">
        <v>956</v>
      </c>
      <c r="DIH5" s="713"/>
      <c r="DII5" s="713"/>
      <c r="DIJ5" s="713"/>
      <c r="DIK5" s="713"/>
      <c r="DIL5" s="713"/>
      <c r="DIM5" s="713"/>
      <c r="DIN5" s="713"/>
      <c r="DIO5" s="713"/>
      <c r="DIP5" s="713"/>
      <c r="DIQ5" s="713"/>
      <c r="DIR5" s="713"/>
      <c r="DIS5" s="713"/>
      <c r="DIT5" s="713"/>
      <c r="DIU5" s="713"/>
      <c r="DIV5" s="713"/>
      <c r="DIW5" s="713"/>
      <c r="DIX5" s="713"/>
      <c r="DIY5" s="713"/>
      <c r="DIZ5" s="713"/>
      <c r="DJA5" s="713"/>
      <c r="DJB5" s="713"/>
      <c r="DJC5" s="713"/>
      <c r="DJD5" s="713"/>
      <c r="DJE5" s="713"/>
      <c r="DJF5" s="713"/>
      <c r="DJG5" s="713"/>
      <c r="DJH5" s="713"/>
      <c r="DJI5" s="713"/>
      <c r="DJJ5" s="713"/>
      <c r="DJK5" s="713"/>
      <c r="DJL5" s="713"/>
      <c r="DJM5" s="713" t="s">
        <v>956</v>
      </c>
      <c r="DJN5" s="713"/>
      <c r="DJO5" s="713"/>
      <c r="DJP5" s="713"/>
      <c r="DJQ5" s="713"/>
      <c r="DJR5" s="713"/>
      <c r="DJS5" s="713"/>
      <c r="DJT5" s="713"/>
      <c r="DJU5" s="713"/>
      <c r="DJV5" s="713"/>
      <c r="DJW5" s="713"/>
      <c r="DJX5" s="713"/>
      <c r="DJY5" s="713"/>
      <c r="DJZ5" s="713"/>
      <c r="DKA5" s="713"/>
      <c r="DKB5" s="713"/>
      <c r="DKC5" s="713"/>
      <c r="DKD5" s="713"/>
      <c r="DKE5" s="713"/>
      <c r="DKF5" s="713"/>
      <c r="DKG5" s="713"/>
      <c r="DKH5" s="713"/>
      <c r="DKI5" s="713"/>
      <c r="DKJ5" s="713"/>
      <c r="DKK5" s="713"/>
      <c r="DKL5" s="713"/>
      <c r="DKM5" s="713"/>
      <c r="DKN5" s="713"/>
      <c r="DKO5" s="713"/>
      <c r="DKP5" s="713"/>
      <c r="DKQ5" s="713"/>
      <c r="DKR5" s="713"/>
      <c r="DKS5" s="713" t="s">
        <v>956</v>
      </c>
      <c r="DKT5" s="713"/>
      <c r="DKU5" s="713"/>
      <c r="DKV5" s="713"/>
      <c r="DKW5" s="713"/>
      <c r="DKX5" s="713"/>
      <c r="DKY5" s="713"/>
      <c r="DKZ5" s="713"/>
      <c r="DLA5" s="713"/>
      <c r="DLB5" s="713"/>
      <c r="DLC5" s="713"/>
      <c r="DLD5" s="713"/>
      <c r="DLE5" s="713"/>
      <c r="DLF5" s="713"/>
      <c r="DLG5" s="713"/>
      <c r="DLH5" s="713"/>
      <c r="DLI5" s="713"/>
      <c r="DLJ5" s="713"/>
      <c r="DLK5" s="713"/>
      <c r="DLL5" s="713"/>
      <c r="DLM5" s="713"/>
      <c r="DLN5" s="713"/>
      <c r="DLO5" s="713"/>
      <c r="DLP5" s="713"/>
      <c r="DLQ5" s="713"/>
      <c r="DLR5" s="713"/>
      <c r="DLS5" s="713"/>
      <c r="DLT5" s="713"/>
      <c r="DLU5" s="713"/>
      <c r="DLV5" s="713"/>
      <c r="DLW5" s="713"/>
      <c r="DLX5" s="713"/>
      <c r="DLY5" s="713" t="s">
        <v>956</v>
      </c>
      <c r="DLZ5" s="713"/>
      <c r="DMA5" s="713"/>
      <c r="DMB5" s="713"/>
      <c r="DMC5" s="713"/>
      <c r="DMD5" s="713"/>
      <c r="DME5" s="713"/>
      <c r="DMF5" s="713"/>
      <c r="DMG5" s="713"/>
      <c r="DMH5" s="713"/>
      <c r="DMI5" s="713"/>
      <c r="DMJ5" s="713"/>
      <c r="DMK5" s="713"/>
      <c r="DML5" s="713"/>
      <c r="DMM5" s="713"/>
      <c r="DMN5" s="713"/>
      <c r="DMO5" s="713"/>
      <c r="DMP5" s="713"/>
      <c r="DMQ5" s="713"/>
      <c r="DMR5" s="713"/>
      <c r="DMS5" s="713"/>
      <c r="DMT5" s="713"/>
      <c r="DMU5" s="713"/>
      <c r="DMV5" s="713"/>
      <c r="DMW5" s="713"/>
      <c r="DMX5" s="713"/>
      <c r="DMY5" s="713"/>
      <c r="DMZ5" s="713"/>
      <c r="DNA5" s="713"/>
      <c r="DNB5" s="713"/>
      <c r="DNC5" s="713"/>
      <c r="DND5" s="713"/>
      <c r="DNE5" s="713" t="s">
        <v>956</v>
      </c>
      <c r="DNF5" s="713"/>
      <c r="DNG5" s="713"/>
      <c r="DNH5" s="713"/>
      <c r="DNI5" s="713"/>
      <c r="DNJ5" s="713"/>
      <c r="DNK5" s="713"/>
      <c r="DNL5" s="713"/>
      <c r="DNM5" s="713"/>
      <c r="DNN5" s="713"/>
      <c r="DNO5" s="713"/>
      <c r="DNP5" s="713"/>
      <c r="DNQ5" s="713"/>
      <c r="DNR5" s="713"/>
      <c r="DNS5" s="713"/>
      <c r="DNT5" s="713"/>
      <c r="DNU5" s="713"/>
      <c r="DNV5" s="713"/>
      <c r="DNW5" s="713"/>
      <c r="DNX5" s="713"/>
      <c r="DNY5" s="713"/>
      <c r="DNZ5" s="713"/>
      <c r="DOA5" s="713"/>
      <c r="DOB5" s="713"/>
      <c r="DOC5" s="713"/>
      <c r="DOD5" s="713"/>
      <c r="DOE5" s="713"/>
      <c r="DOF5" s="713"/>
      <c r="DOG5" s="713"/>
      <c r="DOH5" s="713"/>
      <c r="DOI5" s="713"/>
      <c r="DOJ5" s="713"/>
      <c r="DOK5" s="713" t="s">
        <v>956</v>
      </c>
      <c r="DOL5" s="713"/>
      <c r="DOM5" s="713"/>
      <c r="DON5" s="713"/>
      <c r="DOO5" s="713"/>
      <c r="DOP5" s="713"/>
      <c r="DOQ5" s="713"/>
      <c r="DOR5" s="713"/>
      <c r="DOS5" s="713"/>
      <c r="DOT5" s="713"/>
      <c r="DOU5" s="713"/>
      <c r="DOV5" s="713"/>
      <c r="DOW5" s="713"/>
      <c r="DOX5" s="713"/>
      <c r="DOY5" s="713"/>
      <c r="DOZ5" s="713"/>
      <c r="DPA5" s="713"/>
      <c r="DPB5" s="713"/>
      <c r="DPC5" s="713"/>
      <c r="DPD5" s="713"/>
      <c r="DPE5" s="713"/>
      <c r="DPF5" s="713"/>
      <c r="DPG5" s="713"/>
      <c r="DPH5" s="713"/>
      <c r="DPI5" s="713"/>
      <c r="DPJ5" s="713"/>
      <c r="DPK5" s="713"/>
      <c r="DPL5" s="713"/>
      <c r="DPM5" s="713"/>
      <c r="DPN5" s="713"/>
      <c r="DPO5" s="713"/>
      <c r="DPP5" s="713"/>
      <c r="DPQ5" s="713" t="s">
        <v>956</v>
      </c>
      <c r="DPR5" s="713"/>
      <c r="DPS5" s="713"/>
      <c r="DPT5" s="713"/>
      <c r="DPU5" s="713"/>
      <c r="DPV5" s="713"/>
      <c r="DPW5" s="713"/>
      <c r="DPX5" s="713"/>
      <c r="DPY5" s="713"/>
      <c r="DPZ5" s="713"/>
      <c r="DQA5" s="713"/>
      <c r="DQB5" s="713"/>
      <c r="DQC5" s="713"/>
      <c r="DQD5" s="713"/>
      <c r="DQE5" s="713"/>
      <c r="DQF5" s="713"/>
      <c r="DQG5" s="713"/>
      <c r="DQH5" s="713"/>
      <c r="DQI5" s="713"/>
      <c r="DQJ5" s="713"/>
      <c r="DQK5" s="713"/>
      <c r="DQL5" s="713"/>
      <c r="DQM5" s="713"/>
      <c r="DQN5" s="713"/>
      <c r="DQO5" s="713"/>
      <c r="DQP5" s="713"/>
      <c r="DQQ5" s="713"/>
      <c r="DQR5" s="713"/>
      <c r="DQS5" s="713"/>
      <c r="DQT5" s="713"/>
      <c r="DQU5" s="713"/>
      <c r="DQV5" s="713"/>
      <c r="DQW5" s="713" t="s">
        <v>956</v>
      </c>
      <c r="DQX5" s="713"/>
      <c r="DQY5" s="713"/>
      <c r="DQZ5" s="713"/>
      <c r="DRA5" s="713"/>
      <c r="DRB5" s="713"/>
      <c r="DRC5" s="713"/>
      <c r="DRD5" s="713"/>
      <c r="DRE5" s="713"/>
      <c r="DRF5" s="713"/>
      <c r="DRG5" s="713"/>
      <c r="DRH5" s="713"/>
      <c r="DRI5" s="713"/>
      <c r="DRJ5" s="713"/>
      <c r="DRK5" s="713"/>
      <c r="DRL5" s="713"/>
      <c r="DRM5" s="713"/>
      <c r="DRN5" s="713"/>
      <c r="DRO5" s="713"/>
      <c r="DRP5" s="713"/>
      <c r="DRQ5" s="713"/>
      <c r="DRR5" s="713"/>
      <c r="DRS5" s="713"/>
      <c r="DRT5" s="713"/>
      <c r="DRU5" s="713"/>
      <c r="DRV5" s="713"/>
      <c r="DRW5" s="713"/>
      <c r="DRX5" s="713"/>
      <c r="DRY5" s="713"/>
      <c r="DRZ5" s="713"/>
      <c r="DSA5" s="713"/>
      <c r="DSB5" s="713"/>
      <c r="DSC5" s="713" t="s">
        <v>956</v>
      </c>
      <c r="DSD5" s="713"/>
      <c r="DSE5" s="713"/>
      <c r="DSF5" s="713"/>
      <c r="DSG5" s="713"/>
      <c r="DSH5" s="713"/>
      <c r="DSI5" s="713"/>
      <c r="DSJ5" s="713"/>
      <c r="DSK5" s="713"/>
      <c r="DSL5" s="713"/>
      <c r="DSM5" s="713"/>
      <c r="DSN5" s="713"/>
      <c r="DSO5" s="713"/>
      <c r="DSP5" s="713"/>
      <c r="DSQ5" s="713"/>
      <c r="DSR5" s="713"/>
      <c r="DSS5" s="713"/>
      <c r="DST5" s="713"/>
      <c r="DSU5" s="713"/>
      <c r="DSV5" s="713"/>
      <c r="DSW5" s="713"/>
      <c r="DSX5" s="713"/>
      <c r="DSY5" s="713"/>
      <c r="DSZ5" s="713"/>
      <c r="DTA5" s="713"/>
      <c r="DTB5" s="713"/>
      <c r="DTC5" s="713"/>
      <c r="DTD5" s="713"/>
      <c r="DTE5" s="713"/>
      <c r="DTF5" s="713"/>
      <c r="DTG5" s="713"/>
      <c r="DTH5" s="713"/>
      <c r="DTI5" s="713" t="s">
        <v>956</v>
      </c>
      <c r="DTJ5" s="713"/>
      <c r="DTK5" s="713"/>
      <c r="DTL5" s="713"/>
      <c r="DTM5" s="713"/>
      <c r="DTN5" s="713"/>
      <c r="DTO5" s="713"/>
      <c r="DTP5" s="713"/>
      <c r="DTQ5" s="713"/>
      <c r="DTR5" s="713"/>
      <c r="DTS5" s="713"/>
      <c r="DTT5" s="713"/>
      <c r="DTU5" s="713"/>
      <c r="DTV5" s="713"/>
      <c r="DTW5" s="713"/>
      <c r="DTX5" s="713"/>
      <c r="DTY5" s="713"/>
      <c r="DTZ5" s="713"/>
      <c r="DUA5" s="713"/>
      <c r="DUB5" s="713"/>
      <c r="DUC5" s="713"/>
      <c r="DUD5" s="713"/>
      <c r="DUE5" s="713"/>
      <c r="DUF5" s="713"/>
      <c r="DUG5" s="713"/>
      <c r="DUH5" s="713"/>
      <c r="DUI5" s="713"/>
      <c r="DUJ5" s="713"/>
      <c r="DUK5" s="713"/>
      <c r="DUL5" s="713"/>
      <c r="DUM5" s="713"/>
      <c r="DUN5" s="713"/>
      <c r="DUO5" s="713" t="s">
        <v>956</v>
      </c>
      <c r="DUP5" s="713"/>
      <c r="DUQ5" s="713"/>
      <c r="DUR5" s="713"/>
      <c r="DUS5" s="713"/>
      <c r="DUT5" s="713"/>
      <c r="DUU5" s="713"/>
      <c r="DUV5" s="713"/>
      <c r="DUW5" s="713"/>
      <c r="DUX5" s="713"/>
      <c r="DUY5" s="713"/>
      <c r="DUZ5" s="713"/>
      <c r="DVA5" s="713"/>
      <c r="DVB5" s="713"/>
      <c r="DVC5" s="713"/>
      <c r="DVD5" s="713"/>
      <c r="DVE5" s="713"/>
      <c r="DVF5" s="713"/>
      <c r="DVG5" s="713"/>
      <c r="DVH5" s="713"/>
      <c r="DVI5" s="713"/>
      <c r="DVJ5" s="713"/>
      <c r="DVK5" s="713"/>
      <c r="DVL5" s="713"/>
      <c r="DVM5" s="713"/>
      <c r="DVN5" s="713"/>
      <c r="DVO5" s="713"/>
      <c r="DVP5" s="713"/>
      <c r="DVQ5" s="713"/>
      <c r="DVR5" s="713"/>
      <c r="DVS5" s="713"/>
      <c r="DVT5" s="713"/>
      <c r="DVU5" s="713" t="s">
        <v>956</v>
      </c>
      <c r="DVV5" s="713"/>
      <c r="DVW5" s="713"/>
      <c r="DVX5" s="713"/>
      <c r="DVY5" s="713"/>
      <c r="DVZ5" s="713"/>
      <c r="DWA5" s="713"/>
      <c r="DWB5" s="713"/>
      <c r="DWC5" s="713"/>
      <c r="DWD5" s="713"/>
      <c r="DWE5" s="713"/>
      <c r="DWF5" s="713"/>
      <c r="DWG5" s="713"/>
      <c r="DWH5" s="713"/>
      <c r="DWI5" s="713"/>
      <c r="DWJ5" s="713"/>
      <c r="DWK5" s="713"/>
      <c r="DWL5" s="713"/>
      <c r="DWM5" s="713"/>
      <c r="DWN5" s="713"/>
      <c r="DWO5" s="713"/>
      <c r="DWP5" s="713"/>
      <c r="DWQ5" s="713"/>
      <c r="DWR5" s="713"/>
      <c r="DWS5" s="713"/>
      <c r="DWT5" s="713"/>
      <c r="DWU5" s="713"/>
      <c r="DWV5" s="713"/>
      <c r="DWW5" s="713"/>
      <c r="DWX5" s="713"/>
      <c r="DWY5" s="713"/>
      <c r="DWZ5" s="713"/>
      <c r="DXA5" s="713" t="s">
        <v>956</v>
      </c>
      <c r="DXB5" s="713"/>
      <c r="DXC5" s="713"/>
      <c r="DXD5" s="713"/>
      <c r="DXE5" s="713"/>
      <c r="DXF5" s="713"/>
      <c r="DXG5" s="713"/>
      <c r="DXH5" s="713"/>
      <c r="DXI5" s="713"/>
      <c r="DXJ5" s="713"/>
      <c r="DXK5" s="713"/>
      <c r="DXL5" s="713"/>
      <c r="DXM5" s="713"/>
      <c r="DXN5" s="713"/>
      <c r="DXO5" s="713"/>
      <c r="DXP5" s="713"/>
      <c r="DXQ5" s="713"/>
      <c r="DXR5" s="713"/>
      <c r="DXS5" s="713"/>
      <c r="DXT5" s="713"/>
      <c r="DXU5" s="713"/>
      <c r="DXV5" s="713"/>
      <c r="DXW5" s="713"/>
      <c r="DXX5" s="713"/>
      <c r="DXY5" s="713"/>
      <c r="DXZ5" s="713"/>
      <c r="DYA5" s="713"/>
      <c r="DYB5" s="713"/>
      <c r="DYC5" s="713"/>
      <c r="DYD5" s="713"/>
      <c r="DYE5" s="713"/>
      <c r="DYF5" s="713"/>
      <c r="DYG5" s="713" t="s">
        <v>956</v>
      </c>
      <c r="DYH5" s="713"/>
      <c r="DYI5" s="713"/>
      <c r="DYJ5" s="713"/>
      <c r="DYK5" s="713"/>
      <c r="DYL5" s="713"/>
      <c r="DYM5" s="713"/>
      <c r="DYN5" s="713"/>
      <c r="DYO5" s="713"/>
      <c r="DYP5" s="713"/>
      <c r="DYQ5" s="713"/>
      <c r="DYR5" s="713"/>
      <c r="DYS5" s="713"/>
      <c r="DYT5" s="713"/>
      <c r="DYU5" s="713"/>
      <c r="DYV5" s="713"/>
      <c r="DYW5" s="713"/>
      <c r="DYX5" s="713"/>
      <c r="DYY5" s="713"/>
      <c r="DYZ5" s="713"/>
      <c r="DZA5" s="713"/>
      <c r="DZB5" s="713"/>
      <c r="DZC5" s="713"/>
      <c r="DZD5" s="713"/>
      <c r="DZE5" s="713"/>
      <c r="DZF5" s="713"/>
      <c r="DZG5" s="713"/>
      <c r="DZH5" s="713"/>
      <c r="DZI5" s="713"/>
      <c r="DZJ5" s="713"/>
      <c r="DZK5" s="713"/>
      <c r="DZL5" s="713"/>
      <c r="DZM5" s="713" t="s">
        <v>956</v>
      </c>
      <c r="DZN5" s="713"/>
      <c r="DZO5" s="713"/>
      <c r="DZP5" s="713"/>
      <c r="DZQ5" s="713"/>
      <c r="DZR5" s="713"/>
      <c r="DZS5" s="713"/>
      <c r="DZT5" s="713"/>
      <c r="DZU5" s="713"/>
      <c r="DZV5" s="713"/>
      <c r="DZW5" s="713"/>
      <c r="DZX5" s="713"/>
      <c r="DZY5" s="713"/>
      <c r="DZZ5" s="713"/>
      <c r="EAA5" s="713"/>
      <c r="EAB5" s="713"/>
      <c r="EAC5" s="713"/>
      <c r="EAD5" s="713"/>
      <c r="EAE5" s="713"/>
      <c r="EAF5" s="713"/>
      <c r="EAG5" s="713"/>
      <c r="EAH5" s="713"/>
      <c r="EAI5" s="713"/>
      <c r="EAJ5" s="713"/>
      <c r="EAK5" s="713"/>
      <c r="EAL5" s="713"/>
      <c r="EAM5" s="713"/>
      <c r="EAN5" s="713"/>
      <c r="EAO5" s="713"/>
      <c r="EAP5" s="713"/>
      <c r="EAQ5" s="713"/>
      <c r="EAR5" s="713"/>
      <c r="EAS5" s="713" t="s">
        <v>956</v>
      </c>
      <c r="EAT5" s="713"/>
      <c r="EAU5" s="713"/>
      <c r="EAV5" s="713"/>
      <c r="EAW5" s="713"/>
      <c r="EAX5" s="713"/>
      <c r="EAY5" s="713"/>
      <c r="EAZ5" s="713"/>
      <c r="EBA5" s="713"/>
      <c r="EBB5" s="713"/>
      <c r="EBC5" s="713"/>
      <c r="EBD5" s="713"/>
      <c r="EBE5" s="713"/>
      <c r="EBF5" s="713"/>
      <c r="EBG5" s="713"/>
      <c r="EBH5" s="713"/>
      <c r="EBI5" s="713"/>
      <c r="EBJ5" s="713"/>
      <c r="EBK5" s="713"/>
      <c r="EBL5" s="713"/>
      <c r="EBM5" s="713"/>
      <c r="EBN5" s="713"/>
      <c r="EBO5" s="713"/>
      <c r="EBP5" s="713"/>
      <c r="EBQ5" s="713"/>
      <c r="EBR5" s="713"/>
      <c r="EBS5" s="713"/>
      <c r="EBT5" s="713"/>
      <c r="EBU5" s="713"/>
      <c r="EBV5" s="713"/>
      <c r="EBW5" s="713"/>
      <c r="EBX5" s="713"/>
      <c r="EBY5" s="713" t="s">
        <v>956</v>
      </c>
      <c r="EBZ5" s="713"/>
      <c r="ECA5" s="713"/>
      <c r="ECB5" s="713"/>
      <c r="ECC5" s="713"/>
      <c r="ECD5" s="713"/>
      <c r="ECE5" s="713"/>
      <c r="ECF5" s="713"/>
      <c r="ECG5" s="713"/>
      <c r="ECH5" s="713"/>
      <c r="ECI5" s="713"/>
      <c r="ECJ5" s="713"/>
      <c r="ECK5" s="713"/>
      <c r="ECL5" s="713"/>
      <c r="ECM5" s="713"/>
      <c r="ECN5" s="713"/>
      <c r="ECO5" s="713"/>
      <c r="ECP5" s="713"/>
      <c r="ECQ5" s="713"/>
      <c r="ECR5" s="713"/>
      <c r="ECS5" s="713"/>
      <c r="ECT5" s="713"/>
      <c r="ECU5" s="713"/>
      <c r="ECV5" s="713"/>
      <c r="ECW5" s="713"/>
      <c r="ECX5" s="713"/>
      <c r="ECY5" s="713"/>
      <c r="ECZ5" s="713"/>
      <c r="EDA5" s="713"/>
      <c r="EDB5" s="713"/>
      <c r="EDC5" s="713"/>
      <c r="EDD5" s="713"/>
      <c r="EDE5" s="713" t="s">
        <v>956</v>
      </c>
      <c r="EDF5" s="713"/>
      <c r="EDG5" s="713"/>
      <c r="EDH5" s="713"/>
      <c r="EDI5" s="713"/>
      <c r="EDJ5" s="713"/>
      <c r="EDK5" s="713"/>
      <c r="EDL5" s="713"/>
      <c r="EDM5" s="713"/>
      <c r="EDN5" s="713"/>
      <c r="EDO5" s="713"/>
      <c r="EDP5" s="713"/>
      <c r="EDQ5" s="713"/>
      <c r="EDR5" s="713"/>
      <c r="EDS5" s="713"/>
      <c r="EDT5" s="713"/>
      <c r="EDU5" s="713"/>
      <c r="EDV5" s="713"/>
      <c r="EDW5" s="713"/>
      <c r="EDX5" s="713"/>
      <c r="EDY5" s="713"/>
      <c r="EDZ5" s="713"/>
      <c r="EEA5" s="713"/>
      <c r="EEB5" s="713"/>
      <c r="EEC5" s="713"/>
      <c r="EED5" s="713"/>
      <c r="EEE5" s="713"/>
      <c r="EEF5" s="713"/>
      <c r="EEG5" s="713"/>
      <c r="EEH5" s="713"/>
      <c r="EEI5" s="713"/>
      <c r="EEJ5" s="713"/>
      <c r="EEK5" s="713" t="s">
        <v>956</v>
      </c>
      <c r="EEL5" s="713"/>
      <c r="EEM5" s="713"/>
      <c r="EEN5" s="713"/>
      <c r="EEO5" s="713"/>
      <c r="EEP5" s="713"/>
      <c r="EEQ5" s="713"/>
      <c r="EER5" s="713"/>
      <c r="EES5" s="713"/>
      <c r="EET5" s="713"/>
      <c r="EEU5" s="713"/>
      <c r="EEV5" s="713"/>
      <c r="EEW5" s="713"/>
      <c r="EEX5" s="713"/>
      <c r="EEY5" s="713"/>
      <c r="EEZ5" s="713"/>
      <c r="EFA5" s="713"/>
      <c r="EFB5" s="713"/>
      <c r="EFC5" s="713"/>
      <c r="EFD5" s="713"/>
      <c r="EFE5" s="713"/>
      <c r="EFF5" s="713"/>
      <c r="EFG5" s="713"/>
      <c r="EFH5" s="713"/>
      <c r="EFI5" s="713"/>
      <c r="EFJ5" s="713"/>
      <c r="EFK5" s="713"/>
      <c r="EFL5" s="713"/>
      <c r="EFM5" s="713"/>
      <c r="EFN5" s="713"/>
      <c r="EFO5" s="713"/>
      <c r="EFP5" s="713"/>
      <c r="EFQ5" s="713" t="s">
        <v>956</v>
      </c>
      <c r="EFR5" s="713"/>
      <c r="EFS5" s="713"/>
      <c r="EFT5" s="713"/>
      <c r="EFU5" s="713"/>
      <c r="EFV5" s="713"/>
      <c r="EFW5" s="713"/>
      <c r="EFX5" s="713"/>
      <c r="EFY5" s="713"/>
      <c r="EFZ5" s="713"/>
      <c r="EGA5" s="713"/>
      <c r="EGB5" s="713"/>
      <c r="EGC5" s="713"/>
      <c r="EGD5" s="713"/>
      <c r="EGE5" s="713"/>
      <c r="EGF5" s="713"/>
      <c r="EGG5" s="713"/>
      <c r="EGH5" s="713"/>
      <c r="EGI5" s="713"/>
      <c r="EGJ5" s="713"/>
      <c r="EGK5" s="713"/>
      <c r="EGL5" s="713"/>
      <c r="EGM5" s="713"/>
      <c r="EGN5" s="713"/>
      <c r="EGO5" s="713"/>
      <c r="EGP5" s="713"/>
      <c r="EGQ5" s="713"/>
      <c r="EGR5" s="713"/>
      <c r="EGS5" s="713"/>
      <c r="EGT5" s="713"/>
      <c r="EGU5" s="713"/>
      <c r="EGV5" s="713"/>
      <c r="EGW5" s="713" t="s">
        <v>956</v>
      </c>
      <c r="EGX5" s="713"/>
      <c r="EGY5" s="713"/>
      <c r="EGZ5" s="713"/>
      <c r="EHA5" s="713"/>
      <c r="EHB5" s="713"/>
      <c r="EHC5" s="713"/>
      <c r="EHD5" s="713"/>
      <c r="EHE5" s="713"/>
      <c r="EHF5" s="713"/>
      <c r="EHG5" s="713"/>
      <c r="EHH5" s="713"/>
      <c r="EHI5" s="713"/>
      <c r="EHJ5" s="713"/>
      <c r="EHK5" s="713"/>
      <c r="EHL5" s="713"/>
      <c r="EHM5" s="713"/>
      <c r="EHN5" s="713"/>
      <c r="EHO5" s="713"/>
      <c r="EHP5" s="713"/>
      <c r="EHQ5" s="713"/>
      <c r="EHR5" s="713"/>
      <c r="EHS5" s="713"/>
      <c r="EHT5" s="713"/>
      <c r="EHU5" s="713"/>
      <c r="EHV5" s="713"/>
      <c r="EHW5" s="713"/>
      <c r="EHX5" s="713"/>
      <c r="EHY5" s="713"/>
      <c r="EHZ5" s="713"/>
      <c r="EIA5" s="713"/>
      <c r="EIB5" s="713"/>
      <c r="EIC5" s="713" t="s">
        <v>956</v>
      </c>
      <c r="EID5" s="713"/>
      <c r="EIE5" s="713"/>
      <c r="EIF5" s="713"/>
      <c r="EIG5" s="713"/>
      <c r="EIH5" s="713"/>
      <c r="EII5" s="713"/>
      <c r="EIJ5" s="713"/>
      <c r="EIK5" s="713"/>
      <c r="EIL5" s="713"/>
      <c r="EIM5" s="713"/>
      <c r="EIN5" s="713"/>
      <c r="EIO5" s="713"/>
      <c r="EIP5" s="713"/>
      <c r="EIQ5" s="713"/>
      <c r="EIR5" s="713"/>
      <c r="EIS5" s="713"/>
      <c r="EIT5" s="713"/>
      <c r="EIU5" s="713"/>
      <c r="EIV5" s="713"/>
      <c r="EIW5" s="713"/>
      <c r="EIX5" s="713"/>
      <c r="EIY5" s="713"/>
      <c r="EIZ5" s="713"/>
      <c r="EJA5" s="713"/>
      <c r="EJB5" s="713"/>
      <c r="EJC5" s="713"/>
      <c r="EJD5" s="713"/>
      <c r="EJE5" s="713"/>
      <c r="EJF5" s="713"/>
      <c r="EJG5" s="713"/>
      <c r="EJH5" s="713"/>
      <c r="EJI5" s="713" t="s">
        <v>956</v>
      </c>
      <c r="EJJ5" s="713"/>
      <c r="EJK5" s="713"/>
      <c r="EJL5" s="713"/>
      <c r="EJM5" s="713"/>
      <c r="EJN5" s="713"/>
      <c r="EJO5" s="713"/>
      <c r="EJP5" s="713"/>
      <c r="EJQ5" s="713"/>
      <c r="EJR5" s="713"/>
      <c r="EJS5" s="713"/>
      <c r="EJT5" s="713"/>
      <c r="EJU5" s="713"/>
      <c r="EJV5" s="713"/>
      <c r="EJW5" s="713"/>
      <c r="EJX5" s="713"/>
      <c r="EJY5" s="713"/>
      <c r="EJZ5" s="713"/>
      <c r="EKA5" s="713"/>
      <c r="EKB5" s="713"/>
      <c r="EKC5" s="713"/>
      <c r="EKD5" s="713"/>
      <c r="EKE5" s="713"/>
      <c r="EKF5" s="713"/>
      <c r="EKG5" s="713"/>
      <c r="EKH5" s="713"/>
      <c r="EKI5" s="713"/>
      <c r="EKJ5" s="713"/>
      <c r="EKK5" s="713"/>
      <c r="EKL5" s="713"/>
      <c r="EKM5" s="713"/>
      <c r="EKN5" s="713"/>
      <c r="EKO5" s="713" t="s">
        <v>956</v>
      </c>
      <c r="EKP5" s="713"/>
      <c r="EKQ5" s="713"/>
      <c r="EKR5" s="713"/>
      <c r="EKS5" s="713"/>
      <c r="EKT5" s="713"/>
      <c r="EKU5" s="713"/>
      <c r="EKV5" s="713"/>
      <c r="EKW5" s="713"/>
      <c r="EKX5" s="713"/>
      <c r="EKY5" s="713"/>
      <c r="EKZ5" s="713"/>
      <c r="ELA5" s="713"/>
      <c r="ELB5" s="713"/>
      <c r="ELC5" s="713"/>
      <c r="ELD5" s="713"/>
      <c r="ELE5" s="713"/>
      <c r="ELF5" s="713"/>
      <c r="ELG5" s="713"/>
      <c r="ELH5" s="713"/>
      <c r="ELI5" s="713"/>
      <c r="ELJ5" s="713"/>
      <c r="ELK5" s="713"/>
      <c r="ELL5" s="713"/>
      <c r="ELM5" s="713"/>
      <c r="ELN5" s="713"/>
      <c r="ELO5" s="713"/>
      <c r="ELP5" s="713"/>
      <c r="ELQ5" s="713"/>
      <c r="ELR5" s="713"/>
      <c r="ELS5" s="713"/>
      <c r="ELT5" s="713"/>
      <c r="ELU5" s="713" t="s">
        <v>956</v>
      </c>
      <c r="ELV5" s="713"/>
      <c r="ELW5" s="713"/>
      <c r="ELX5" s="713"/>
      <c r="ELY5" s="713"/>
      <c r="ELZ5" s="713"/>
      <c r="EMA5" s="713"/>
      <c r="EMB5" s="713"/>
      <c r="EMC5" s="713"/>
      <c r="EMD5" s="713"/>
      <c r="EME5" s="713"/>
      <c r="EMF5" s="713"/>
      <c r="EMG5" s="713"/>
      <c r="EMH5" s="713"/>
      <c r="EMI5" s="713"/>
      <c r="EMJ5" s="713"/>
      <c r="EMK5" s="713"/>
      <c r="EML5" s="713"/>
      <c r="EMM5" s="713"/>
      <c r="EMN5" s="713"/>
      <c r="EMO5" s="713"/>
      <c r="EMP5" s="713"/>
      <c r="EMQ5" s="713"/>
      <c r="EMR5" s="713"/>
      <c r="EMS5" s="713"/>
      <c r="EMT5" s="713"/>
      <c r="EMU5" s="713"/>
      <c r="EMV5" s="713"/>
      <c r="EMW5" s="713"/>
      <c r="EMX5" s="713"/>
      <c r="EMY5" s="713"/>
      <c r="EMZ5" s="713"/>
      <c r="ENA5" s="713" t="s">
        <v>956</v>
      </c>
      <c r="ENB5" s="713"/>
      <c r="ENC5" s="713"/>
      <c r="END5" s="713"/>
      <c r="ENE5" s="713"/>
      <c r="ENF5" s="713"/>
      <c r="ENG5" s="713"/>
      <c r="ENH5" s="713"/>
      <c r="ENI5" s="713"/>
      <c r="ENJ5" s="713"/>
      <c r="ENK5" s="713"/>
      <c r="ENL5" s="713"/>
      <c r="ENM5" s="713"/>
      <c r="ENN5" s="713"/>
      <c r="ENO5" s="713"/>
      <c r="ENP5" s="713"/>
      <c r="ENQ5" s="713"/>
      <c r="ENR5" s="713"/>
      <c r="ENS5" s="713"/>
      <c r="ENT5" s="713"/>
      <c r="ENU5" s="713"/>
      <c r="ENV5" s="713"/>
      <c r="ENW5" s="713"/>
      <c r="ENX5" s="713"/>
      <c r="ENY5" s="713"/>
      <c r="ENZ5" s="713"/>
      <c r="EOA5" s="713"/>
      <c r="EOB5" s="713"/>
      <c r="EOC5" s="713"/>
      <c r="EOD5" s="713"/>
      <c r="EOE5" s="713"/>
      <c r="EOF5" s="713"/>
      <c r="EOG5" s="713" t="s">
        <v>956</v>
      </c>
      <c r="EOH5" s="713"/>
      <c r="EOI5" s="713"/>
      <c r="EOJ5" s="713"/>
      <c r="EOK5" s="713"/>
      <c r="EOL5" s="713"/>
      <c r="EOM5" s="713"/>
      <c r="EON5" s="713"/>
      <c r="EOO5" s="713"/>
      <c r="EOP5" s="713"/>
      <c r="EOQ5" s="713"/>
      <c r="EOR5" s="713"/>
      <c r="EOS5" s="713"/>
      <c r="EOT5" s="713"/>
      <c r="EOU5" s="713"/>
      <c r="EOV5" s="713"/>
      <c r="EOW5" s="713"/>
      <c r="EOX5" s="713"/>
      <c r="EOY5" s="713"/>
      <c r="EOZ5" s="713"/>
      <c r="EPA5" s="713"/>
      <c r="EPB5" s="713"/>
      <c r="EPC5" s="713"/>
      <c r="EPD5" s="713"/>
      <c r="EPE5" s="713"/>
      <c r="EPF5" s="713"/>
      <c r="EPG5" s="713"/>
      <c r="EPH5" s="713"/>
      <c r="EPI5" s="713"/>
      <c r="EPJ5" s="713"/>
      <c r="EPK5" s="713"/>
      <c r="EPL5" s="713"/>
      <c r="EPM5" s="713" t="s">
        <v>956</v>
      </c>
      <c r="EPN5" s="713"/>
      <c r="EPO5" s="713"/>
      <c r="EPP5" s="713"/>
      <c r="EPQ5" s="713"/>
      <c r="EPR5" s="713"/>
      <c r="EPS5" s="713"/>
      <c r="EPT5" s="713"/>
      <c r="EPU5" s="713"/>
      <c r="EPV5" s="713"/>
      <c r="EPW5" s="713"/>
      <c r="EPX5" s="713"/>
      <c r="EPY5" s="713"/>
      <c r="EPZ5" s="713"/>
      <c r="EQA5" s="713"/>
      <c r="EQB5" s="713"/>
      <c r="EQC5" s="713"/>
      <c r="EQD5" s="713"/>
      <c r="EQE5" s="713"/>
      <c r="EQF5" s="713"/>
      <c r="EQG5" s="713"/>
      <c r="EQH5" s="713"/>
      <c r="EQI5" s="713"/>
      <c r="EQJ5" s="713"/>
      <c r="EQK5" s="713"/>
      <c r="EQL5" s="713"/>
      <c r="EQM5" s="713"/>
      <c r="EQN5" s="713"/>
      <c r="EQO5" s="713"/>
      <c r="EQP5" s="713"/>
      <c r="EQQ5" s="713"/>
      <c r="EQR5" s="713"/>
      <c r="EQS5" s="713" t="s">
        <v>956</v>
      </c>
      <c r="EQT5" s="713"/>
      <c r="EQU5" s="713"/>
      <c r="EQV5" s="713"/>
      <c r="EQW5" s="713"/>
      <c r="EQX5" s="713"/>
      <c r="EQY5" s="713"/>
      <c r="EQZ5" s="713"/>
      <c r="ERA5" s="713"/>
      <c r="ERB5" s="713"/>
      <c r="ERC5" s="713"/>
      <c r="ERD5" s="713"/>
      <c r="ERE5" s="713"/>
      <c r="ERF5" s="713"/>
      <c r="ERG5" s="713"/>
      <c r="ERH5" s="713"/>
      <c r="ERI5" s="713"/>
      <c r="ERJ5" s="713"/>
      <c r="ERK5" s="713"/>
      <c r="ERL5" s="713"/>
      <c r="ERM5" s="713"/>
      <c r="ERN5" s="713"/>
      <c r="ERO5" s="713"/>
      <c r="ERP5" s="713"/>
      <c r="ERQ5" s="713"/>
      <c r="ERR5" s="713"/>
      <c r="ERS5" s="713"/>
      <c r="ERT5" s="713"/>
      <c r="ERU5" s="713"/>
      <c r="ERV5" s="713"/>
      <c r="ERW5" s="713"/>
      <c r="ERX5" s="713"/>
      <c r="ERY5" s="713" t="s">
        <v>956</v>
      </c>
      <c r="ERZ5" s="713"/>
      <c r="ESA5" s="713"/>
      <c r="ESB5" s="713"/>
      <c r="ESC5" s="713"/>
      <c r="ESD5" s="713"/>
      <c r="ESE5" s="713"/>
      <c r="ESF5" s="713"/>
      <c r="ESG5" s="713"/>
      <c r="ESH5" s="713"/>
      <c r="ESI5" s="713"/>
      <c r="ESJ5" s="713"/>
      <c r="ESK5" s="713"/>
      <c r="ESL5" s="713"/>
      <c r="ESM5" s="713"/>
      <c r="ESN5" s="713"/>
      <c r="ESO5" s="713"/>
      <c r="ESP5" s="713"/>
      <c r="ESQ5" s="713"/>
      <c r="ESR5" s="713"/>
      <c r="ESS5" s="713"/>
      <c r="EST5" s="713"/>
      <c r="ESU5" s="713"/>
      <c r="ESV5" s="713"/>
      <c r="ESW5" s="713"/>
      <c r="ESX5" s="713"/>
      <c r="ESY5" s="713"/>
      <c r="ESZ5" s="713"/>
      <c r="ETA5" s="713"/>
      <c r="ETB5" s="713"/>
      <c r="ETC5" s="713"/>
      <c r="ETD5" s="713"/>
      <c r="ETE5" s="713" t="s">
        <v>956</v>
      </c>
      <c r="ETF5" s="713"/>
      <c r="ETG5" s="713"/>
      <c r="ETH5" s="713"/>
      <c r="ETI5" s="713"/>
      <c r="ETJ5" s="713"/>
      <c r="ETK5" s="713"/>
      <c r="ETL5" s="713"/>
      <c r="ETM5" s="713"/>
      <c r="ETN5" s="713"/>
      <c r="ETO5" s="713"/>
      <c r="ETP5" s="713"/>
      <c r="ETQ5" s="713"/>
      <c r="ETR5" s="713"/>
      <c r="ETS5" s="713"/>
      <c r="ETT5" s="713"/>
      <c r="ETU5" s="713"/>
      <c r="ETV5" s="713"/>
      <c r="ETW5" s="713"/>
      <c r="ETX5" s="713"/>
      <c r="ETY5" s="713"/>
      <c r="ETZ5" s="713"/>
      <c r="EUA5" s="713"/>
      <c r="EUB5" s="713"/>
      <c r="EUC5" s="713"/>
      <c r="EUD5" s="713"/>
      <c r="EUE5" s="713"/>
      <c r="EUF5" s="713"/>
      <c r="EUG5" s="713"/>
      <c r="EUH5" s="713"/>
      <c r="EUI5" s="713"/>
      <c r="EUJ5" s="713"/>
      <c r="EUK5" s="713" t="s">
        <v>956</v>
      </c>
      <c r="EUL5" s="713"/>
      <c r="EUM5" s="713"/>
      <c r="EUN5" s="713"/>
      <c r="EUO5" s="713"/>
      <c r="EUP5" s="713"/>
      <c r="EUQ5" s="713"/>
      <c r="EUR5" s="713"/>
      <c r="EUS5" s="713"/>
      <c r="EUT5" s="713"/>
      <c r="EUU5" s="713"/>
      <c r="EUV5" s="713"/>
      <c r="EUW5" s="713"/>
      <c r="EUX5" s="713"/>
      <c r="EUY5" s="713"/>
      <c r="EUZ5" s="713"/>
      <c r="EVA5" s="713"/>
      <c r="EVB5" s="713"/>
      <c r="EVC5" s="713"/>
      <c r="EVD5" s="713"/>
      <c r="EVE5" s="713"/>
      <c r="EVF5" s="713"/>
      <c r="EVG5" s="713"/>
      <c r="EVH5" s="713"/>
      <c r="EVI5" s="713"/>
      <c r="EVJ5" s="713"/>
      <c r="EVK5" s="713"/>
      <c r="EVL5" s="713"/>
      <c r="EVM5" s="713"/>
      <c r="EVN5" s="713"/>
      <c r="EVO5" s="713"/>
      <c r="EVP5" s="713"/>
      <c r="EVQ5" s="713" t="s">
        <v>956</v>
      </c>
      <c r="EVR5" s="713"/>
      <c r="EVS5" s="713"/>
      <c r="EVT5" s="713"/>
      <c r="EVU5" s="713"/>
      <c r="EVV5" s="713"/>
      <c r="EVW5" s="713"/>
      <c r="EVX5" s="713"/>
      <c r="EVY5" s="713"/>
      <c r="EVZ5" s="713"/>
      <c r="EWA5" s="713"/>
      <c r="EWB5" s="713"/>
      <c r="EWC5" s="713"/>
      <c r="EWD5" s="713"/>
      <c r="EWE5" s="713"/>
      <c r="EWF5" s="713"/>
      <c r="EWG5" s="713"/>
      <c r="EWH5" s="713"/>
      <c r="EWI5" s="713"/>
      <c r="EWJ5" s="713"/>
      <c r="EWK5" s="713"/>
      <c r="EWL5" s="713"/>
      <c r="EWM5" s="713"/>
      <c r="EWN5" s="713"/>
      <c r="EWO5" s="713"/>
      <c r="EWP5" s="713"/>
      <c r="EWQ5" s="713"/>
      <c r="EWR5" s="713"/>
      <c r="EWS5" s="713"/>
      <c r="EWT5" s="713"/>
      <c r="EWU5" s="713"/>
      <c r="EWV5" s="713"/>
      <c r="EWW5" s="713" t="s">
        <v>956</v>
      </c>
      <c r="EWX5" s="713"/>
      <c r="EWY5" s="713"/>
      <c r="EWZ5" s="713"/>
      <c r="EXA5" s="713"/>
      <c r="EXB5" s="713"/>
      <c r="EXC5" s="713"/>
      <c r="EXD5" s="713"/>
      <c r="EXE5" s="713"/>
      <c r="EXF5" s="713"/>
      <c r="EXG5" s="713"/>
      <c r="EXH5" s="713"/>
      <c r="EXI5" s="713"/>
      <c r="EXJ5" s="713"/>
      <c r="EXK5" s="713"/>
      <c r="EXL5" s="713"/>
      <c r="EXM5" s="713"/>
      <c r="EXN5" s="713"/>
      <c r="EXO5" s="713"/>
      <c r="EXP5" s="713"/>
      <c r="EXQ5" s="713"/>
      <c r="EXR5" s="713"/>
      <c r="EXS5" s="713"/>
      <c r="EXT5" s="713"/>
      <c r="EXU5" s="713"/>
      <c r="EXV5" s="713"/>
      <c r="EXW5" s="713"/>
      <c r="EXX5" s="713"/>
      <c r="EXY5" s="713"/>
      <c r="EXZ5" s="713"/>
      <c r="EYA5" s="713"/>
      <c r="EYB5" s="713"/>
      <c r="EYC5" s="713" t="s">
        <v>956</v>
      </c>
      <c r="EYD5" s="713"/>
      <c r="EYE5" s="713"/>
      <c r="EYF5" s="713"/>
      <c r="EYG5" s="713"/>
      <c r="EYH5" s="713"/>
      <c r="EYI5" s="713"/>
      <c r="EYJ5" s="713"/>
      <c r="EYK5" s="713"/>
      <c r="EYL5" s="713"/>
      <c r="EYM5" s="713"/>
      <c r="EYN5" s="713"/>
      <c r="EYO5" s="713"/>
      <c r="EYP5" s="713"/>
      <c r="EYQ5" s="713"/>
      <c r="EYR5" s="713"/>
      <c r="EYS5" s="713"/>
      <c r="EYT5" s="713"/>
      <c r="EYU5" s="713"/>
      <c r="EYV5" s="713"/>
      <c r="EYW5" s="713"/>
      <c r="EYX5" s="713"/>
      <c r="EYY5" s="713"/>
      <c r="EYZ5" s="713"/>
      <c r="EZA5" s="713"/>
      <c r="EZB5" s="713"/>
      <c r="EZC5" s="713"/>
      <c r="EZD5" s="713"/>
      <c r="EZE5" s="713"/>
      <c r="EZF5" s="713"/>
      <c r="EZG5" s="713"/>
      <c r="EZH5" s="713"/>
      <c r="EZI5" s="713" t="s">
        <v>956</v>
      </c>
      <c r="EZJ5" s="713"/>
      <c r="EZK5" s="713"/>
      <c r="EZL5" s="713"/>
      <c r="EZM5" s="713"/>
      <c r="EZN5" s="713"/>
      <c r="EZO5" s="713"/>
      <c r="EZP5" s="713"/>
      <c r="EZQ5" s="713"/>
      <c r="EZR5" s="713"/>
      <c r="EZS5" s="713"/>
      <c r="EZT5" s="713"/>
      <c r="EZU5" s="713"/>
      <c r="EZV5" s="713"/>
      <c r="EZW5" s="713"/>
      <c r="EZX5" s="713"/>
      <c r="EZY5" s="713"/>
      <c r="EZZ5" s="713"/>
      <c r="FAA5" s="713"/>
      <c r="FAB5" s="713"/>
      <c r="FAC5" s="713"/>
      <c r="FAD5" s="713"/>
      <c r="FAE5" s="713"/>
      <c r="FAF5" s="713"/>
      <c r="FAG5" s="713"/>
      <c r="FAH5" s="713"/>
      <c r="FAI5" s="713"/>
      <c r="FAJ5" s="713"/>
      <c r="FAK5" s="713"/>
      <c r="FAL5" s="713"/>
      <c r="FAM5" s="713"/>
      <c r="FAN5" s="713"/>
      <c r="FAO5" s="713" t="s">
        <v>956</v>
      </c>
      <c r="FAP5" s="713"/>
      <c r="FAQ5" s="713"/>
      <c r="FAR5" s="713"/>
      <c r="FAS5" s="713"/>
      <c r="FAT5" s="713"/>
      <c r="FAU5" s="713"/>
      <c r="FAV5" s="713"/>
      <c r="FAW5" s="713"/>
      <c r="FAX5" s="713"/>
      <c r="FAY5" s="713"/>
      <c r="FAZ5" s="713"/>
      <c r="FBA5" s="713"/>
      <c r="FBB5" s="713"/>
      <c r="FBC5" s="713"/>
      <c r="FBD5" s="713"/>
      <c r="FBE5" s="713"/>
      <c r="FBF5" s="713"/>
      <c r="FBG5" s="713"/>
      <c r="FBH5" s="713"/>
      <c r="FBI5" s="713"/>
      <c r="FBJ5" s="713"/>
      <c r="FBK5" s="713"/>
      <c r="FBL5" s="713"/>
      <c r="FBM5" s="713"/>
      <c r="FBN5" s="713"/>
      <c r="FBO5" s="713"/>
      <c r="FBP5" s="713"/>
      <c r="FBQ5" s="713"/>
      <c r="FBR5" s="713"/>
      <c r="FBS5" s="713"/>
      <c r="FBT5" s="713"/>
      <c r="FBU5" s="713" t="s">
        <v>956</v>
      </c>
      <c r="FBV5" s="713"/>
      <c r="FBW5" s="713"/>
      <c r="FBX5" s="713"/>
      <c r="FBY5" s="713"/>
      <c r="FBZ5" s="713"/>
      <c r="FCA5" s="713"/>
      <c r="FCB5" s="713"/>
      <c r="FCC5" s="713"/>
      <c r="FCD5" s="713"/>
      <c r="FCE5" s="713"/>
      <c r="FCF5" s="713"/>
      <c r="FCG5" s="713"/>
      <c r="FCH5" s="713"/>
      <c r="FCI5" s="713"/>
      <c r="FCJ5" s="713"/>
      <c r="FCK5" s="713"/>
      <c r="FCL5" s="713"/>
      <c r="FCM5" s="713"/>
      <c r="FCN5" s="713"/>
      <c r="FCO5" s="713"/>
      <c r="FCP5" s="713"/>
      <c r="FCQ5" s="713"/>
      <c r="FCR5" s="713"/>
      <c r="FCS5" s="713"/>
      <c r="FCT5" s="713"/>
      <c r="FCU5" s="713"/>
      <c r="FCV5" s="713"/>
      <c r="FCW5" s="713"/>
      <c r="FCX5" s="713"/>
      <c r="FCY5" s="713"/>
      <c r="FCZ5" s="713"/>
      <c r="FDA5" s="713" t="s">
        <v>956</v>
      </c>
      <c r="FDB5" s="713"/>
      <c r="FDC5" s="713"/>
      <c r="FDD5" s="713"/>
      <c r="FDE5" s="713"/>
      <c r="FDF5" s="713"/>
      <c r="FDG5" s="713"/>
      <c r="FDH5" s="713"/>
      <c r="FDI5" s="713"/>
      <c r="FDJ5" s="713"/>
      <c r="FDK5" s="713"/>
      <c r="FDL5" s="713"/>
      <c r="FDM5" s="713"/>
      <c r="FDN5" s="713"/>
      <c r="FDO5" s="713"/>
      <c r="FDP5" s="713"/>
      <c r="FDQ5" s="713"/>
      <c r="FDR5" s="713"/>
      <c r="FDS5" s="713"/>
      <c r="FDT5" s="713"/>
      <c r="FDU5" s="713"/>
      <c r="FDV5" s="713"/>
      <c r="FDW5" s="713"/>
      <c r="FDX5" s="713"/>
      <c r="FDY5" s="713"/>
      <c r="FDZ5" s="713"/>
      <c r="FEA5" s="713"/>
      <c r="FEB5" s="713"/>
      <c r="FEC5" s="713"/>
      <c r="FED5" s="713"/>
      <c r="FEE5" s="713"/>
      <c r="FEF5" s="713"/>
      <c r="FEG5" s="713" t="s">
        <v>956</v>
      </c>
      <c r="FEH5" s="713"/>
      <c r="FEI5" s="713"/>
      <c r="FEJ5" s="713"/>
      <c r="FEK5" s="713"/>
      <c r="FEL5" s="713"/>
      <c r="FEM5" s="713"/>
      <c r="FEN5" s="713"/>
      <c r="FEO5" s="713"/>
      <c r="FEP5" s="713"/>
      <c r="FEQ5" s="713"/>
      <c r="FER5" s="713"/>
      <c r="FES5" s="713"/>
      <c r="FET5" s="713"/>
      <c r="FEU5" s="713"/>
      <c r="FEV5" s="713"/>
      <c r="FEW5" s="713"/>
      <c r="FEX5" s="713"/>
      <c r="FEY5" s="713"/>
      <c r="FEZ5" s="713"/>
      <c r="FFA5" s="713"/>
      <c r="FFB5" s="713"/>
      <c r="FFC5" s="713"/>
      <c r="FFD5" s="713"/>
      <c r="FFE5" s="713"/>
      <c r="FFF5" s="713"/>
      <c r="FFG5" s="713"/>
      <c r="FFH5" s="713"/>
      <c r="FFI5" s="713"/>
      <c r="FFJ5" s="713"/>
      <c r="FFK5" s="713"/>
      <c r="FFL5" s="713"/>
      <c r="FFM5" s="713" t="s">
        <v>956</v>
      </c>
      <c r="FFN5" s="713"/>
      <c r="FFO5" s="713"/>
      <c r="FFP5" s="713"/>
      <c r="FFQ5" s="713"/>
      <c r="FFR5" s="713"/>
      <c r="FFS5" s="713"/>
      <c r="FFT5" s="713"/>
      <c r="FFU5" s="713"/>
      <c r="FFV5" s="713"/>
      <c r="FFW5" s="713"/>
      <c r="FFX5" s="713"/>
      <c r="FFY5" s="713"/>
      <c r="FFZ5" s="713"/>
      <c r="FGA5" s="713"/>
      <c r="FGB5" s="713"/>
      <c r="FGC5" s="713"/>
      <c r="FGD5" s="713"/>
      <c r="FGE5" s="713"/>
      <c r="FGF5" s="713"/>
      <c r="FGG5" s="713"/>
      <c r="FGH5" s="713"/>
      <c r="FGI5" s="713"/>
      <c r="FGJ5" s="713"/>
      <c r="FGK5" s="713"/>
      <c r="FGL5" s="713"/>
      <c r="FGM5" s="713"/>
      <c r="FGN5" s="713"/>
      <c r="FGO5" s="713"/>
      <c r="FGP5" s="713"/>
      <c r="FGQ5" s="713"/>
      <c r="FGR5" s="713"/>
      <c r="FGS5" s="713" t="s">
        <v>956</v>
      </c>
      <c r="FGT5" s="713"/>
      <c r="FGU5" s="713"/>
      <c r="FGV5" s="713"/>
      <c r="FGW5" s="713"/>
      <c r="FGX5" s="713"/>
      <c r="FGY5" s="713"/>
      <c r="FGZ5" s="713"/>
      <c r="FHA5" s="713"/>
      <c r="FHB5" s="713"/>
      <c r="FHC5" s="713"/>
      <c r="FHD5" s="713"/>
      <c r="FHE5" s="713"/>
      <c r="FHF5" s="713"/>
      <c r="FHG5" s="713"/>
      <c r="FHH5" s="713"/>
      <c r="FHI5" s="713"/>
      <c r="FHJ5" s="713"/>
      <c r="FHK5" s="713"/>
      <c r="FHL5" s="713"/>
      <c r="FHM5" s="713"/>
      <c r="FHN5" s="713"/>
      <c r="FHO5" s="713"/>
      <c r="FHP5" s="713"/>
      <c r="FHQ5" s="713"/>
      <c r="FHR5" s="713"/>
      <c r="FHS5" s="713"/>
      <c r="FHT5" s="713"/>
      <c r="FHU5" s="713"/>
      <c r="FHV5" s="713"/>
      <c r="FHW5" s="713"/>
      <c r="FHX5" s="713"/>
      <c r="FHY5" s="713" t="s">
        <v>956</v>
      </c>
      <c r="FHZ5" s="713"/>
      <c r="FIA5" s="713"/>
      <c r="FIB5" s="713"/>
      <c r="FIC5" s="713"/>
      <c r="FID5" s="713"/>
      <c r="FIE5" s="713"/>
      <c r="FIF5" s="713"/>
      <c r="FIG5" s="713"/>
      <c r="FIH5" s="713"/>
      <c r="FII5" s="713"/>
      <c r="FIJ5" s="713"/>
      <c r="FIK5" s="713"/>
      <c r="FIL5" s="713"/>
      <c r="FIM5" s="713"/>
      <c r="FIN5" s="713"/>
      <c r="FIO5" s="713"/>
      <c r="FIP5" s="713"/>
      <c r="FIQ5" s="713"/>
      <c r="FIR5" s="713"/>
      <c r="FIS5" s="713"/>
      <c r="FIT5" s="713"/>
      <c r="FIU5" s="713"/>
      <c r="FIV5" s="713"/>
      <c r="FIW5" s="713"/>
      <c r="FIX5" s="713"/>
      <c r="FIY5" s="713"/>
      <c r="FIZ5" s="713"/>
      <c r="FJA5" s="713"/>
      <c r="FJB5" s="713"/>
      <c r="FJC5" s="713"/>
      <c r="FJD5" s="713"/>
      <c r="FJE5" s="713" t="s">
        <v>956</v>
      </c>
      <c r="FJF5" s="713"/>
      <c r="FJG5" s="713"/>
      <c r="FJH5" s="713"/>
      <c r="FJI5" s="713"/>
      <c r="FJJ5" s="713"/>
      <c r="FJK5" s="713"/>
      <c r="FJL5" s="713"/>
      <c r="FJM5" s="713"/>
      <c r="FJN5" s="713"/>
      <c r="FJO5" s="713"/>
      <c r="FJP5" s="713"/>
      <c r="FJQ5" s="713"/>
      <c r="FJR5" s="713"/>
      <c r="FJS5" s="713"/>
      <c r="FJT5" s="713"/>
      <c r="FJU5" s="713"/>
      <c r="FJV5" s="713"/>
      <c r="FJW5" s="713"/>
      <c r="FJX5" s="713"/>
      <c r="FJY5" s="713"/>
      <c r="FJZ5" s="713"/>
      <c r="FKA5" s="713"/>
      <c r="FKB5" s="713"/>
      <c r="FKC5" s="713"/>
      <c r="FKD5" s="713"/>
      <c r="FKE5" s="713"/>
      <c r="FKF5" s="713"/>
      <c r="FKG5" s="713"/>
      <c r="FKH5" s="713"/>
      <c r="FKI5" s="713"/>
      <c r="FKJ5" s="713"/>
      <c r="FKK5" s="713" t="s">
        <v>956</v>
      </c>
      <c r="FKL5" s="713"/>
      <c r="FKM5" s="713"/>
      <c r="FKN5" s="713"/>
      <c r="FKO5" s="713"/>
      <c r="FKP5" s="713"/>
      <c r="FKQ5" s="713"/>
      <c r="FKR5" s="713"/>
      <c r="FKS5" s="713"/>
      <c r="FKT5" s="713"/>
      <c r="FKU5" s="713"/>
      <c r="FKV5" s="713"/>
      <c r="FKW5" s="713"/>
      <c r="FKX5" s="713"/>
      <c r="FKY5" s="713"/>
      <c r="FKZ5" s="713"/>
      <c r="FLA5" s="713"/>
      <c r="FLB5" s="713"/>
      <c r="FLC5" s="713"/>
      <c r="FLD5" s="713"/>
      <c r="FLE5" s="713"/>
      <c r="FLF5" s="713"/>
      <c r="FLG5" s="713"/>
      <c r="FLH5" s="713"/>
      <c r="FLI5" s="713"/>
      <c r="FLJ5" s="713"/>
      <c r="FLK5" s="713"/>
      <c r="FLL5" s="713"/>
      <c r="FLM5" s="713"/>
      <c r="FLN5" s="713"/>
      <c r="FLO5" s="713"/>
      <c r="FLP5" s="713"/>
      <c r="FLQ5" s="713" t="s">
        <v>956</v>
      </c>
      <c r="FLR5" s="713"/>
      <c r="FLS5" s="713"/>
      <c r="FLT5" s="713"/>
      <c r="FLU5" s="713"/>
      <c r="FLV5" s="713"/>
      <c r="FLW5" s="713"/>
      <c r="FLX5" s="713"/>
      <c r="FLY5" s="713"/>
      <c r="FLZ5" s="713"/>
      <c r="FMA5" s="713"/>
      <c r="FMB5" s="713"/>
      <c r="FMC5" s="713"/>
      <c r="FMD5" s="713"/>
      <c r="FME5" s="713"/>
      <c r="FMF5" s="713"/>
      <c r="FMG5" s="713"/>
      <c r="FMH5" s="713"/>
      <c r="FMI5" s="713"/>
      <c r="FMJ5" s="713"/>
      <c r="FMK5" s="713"/>
      <c r="FML5" s="713"/>
      <c r="FMM5" s="713"/>
      <c r="FMN5" s="713"/>
      <c r="FMO5" s="713"/>
      <c r="FMP5" s="713"/>
      <c r="FMQ5" s="713"/>
      <c r="FMR5" s="713"/>
      <c r="FMS5" s="713"/>
      <c r="FMT5" s="713"/>
      <c r="FMU5" s="713"/>
      <c r="FMV5" s="713"/>
      <c r="FMW5" s="713" t="s">
        <v>956</v>
      </c>
      <c r="FMX5" s="713"/>
      <c r="FMY5" s="713"/>
      <c r="FMZ5" s="713"/>
      <c r="FNA5" s="713"/>
      <c r="FNB5" s="713"/>
      <c r="FNC5" s="713"/>
      <c r="FND5" s="713"/>
      <c r="FNE5" s="713"/>
      <c r="FNF5" s="713"/>
      <c r="FNG5" s="713"/>
      <c r="FNH5" s="713"/>
      <c r="FNI5" s="713"/>
      <c r="FNJ5" s="713"/>
      <c r="FNK5" s="713"/>
      <c r="FNL5" s="713"/>
      <c r="FNM5" s="713"/>
      <c r="FNN5" s="713"/>
      <c r="FNO5" s="713"/>
      <c r="FNP5" s="713"/>
      <c r="FNQ5" s="713"/>
      <c r="FNR5" s="713"/>
      <c r="FNS5" s="713"/>
      <c r="FNT5" s="713"/>
      <c r="FNU5" s="713"/>
      <c r="FNV5" s="713"/>
      <c r="FNW5" s="713"/>
      <c r="FNX5" s="713"/>
      <c r="FNY5" s="713"/>
      <c r="FNZ5" s="713"/>
      <c r="FOA5" s="713"/>
      <c r="FOB5" s="713"/>
      <c r="FOC5" s="713" t="s">
        <v>956</v>
      </c>
      <c r="FOD5" s="713"/>
      <c r="FOE5" s="713"/>
      <c r="FOF5" s="713"/>
      <c r="FOG5" s="713"/>
      <c r="FOH5" s="713"/>
      <c r="FOI5" s="713"/>
      <c r="FOJ5" s="713"/>
      <c r="FOK5" s="713"/>
      <c r="FOL5" s="713"/>
      <c r="FOM5" s="713"/>
      <c r="FON5" s="713"/>
      <c r="FOO5" s="713"/>
      <c r="FOP5" s="713"/>
      <c r="FOQ5" s="713"/>
      <c r="FOR5" s="713"/>
      <c r="FOS5" s="713"/>
      <c r="FOT5" s="713"/>
      <c r="FOU5" s="713"/>
      <c r="FOV5" s="713"/>
      <c r="FOW5" s="713"/>
      <c r="FOX5" s="713"/>
      <c r="FOY5" s="713"/>
      <c r="FOZ5" s="713"/>
      <c r="FPA5" s="713"/>
      <c r="FPB5" s="713"/>
      <c r="FPC5" s="713"/>
      <c r="FPD5" s="713"/>
      <c r="FPE5" s="713"/>
      <c r="FPF5" s="713"/>
      <c r="FPG5" s="713"/>
      <c r="FPH5" s="713"/>
      <c r="FPI5" s="713" t="s">
        <v>956</v>
      </c>
      <c r="FPJ5" s="713"/>
      <c r="FPK5" s="713"/>
      <c r="FPL5" s="713"/>
      <c r="FPM5" s="713"/>
      <c r="FPN5" s="713"/>
      <c r="FPO5" s="713"/>
      <c r="FPP5" s="713"/>
      <c r="FPQ5" s="713"/>
      <c r="FPR5" s="713"/>
      <c r="FPS5" s="713"/>
      <c r="FPT5" s="713"/>
      <c r="FPU5" s="713"/>
      <c r="FPV5" s="713"/>
      <c r="FPW5" s="713"/>
      <c r="FPX5" s="713"/>
      <c r="FPY5" s="713"/>
      <c r="FPZ5" s="713"/>
      <c r="FQA5" s="713"/>
      <c r="FQB5" s="713"/>
      <c r="FQC5" s="713"/>
      <c r="FQD5" s="713"/>
      <c r="FQE5" s="713"/>
      <c r="FQF5" s="713"/>
      <c r="FQG5" s="713"/>
      <c r="FQH5" s="713"/>
      <c r="FQI5" s="713"/>
      <c r="FQJ5" s="713"/>
      <c r="FQK5" s="713"/>
      <c r="FQL5" s="713"/>
      <c r="FQM5" s="713"/>
      <c r="FQN5" s="713"/>
      <c r="FQO5" s="713" t="s">
        <v>956</v>
      </c>
      <c r="FQP5" s="713"/>
      <c r="FQQ5" s="713"/>
      <c r="FQR5" s="713"/>
      <c r="FQS5" s="713"/>
      <c r="FQT5" s="713"/>
      <c r="FQU5" s="713"/>
      <c r="FQV5" s="713"/>
      <c r="FQW5" s="713"/>
      <c r="FQX5" s="713"/>
      <c r="FQY5" s="713"/>
      <c r="FQZ5" s="713"/>
      <c r="FRA5" s="713"/>
      <c r="FRB5" s="713"/>
      <c r="FRC5" s="713"/>
      <c r="FRD5" s="713"/>
      <c r="FRE5" s="713"/>
      <c r="FRF5" s="713"/>
      <c r="FRG5" s="713"/>
      <c r="FRH5" s="713"/>
      <c r="FRI5" s="713"/>
      <c r="FRJ5" s="713"/>
      <c r="FRK5" s="713"/>
      <c r="FRL5" s="713"/>
      <c r="FRM5" s="713"/>
      <c r="FRN5" s="713"/>
      <c r="FRO5" s="713"/>
      <c r="FRP5" s="713"/>
      <c r="FRQ5" s="713"/>
      <c r="FRR5" s="713"/>
      <c r="FRS5" s="713"/>
      <c r="FRT5" s="713"/>
      <c r="FRU5" s="713" t="s">
        <v>956</v>
      </c>
      <c r="FRV5" s="713"/>
      <c r="FRW5" s="713"/>
      <c r="FRX5" s="713"/>
      <c r="FRY5" s="713"/>
      <c r="FRZ5" s="713"/>
      <c r="FSA5" s="713"/>
      <c r="FSB5" s="713"/>
      <c r="FSC5" s="713"/>
      <c r="FSD5" s="713"/>
      <c r="FSE5" s="713"/>
      <c r="FSF5" s="713"/>
      <c r="FSG5" s="713"/>
      <c r="FSH5" s="713"/>
      <c r="FSI5" s="713"/>
      <c r="FSJ5" s="713"/>
      <c r="FSK5" s="713"/>
      <c r="FSL5" s="713"/>
      <c r="FSM5" s="713"/>
      <c r="FSN5" s="713"/>
      <c r="FSO5" s="713"/>
      <c r="FSP5" s="713"/>
      <c r="FSQ5" s="713"/>
      <c r="FSR5" s="713"/>
      <c r="FSS5" s="713"/>
      <c r="FST5" s="713"/>
      <c r="FSU5" s="713"/>
      <c r="FSV5" s="713"/>
      <c r="FSW5" s="713"/>
      <c r="FSX5" s="713"/>
      <c r="FSY5" s="713"/>
      <c r="FSZ5" s="713"/>
      <c r="FTA5" s="713" t="s">
        <v>956</v>
      </c>
      <c r="FTB5" s="713"/>
      <c r="FTC5" s="713"/>
      <c r="FTD5" s="713"/>
      <c r="FTE5" s="713"/>
      <c r="FTF5" s="713"/>
      <c r="FTG5" s="713"/>
      <c r="FTH5" s="713"/>
      <c r="FTI5" s="713"/>
      <c r="FTJ5" s="713"/>
      <c r="FTK5" s="713"/>
      <c r="FTL5" s="713"/>
      <c r="FTM5" s="713"/>
      <c r="FTN5" s="713"/>
      <c r="FTO5" s="713"/>
      <c r="FTP5" s="713"/>
      <c r="FTQ5" s="713"/>
      <c r="FTR5" s="713"/>
      <c r="FTS5" s="713"/>
      <c r="FTT5" s="713"/>
      <c r="FTU5" s="713"/>
      <c r="FTV5" s="713"/>
      <c r="FTW5" s="713"/>
      <c r="FTX5" s="713"/>
      <c r="FTY5" s="713"/>
      <c r="FTZ5" s="713"/>
      <c r="FUA5" s="713"/>
      <c r="FUB5" s="713"/>
      <c r="FUC5" s="713"/>
      <c r="FUD5" s="713"/>
      <c r="FUE5" s="713"/>
      <c r="FUF5" s="713"/>
      <c r="FUG5" s="713" t="s">
        <v>956</v>
      </c>
      <c r="FUH5" s="713"/>
      <c r="FUI5" s="713"/>
      <c r="FUJ5" s="713"/>
      <c r="FUK5" s="713"/>
      <c r="FUL5" s="713"/>
      <c r="FUM5" s="713"/>
      <c r="FUN5" s="713"/>
      <c r="FUO5" s="713"/>
      <c r="FUP5" s="713"/>
      <c r="FUQ5" s="713"/>
      <c r="FUR5" s="713"/>
      <c r="FUS5" s="713"/>
      <c r="FUT5" s="713"/>
      <c r="FUU5" s="713"/>
      <c r="FUV5" s="713"/>
      <c r="FUW5" s="713"/>
      <c r="FUX5" s="713"/>
      <c r="FUY5" s="713"/>
      <c r="FUZ5" s="713"/>
      <c r="FVA5" s="713"/>
      <c r="FVB5" s="713"/>
      <c r="FVC5" s="713"/>
      <c r="FVD5" s="713"/>
      <c r="FVE5" s="713"/>
      <c r="FVF5" s="713"/>
      <c r="FVG5" s="713"/>
      <c r="FVH5" s="713"/>
      <c r="FVI5" s="713"/>
      <c r="FVJ5" s="713"/>
      <c r="FVK5" s="713"/>
      <c r="FVL5" s="713"/>
      <c r="FVM5" s="713" t="s">
        <v>956</v>
      </c>
      <c r="FVN5" s="713"/>
      <c r="FVO5" s="713"/>
      <c r="FVP5" s="713"/>
      <c r="FVQ5" s="713"/>
      <c r="FVR5" s="713"/>
      <c r="FVS5" s="713"/>
      <c r="FVT5" s="713"/>
      <c r="FVU5" s="713"/>
      <c r="FVV5" s="713"/>
      <c r="FVW5" s="713"/>
      <c r="FVX5" s="713"/>
      <c r="FVY5" s="713"/>
      <c r="FVZ5" s="713"/>
      <c r="FWA5" s="713"/>
      <c r="FWB5" s="713"/>
      <c r="FWC5" s="713"/>
      <c r="FWD5" s="713"/>
      <c r="FWE5" s="713"/>
      <c r="FWF5" s="713"/>
      <c r="FWG5" s="713"/>
      <c r="FWH5" s="713"/>
      <c r="FWI5" s="713"/>
      <c r="FWJ5" s="713"/>
      <c r="FWK5" s="713"/>
      <c r="FWL5" s="713"/>
      <c r="FWM5" s="713"/>
      <c r="FWN5" s="713"/>
      <c r="FWO5" s="713"/>
      <c r="FWP5" s="713"/>
      <c r="FWQ5" s="713"/>
      <c r="FWR5" s="713"/>
      <c r="FWS5" s="713" t="s">
        <v>956</v>
      </c>
      <c r="FWT5" s="713"/>
      <c r="FWU5" s="713"/>
      <c r="FWV5" s="713"/>
      <c r="FWW5" s="713"/>
      <c r="FWX5" s="713"/>
      <c r="FWY5" s="713"/>
      <c r="FWZ5" s="713"/>
      <c r="FXA5" s="713"/>
      <c r="FXB5" s="713"/>
      <c r="FXC5" s="713"/>
      <c r="FXD5" s="713"/>
      <c r="FXE5" s="713"/>
      <c r="FXF5" s="713"/>
      <c r="FXG5" s="713"/>
      <c r="FXH5" s="713"/>
      <c r="FXI5" s="713"/>
      <c r="FXJ5" s="713"/>
      <c r="FXK5" s="713"/>
      <c r="FXL5" s="713"/>
      <c r="FXM5" s="713"/>
      <c r="FXN5" s="713"/>
      <c r="FXO5" s="713"/>
      <c r="FXP5" s="713"/>
      <c r="FXQ5" s="713"/>
      <c r="FXR5" s="713"/>
      <c r="FXS5" s="713"/>
      <c r="FXT5" s="713"/>
      <c r="FXU5" s="713"/>
      <c r="FXV5" s="713"/>
      <c r="FXW5" s="713"/>
      <c r="FXX5" s="713"/>
      <c r="FXY5" s="713" t="s">
        <v>956</v>
      </c>
      <c r="FXZ5" s="713"/>
      <c r="FYA5" s="713"/>
      <c r="FYB5" s="713"/>
      <c r="FYC5" s="713"/>
      <c r="FYD5" s="713"/>
      <c r="FYE5" s="713"/>
      <c r="FYF5" s="713"/>
      <c r="FYG5" s="713"/>
      <c r="FYH5" s="713"/>
      <c r="FYI5" s="713"/>
      <c r="FYJ5" s="713"/>
      <c r="FYK5" s="713"/>
      <c r="FYL5" s="713"/>
      <c r="FYM5" s="713"/>
      <c r="FYN5" s="713"/>
      <c r="FYO5" s="713"/>
      <c r="FYP5" s="713"/>
      <c r="FYQ5" s="713"/>
      <c r="FYR5" s="713"/>
      <c r="FYS5" s="713"/>
      <c r="FYT5" s="713"/>
      <c r="FYU5" s="713"/>
      <c r="FYV5" s="713"/>
      <c r="FYW5" s="713"/>
      <c r="FYX5" s="713"/>
      <c r="FYY5" s="713"/>
      <c r="FYZ5" s="713"/>
      <c r="FZA5" s="713"/>
      <c r="FZB5" s="713"/>
      <c r="FZC5" s="713"/>
      <c r="FZD5" s="713"/>
      <c r="FZE5" s="713" t="s">
        <v>956</v>
      </c>
      <c r="FZF5" s="713"/>
      <c r="FZG5" s="713"/>
      <c r="FZH5" s="713"/>
      <c r="FZI5" s="713"/>
      <c r="FZJ5" s="713"/>
      <c r="FZK5" s="713"/>
      <c r="FZL5" s="713"/>
      <c r="FZM5" s="713"/>
      <c r="FZN5" s="713"/>
      <c r="FZO5" s="713"/>
      <c r="FZP5" s="713"/>
      <c r="FZQ5" s="713"/>
      <c r="FZR5" s="713"/>
      <c r="FZS5" s="713"/>
      <c r="FZT5" s="713"/>
      <c r="FZU5" s="713"/>
      <c r="FZV5" s="713"/>
      <c r="FZW5" s="713"/>
      <c r="FZX5" s="713"/>
      <c r="FZY5" s="713"/>
      <c r="FZZ5" s="713"/>
      <c r="GAA5" s="713"/>
      <c r="GAB5" s="713"/>
      <c r="GAC5" s="713"/>
      <c r="GAD5" s="713"/>
      <c r="GAE5" s="713"/>
      <c r="GAF5" s="713"/>
      <c r="GAG5" s="713"/>
      <c r="GAH5" s="713"/>
      <c r="GAI5" s="713"/>
      <c r="GAJ5" s="713"/>
      <c r="GAK5" s="713" t="s">
        <v>956</v>
      </c>
      <c r="GAL5" s="713"/>
      <c r="GAM5" s="713"/>
      <c r="GAN5" s="713"/>
      <c r="GAO5" s="713"/>
      <c r="GAP5" s="713"/>
      <c r="GAQ5" s="713"/>
      <c r="GAR5" s="713"/>
      <c r="GAS5" s="713"/>
      <c r="GAT5" s="713"/>
      <c r="GAU5" s="713"/>
      <c r="GAV5" s="713"/>
      <c r="GAW5" s="713"/>
      <c r="GAX5" s="713"/>
      <c r="GAY5" s="713"/>
      <c r="GAZ5" s="713"/>
      <c r="GBA5" s="713"/>
      <c r="GBB5" s="713"/>
      <c r="GBC5" s="713"/>
      <c r="GBD5" s="713"/>
      <c r="GBE5" s="713"/>
      <c r="GBF5" s="713"/>
      <c r="GBG5" s="713"/>
      <c r="GBH5" s="713"/>
      <c r="GBI5" s="713"/>
      <c r="GBJ5" s="713"/>
      <c r="GBK5" s="713"/>
      <c r="GBL5" s="713"/>
      <c r="GBM5" s="713"/>
      <c r="GBN5" s="713"/>
      <c r="GBO5" s="713"/>
      <c r="GBP5" s="713"/>
      <c r="GBQ5" s="713" t="s">
        <v>956</v>
      </c>
      <c r="GBR5" s="713"/>
      <c r="GBS5" s="713"/>
      <c r="GBT5" s="713"/>
      <c r="GBU5" s="713"/>
      <c r="GBV5" s="713"/>
      <c r="GBW5" s="713"/>
      <c r="GBX5" s="713"/>
      <c r="GBY5" s="713"/>
      <c r="GBZ5" s="713"/>
      <c r="GCA5" s="713"/>
      <c r="GCB5" s="713"/>
      <c r="GCC5" s="713"/>
      <c r="GCD5" s="713"/>
      <c r="GCE5" s="713"/>
      <c r="GCF5" s="713"/>
      <c r="GCG5" s="713"/>
      <c r="GCH5" s="713"/>
      <c r="GCI5" s="713"/>
      <c r="GCJ5" s="713"/>
      <c r="GCK5" s="713"/>
      <c r="GCL5" s="713"/>
      <c r="GCM5" s="713"/>
      <c r="GCN5" s="713"/>
      <c r="GCO5" s="713"/>
      <c r="GCP5" s="713"/>
      <c r="GCQ5" s="713"/>
      <c r="GCR5" s="713"/>
      <c r="GCS5" s="713"/>
      <c r="GCT5" s="713"/>
      <c r="GCU5" s="713"/>
      <c r="GCV5" s="713"/>
      <c r="GCW5" s="713" t="s">
        <v>956</v>
      </c>
      <c r="GCX5" s="713"/>
      <c r="GCY5" s="713"/>
      <c r="GCZ5" s="713"/>
      <c r="GDA5" s="713"/>
      <c r="GDB5" s="713"/>
      <c r="GDC5" s="713"/>
      <c r="GDD5" s="713"/>
      <c r="GDE5" s="713"/>
      <c r="GDF5" s="713"/>
      <c r="GDG5" s="713"/>
      <c r="GDH5" s="713"/>
      <c r="GDI5" s="713"/>
      <c r="GDJ5" s="713"/>
      <c r="GDK5" s="713"/>
      <c r="GDL5" s="713"/>
      <c r="GDM5" s="713"/>
      <c r="GDN5" s="713"/>
      <c r="GDO5" s="713"/>
      <c r="GDP5" s="713"/>
      <c r="GDQ5" s="713"/>
      <c r="GDR5" s="713"/>
      <c r="GDS5" s="713"/>
      <c r="GDT5" s="713"/>
      <c r="GDU5" s="713"/>
      <c r="GDV5" s="713"/>
      <c r="GDW5" s="713"/>
      <c r="GDX5" s="713"/>
      <c r="GDY5" s="713"/>
      <c r="GDZ5" s="713"/>
      <c r="GEA5" s="713"/>
      <c r="GEB5" s="713"/>
      <c r="GEC5" s="713" t="s">
        <v>956</v>
      </c>
      <c r="GED5" s="713"/>
      <c r="GEE5" s="713"/>
      <c r="GEF5" s="713"/>
      <c r="GEG5" s="713"/>
      <c r="GEH5" s="713"/>
      <c r="GEI5" s="713"/>
      <c r="GEJ5" s="713"/>
      <c r="GEK5" s="713"/>
      <c r="GEL5" s="713"/>
      <c r="GEM5" s="713"/>
      <c r="GEN5" s="713"/>
      <c r="GEO5" s="713"/>
      <c r="GEP5" s="713"/>
      <c r="GEQ5" s="713"/>
      <c r="GER5" s="713"/>
      <c r="GES5" s="713"/>
      <c r="GET5" s="713"/>
      <c r="GEU5" s="713"/>
      <c r="GEV5" s="713"/>
      <c r="GEW5" s="713"/>
      <c r="GEX5" s="713"/>
      <c r="GEY5" s="713"/>
      <c r="GEZ5" s="713"/>
      <c r="GFA5" s="713"/>
      <c r="GFB5" s="713"/>
      <c r="GFC5" s="713"/>
      <c r="GFD5" s="713"/>
      <c r="GFE5" s="713"/>
      <c r="GFF5" s="713"/>
      <c r="GFG5" s="713"/>
      <c r="GFH5" s="713"/>
      <c r="GFI5" s="713" t="s">
        <v>956</v>
      </c>
      <c r="GFJ5" s="713"/>
      <c r="GFK5" s="713"/>
      <c r="GFL5" s="713"/>
      <c r="GFM5" s="713"/>
      <c r="GFN5" s="713"/>
      <c r="GFO5" s="713"/>
      <c r="GFP5" s="713"/>
      <c r="GFQ5" s="713"/>
      <c r="GFR5" s="713"/>
      <c r="GFS5" s="713"/>
      <c r="GFT5" s="713"/>
      <c r="GFU5" s="713"/>
      <c r="GFV5" s="713"/>
      <c r="GFW5" s="713"/>
      <c r="GFX5" s="713"/>
      <c r="GFY5" s="713"/>
      <c r="GFZ5" s="713"/>
      <c r="GGA5" s="713"/>
      <c r="GGB5" s="713"/>
      <c r="GGC5" s="713"/>
      <c r="GGD5" s="713"/>
      <c r="GGE5" s="713"/>
      <c r="GGF5" s="713"/>
      <c r="GGG5" s="713"/>
      <c r="GGH5" s="713"/>
      <c r="GGI5" s="713"/>
      <c r="GGJ5" s="713"/>
      <c r="GGK5" s="713"/>
      <c r="GGL5" s="713"/>
      <c r="GGM5" s="713"/>
      <c r="GGN5" s="713"/>
      <c r="GGO5" s="713" t="s">
        <v>956</v>
      </c>
      <c r="GGP5" s="713"/>
      <c r="GGQ5" s="713"/>
      <c r="GGR5" s="713"/>
      <c r="GGS5" s="713"/>
      <c r="GGT5" s="713"/>
      <c r="GGU5" s="713"/>
      <c r="GGV5" s="713"/>
      <c r="GGW5" s="713"/>
      <c r="GGX5" s="713"/>
      <c r="GGY5" s="713"/>
      <c r="GGZ5" s="713"/>
      <c r="GHA5" s="713"/>
      <c r="GHB5" s="713"/>
      <c r="GHC5" s="713"/>
      <c r="GHD5" s="713"/>
      <c r="GHE5" s="713"/>
      <c r="GHF5" s="713"/>
      <c r="GHG5" s="713"/>
      <c r="GHH5" s="713"/>
      <c r="GHI5" s="713"/>
      <c r="GHJ5" s="713"/>
      <c r="GHK5" s="713"/>
      <c r="GHL5" s="713"/>
      <c r="GHM5" s="713"/>
      <c r="GHN5" s="713"/>
      <c r="GHO5" s="713"/>
      <c r="GHP5" s="713"/>
      <c r="GHQ5" s="713"/>
      <c r="GHR5" s="713"/>
      <c r="GHS5" s="713"/>
      <c r="GHT5" s="713"/>
      <c r="GHU5" s="713" t="s">
        <v>956</v>
      </c>
      <c r="GHV5" s="713"/>
      <c r="GHW5" s="713"/>
      <c r="GHX5" s="713"/>
      <c r="GHY5" s="713"/>
      <c r="GHZ5" s="713"/>
      <c r="GIA5" s="713"/>
      <c r="GIB5" s="713"/>
      <c r="GIC5" s="713"/>
      <c r="GID5" s="713"/>
      <c r="GIE5" s="713"/>
      <c r="GIF5" s="713"/>
      <c r="GIG5" s="713"/>
      <c r="GIH5" s="713"/>
      <c r="GII5" s="713"/>
      <c r="GIJ5" s="713"/>
      <c r="GIK5" s="713"/>
      <c r="GIL5" s="713"/>
      <c r="GIM5" s="713"/>
      <c r="GIN5" s="713"/>
      <c r="GIO5" s="713"/>
      <c r="GIP5" s="713"/>
      <c r="GIQ5" s="713"/>
      <c r="GIR5" s="713"/>
      <c r="GIS5" s="713"/>
      <c r="GIT5" s="713"/>
      <c r="GIU5" s="713"/>
      <c r="GIV5" s="713"/>
      <c r="GIW5" s="713"/>
      <c r="GIX5" s="713"/>
      <c r="GIY5" s="713"/>
      <c r="GIZ5" s="713"/>
      <c r="GJA5" s="713" t="s">
        <v>956</v>
      </c>
      <c r="GJB5" s="713"/>
      <c r="GJC5" s="713"/>
      <c r="GJD5" s="713"/>
      <c r="GJE5" s="713"/>
      <c r="GJF5" s="713"/>
      <c r="GJG5" s="713"/>
      <c r="GJH5" s="713"/>
      <c r="GJI5" s="713"/>
      <c r="GJJ5" s="713"/>
      <c r="GJK5" s="713"/>
      <c r="GJL5" s="713"/>
      <c r="GJM5" s="713"/>
      <c r="GJN5" s="713"/>
      <c r="GJO5" s="713"/>
      <c r="GJP5" s="713"/>
      <c r="GJQ5" s="713"/>
      <c r="GJR5" s="713"/>
      <c r="GJS5" s="713"/>
      <c r="GJT5" s="713"/>
      <c r="GJU5" s="713"/>
      <c r="GJV5" s="713"/>
      <c r="GJW5" s="713"/>
      <c r="GJX5" s="713"/>
      <c r="GJY5" s="713"/>
      <c r="GJZ5" s="713"/>
      <c r="GKA5" s="713"/>
      <c r="GKB5" s="713"/>
      <c r="GKC5" s="713"/>
      <c r="GKD5" s="713"/>
      <c r="GKE5" s="713"/>
      <c r="GKF5" s="713"/>
      <c r="GKG5" s="713" t="s">
        <v>956</v>
      </c>
      <c r="GKH5" s="713"/>
      <c r="GKI5" s="713"/>
      <c r="GKJ5" s="713"/>
      <c r="GKK5" s="713"/>
      <c r="GKL5" s="713"/>
      <c r="GKM5" s="713"/>
      <c r="GKN5" s="713"/>
      <c r="GKO5" s="713"/>
      <c r="GKP5" s="713"/>
      <c r="GKQ5" s="713"/>
      <c r="GKR5" s="713"/>
      <c r="GKS5" s="713"/>
      <c r="GKT5" s="713"/>
      <c r="GKU5" s="713"/>
      <c r="GKV5" s="713"/>
      <c r="GKW5" s="713"/>
      <c r="GKX5" s="713"/>
      <c r="GKY5" s="713"/>
      <c r="GKZ5" s="713"/>
      <c r="GLA5" s="713"/>
      <c r="GLB5" s="713"/>
      <c r="GLC5" s="713"/>
      <c r="GLD5" s="713"/>
      <c r="GLE5" s="713"/>
      <c r="GLF5" s="713"/>
      <c r="GLG5" s="713"/>
      <c r="GLH5" s="713"/>
      <c r="GLI5" s="713"/>
      <c r="GLJ5" s="713"/>
      <c r="GLK5" s="713"/>
      <c r="GLL5" s="713"/>
      <c r="GLM5" s="713" t="s">
        <v>956</v>
      </c>
      <c r="GLN5" s="713"/>
      <c r="GLO5" s="713"/>
      <c r="GLP5" s="713"/>
      <c r="GLQ5" s="713"/>
      <c r="GLR5" s="713"/>
      <c r="GLS5" s="713"/>
      <c r="GLT5" s="713"/>
      <c r="GLU5" s="713"/>
      <c r="GLV5" s="713"/>
      <c r="GLW5" s="713"/>
      <c r="GLX5" s="713"/>
      <c r="GLY5" s="713"/>
      <c r="GLZ5" s="713"/>
      <c r="GMA5" s="713"/>
      <c r="GMB5" s="713"/>
      <c r="GMC5" s="713"/>
      <c r="GMD5" s="713"/>
      <c r="GME5" s="713"/>
      <c r="GMF5" s="713"/>
      <c r="GMG5" s="713"/>
      <c r="GMH5" s="713"/>
      <c r="GMI5" s="713"/>
      <c r="GMJ5" s="713"/>
      <c r="GMK5" s="713"/>
      <c r="GML5" s="713"/>
      <c r="GMM5" s="713"/>
      <c r="GMN5" s="713"/>
      <c r="GMO5" s="713"/>
      <c r="GMP5" s="713"/>
      <c r="GMQ5" s="713"/>
      <c r="GMR5" s="713"/>
      <c r="GMS5" s="713" t="s">
        <v>956</v>
      </c>
      <c r="GMT5" s="713"/>
      <c r="GMU5" s="713"/>
      <c r="GMV5" s="713"/>
      <c r="GMW5" s="713"/>
      <c r="GMX5" s="713"/>
      <c r="GMY5" s="713"/>
      <c r="GMZ5" s="713"/>
      <c r="GNA5" s="713"/>
      <c r="GNB5" s="713"/>
      <c r="GNC5" s="713"/>
      <c r="GND5" s="713"/>
      <c r="GNE5" s="713"/>
      <c r="GNF5" s="713"/>
      <c r="GNG5" s="713"/>
      <c r="GNH5" s="713"/>
      <c r="GNI5" s="713"/>
      <c r="GNJ5" s="713"/>
      <c r="GNK5" s="713"/>
      <c r="GNL5" s="713"/>
      <c r="GNM5" s="713"/>
      <c r="GNN5" s="713"/>
      <c r="GNO5" s="713"/>
      <c r="GNP5" s="713"/>
      <c r="GNQ5" s="713"/>
      <c r="GNR5" s="713"/>
      <c r="GNS5" s="713"/>
      <c r="GNT5" s="713"/>
      <c r="GNU5" s="713"/>
      <c r="GNV5" s="713"/>
      <c r="GNW5" s="713"/>
      <c r="GNX5" s="713"/>
      <c r="GNY5" s="713" t="s">
        <v>956</v>
      </c>
      <c r="GNZ5" s="713"/>
      <c r="GOA5" s="713"/>
      <c r="GOB5" s="713"/>
      <c r="GOC5" s="713"/>
      <c r="GOD5" s="713"/>
      <c r="GOE5" s="713"/>
      <c r="GOF5" s="713"/>
      <c r="GOG5" s="713"/>
      <c r="GOH5" s="713"/>
      <c r="GOI5" s="713"/>
      <c r="GOJ5" s="713"/>
      <c r="GOK5" s="713"/>
      <c r="GOL5" s="713"/>
      <c r="GOM5" s="713"/>
      <c r="GON5" s="713"/>
      <c r="GOO5" s="713"/>
      <c r="GOP5" s="713"/>
      <c r="GOQ5" s="713"/>
      <c r="GOR5" s="713"/>
      <c r="GOS5" s="713"/>
      <c r="GOT5" s="713"/>
      <c r="GOU5" s="713"/>
      <c r="GOV5" s="713"/>
      <c r="GOW5" s="713"/>
      <c r="GOX5" s="713"/>
      <c r="GOY5" s="713"/>
      <c r="GOZ5" s="713"/>
      <c r="GPA5" s="713"/>
      <c r="GPB5" s="713"/>
      <c r="GPC5" s="713"/>
      <c r="GPD5" s="713"/>
      <c r="GPE5" s="713" t="s">
        <v>956</v>
      </c>
      <c r="GPF5" s="713"/>
      <c r="GPG5" s="713"/>
      <c r="GPH5" s="713"/>
      <c r="GPI5" s="713"/>
      <c r="GPJ5" s="713"/>
      <c r="GPK5" s="713"/>
      <c r="GPL5" s="713"/>
      <c r="GPM5" s="713"/>
      <c r="GPN5" s="713"/>
      <c r="GPO5" s="713"/>
      <c r="GPP5" s="713"/>
      <c r="GPQ5" s="713"/>
      <c r="GPR5" s="713"/>
      <c r="GPS5" s="713"/>
      <c r="GPT5" s="713"/>
      <c r="GPU5" s="713"/>
      <c r="GPV5" s="713"/>
      <c r="GPW5" s="713"/>
      <c r="GPX5" s="713"/>
      <c r="GPY5" s="713"/>
      <c r="GPZ5" s="713"/>
      <c r="GQA5" s="713"/>
      <c r="GQB5" s="713"/>
      <c r="GQC5" s="713"/>
      <c r="GQD5" s="713"/>
      <c r="GQE5" s="713"/>
      <c r="GQF5" s="713"/>
      <c r="GQG5" s="713"/>
      <c r="GQH5" s="713"/>
      <c r="GQI5" s="713"/>
      <c r="GQJ5" s="713"/>
      <c r="GQK5" s="713" t="s">
        <v>956</v>
      </c>
      <c r="GQL5" s="713"/>
      <c r="GQM5" s="713"/>
      <c r="GQN5" s="713"/>
      <c r="GQO5" s="713"/>
      <c r="GQP5" s="713"/>
      <c r="GQQ5" s="713"/>
      <c r="GQR5" s="713"/>
      <c r="GQS5" s="713"/>
      <c r="GQT5" s="713"/>
      <c r="GQU5" s="713"/>
      <c r="GQV5" s="713"/>
      <c r="GQW5" s="713"/>
      <c r="GQX5" s="713"/>
      <c r="GQY5" s="713"/>
      <c r="GQZ5" s="713"/>
      <c r="GRA5" s="713"/>
      <c r="GRB5" s="713"/>
      <c r="GRC5" s="713"/>
      <c r="GRD5" s="713"/>
      <c r="GRE5" s="713"/>
      <c r="GRF5" s="713"/>
      <c r="GRG5" s="713"/>
      <c r="GRH5" s="713"/>
      <c r="GRI5" s="713"/>
      <c r="GRJ5" s="713"/>
      <c r="GRK5" s="713"/>
      <c r="GRL5" s="713"/>
      <c r="GRM5" s="713"/>
      <c r="GRN5" s="713"/>
      <c r="GRO5" s="713"/>
      <c r="GRP5" s="713"/>
      <c r="GRQ5" s="713" t="s">
        <v>956</v>
      </c>
      <c r="GRR5" s="713"/>
      <c r="GRS5" s="713"/>
      <c r="GRT5" s="713"/>
      <c r="GRU5" s="713"/>
      <c r="GRV5" s="713"/>
      <c r="GRW5" s="713"/>
      <c r="GRX5" s="713"/>
      <c r="GRY5" s="713"/>
      <c r="GRZ5" s="713"/>
      <c r="GSA5" s="713"/>
      <c r="GSB5" s="713"/>
      <c r="GSC5" s="713"/>
      <c r="GSD5" s="713"/>
      <c r="GSE5" s="713"/>
      <c r="GSF5" s="713"/>
      <c r="GSG5" s="713"/>
      <c r="GSH5" s="713"/>
      <c r="GSI5" s="713"/>
      <c r="GSJ5" s="713"/>
      <c r="GSK5" s="713"/>
      <c r="GSL5" s="713"/>
      <c r="GSM5" s="713"/>
      <c r="GSN5" s="713"/>
      <c r="GSO5" s="713"/>
      <c r="GSP5" s="713"/>
      <c r="GSQ5" s="713"/>
      <c r="GSR5" s="713"/>
      <c r="GSS5" s="713"/>
      <c r="GST5" s="713"/>
      <c r="GSU5" s="713"/>
      <c r="GSV5" s="713"/>
      <c r="GSW5" s="713" t="s">
        <v>956</v>
      </c>
      <c r="GSX5" s="713"/>
      <c r="GSY5" s="713"/>
      <c r="GSZ5" s="713"/>
      <c r="GTA5" s="713"/>
      <c r="GTB5" s="713"/>
      <c r="GTC5" s="713"/>
      <c r="GTD5" s="713"/>
      <c r="GTE5" s="713"/>
      <c r="GTF5" s="713"/>
      <c r="GTG5" s="713"/>
      <c r="GTH5" s="713"/>
      <c r="GTI5" s="713"/>
      <c r="GTJ5" s="713"/>
      <c r="GTK5" s="713"/>
      <c r="GTL5" s="713"/>
      <c r="GTM5" s="713"/>
      <c r="GTN5" s="713"/>
      <c r="GTO5" s="713"/>
      <c r="GTP5" s="713"/>
      <c r="GTQ5" s="713"/>
      <c r="GTR5" s="713"/>
      <c r="GTS5" s="713"/>
      <c r="GTT5" s="713"/>
      <c r="GTU5" s="713"/>
      <c r="GTV5" s="713"/>
      <c r="GTW5" s="713"/>
      <c r="GTX5" s="713"/>
      <c r="GTY5" s="713"/>
      <c r="GTZ5" s="713"/>
      <c r="GUA5" s="713"/>
      <c r="GUB5" s="713"/>
      <c r="GUC5" s="713" t="s">
        <v>956</v>
      </c>
      <c r="GUD5" s="713"/>
      <c r="GUE5" s="713"/>
      <c r="GUF5" s="713"/>
      <c r="GUG5" s="713"/>
      <c r="GUH5" s="713"/>
      <c r="GUI5" s="713"/>
      <c r="GUJ5" s="713"/>
      <c r="GUK5" s="713"/>
      <c r="GUL5" s="713"/>
      <c r="GUM5" s="713"/>
      <c r="GUN5" s="713"/>
      <c r="GUO5" s="713"/>
      <c r="GUP5" s="713"/>
      <c r="GUQ5" s="713"/>
      <c r="GUR5" s="713"/>
      <c r="GUS5" s="713"/>
      <c r="GUT5" s="713"/>
      <c r="GUU5" s="713"/>
      <c r="GUV5" s="713"/>
      <c r="GUW5" s="713"/>
      <c r="GUX5" s="713"/>
      <c r="GUY5" s="713"/>
      <c r="GUZ5" s="713"/>
      <c r="GVA5" s="713"/>
      <c r="GVB5" s="713"/>
      <c r="GVC5" s="713"/>
      <c r="GVD5" s="713"/>
      <c r="GVE5" s="713"/>
      <c r="GVF5" s="713"/>
      <c r="GVG5" s="713"/>
      <c r="GVH5" s="713"/>
      <c r="GVI5" s="713" t="s">
        <v>956</v>
      </c>
      <c r="GVJ5" s="713"/>
      <c r="GVK5" s="713"/>
      <c r="GVL5" s="713"/>
      <c r="GVM5" s="713"/>
      <c r="GVN5" s="713"/>
      <c r="GVO5" s="713"/>
      <c r="GVP5" s="713"/>
      <c r="GVQ5" s="713"/>
      <c r="GVR5" s="713"/>
      <c r="GVS5" s="713"/>
      <c r="GVT5" s="713"/>
      <c r="GVU5" s="713"/>
      <c r="GVV5" s="713"/>
      <c r="GVW5" s="713"/>
      <c r="GVX5" s="713"/>
      <c r="GVY5" s="713"/>
      <c r="GVZ5" s="713"/>
      <c r="GWA5" s="713"/>
      <c r="GWB5" s="713"/>
      <c r="GWC5" s="713"/>
      <c r="GWD5" s="713"/>
      <c r="GWE5" s="713"/>
      <c r="GWF5" s="713"/>
      <c r="GWG5" s="713"/>
      <c r="GWH5" s="713"/>
      <c r="GWI5" s="713"/>
      <c r="GWJ5" s="713"/>
      <c r="GWK5" s="713"/>
      <c r="GWL5" s="713"/>
      <c r="GWM5" s="713"/>
      <c r="GWN5" s="713"/>
      <c r="GWO5" s="713" t="s">
        <v>956</v>
      </c>
      <c r="GWP5" s="713"/>
      <c r="GWQ5" s="713"/>
      <c r="GWR5" s="713"/>
      <c r="GWS5" s="713"/>
      <c r="GWT5" s="713"/>
      <c r="GWU5" s="713"/>
      <c r="GWV5" s="713"/>
      <c r="GWW5" s="713"/>
      <c r="GWX5" s="713"/>
      <c r="GWY5" s="713"/>
      <c r="GWZ5" s="713"/>
      <c r="GXA5" s="713"/>
      <c r="GXB5" s="713"/>
      <c r="GXC5" s="713"/>
      <c r="GXD5" s="713"/>
      <c r="GXE5" s="713"/>
      <c r="GXF5" s="713"/>
      <c r="GXG5" s="713"/>
      <c r="GXH5" s="713"/>
      <c r="GXI5" s="713"/>
      <c r="GXJ5" s="713"/>
      <c r="GXK5" s="713"/>
      <c r="GXL5" s="713"/>
      <c r="GXM5" s="713"/>
      <c r="GXN5" s="713"/>
      <c r="GXO5" s="713"/>
      <c r="GXP5" s="713"/>
      <c r="GXQ5" s="713"/>
      <c r="GXR5" s="713"/>
      <c r="GXS5" s="713"/>
      <c r="GXT5" s="713"/>
      <c r="GXU5" s="713" t="s">
        <v>956</v>
      </c>
      <c r="GXV5" s="713"/>
      <c r="GXW5" s="713"/>
      <c r="GXX5" s="713"/>
      <c r="GXY5" s="713"/>
      <c r="GXZ5" s="713"/>
      <c r="GYA5" s="713"/>
      <c r="GYB5" s="713"/>
      <c r="GYC5" s="713"/>
      <c r="GYD5" s="713"/>
      <c r="GYE5" s="713"/>
      <c r="GYF5" s="713"/>
      <c r="GYG5" s="713"/>
      <c r="GYH5" s="713"/>
      <c r="GYI5" s="713"/>
      <c r="GYJ5" s="713"/>
      <c r="GYK5" s="713"/>
      <c r="GYL5" s="713"/>
      <c r="GYM5" s="713"/>
      <c r="GYN5" s="713"/>
      <c r="GYO5" s="713"/>
      <c r="GYP5" s="713"/>
      <c r="GYQ5" s="713"/>
      <c r="GYR5" s="713"/>
      <c r="GYS5" s="713"/>
      <c r="GYT5" s="713"/>
      <c r="GYU5" s="713"/>
      <c r="GYV5" s="713"/>
      <c r="GYW5" s="713"/>
      <c r="GYX5" s="713"/>
      <c r="GYY5" s="713"/>
      <c r="GYZ5" s="713"/>
      <c r="GZA5" s="713" t="s">
        <v>956</v>
      </c>
      <c r="GZB5" s="713"/>
      <c r="GZC5" s="713"/>
      <c r="GZD5" s="713"/>
      <c r="GZE5" s="713"/>
      <c r="GZF5" s="713"/>
      <c r="GZG5" s="713"/>
      <c r="GZH5" s="713"/>
      <c r="GZI5" s="713"/>
      <c r="GZJ5" s="713"/>
      <c r="GZK5" s="713"/>
      <c r="GZL5" s="713"/>
      <c r="GZM5" s="713"/>
      <c r="GZN5" s="713"/>
      <c r="GZO5" s="713"/>
      <c r="GZP5" s="713"/>
      <c r="GZQ5" s="713"/>
      <c r="GZR5" s="713"/>
      <c r="GZS5" s="713"/>
      <c r="GZT5" s="713"/>
      <c r="GZU5" s="713"/>
      <c r="GZV5" s="713"/>
      <c r="GZW5" s="713"/>
      <c r="GZX5" s="713"/>
      <c r="GZY5" s="713"/>
      <c r="GZZ5" s="713"/>
      <c r="HAA5" s="713"/>
      <c r="HAB5" s="713"/>
      <c r="HAC5" s="713"/>
      <c r="HAD5" s="713"/>
      <c r="HAE5" s="713"/>
      <c r="HAF5" s="713"/>
      <c r="HAG5" s="713" t="s">
        <v>956</v>
      </c>
      <c r="HAH5" s="713"/>
      <c r="HAI5" s="713"/>
      <c r="HAJ5" s="713"/>
      <c r="HAK5" s="713"/>
      <c r="HAL5" s="713"/>
      <c r="HAM5" s="713"/>
      <c r="HAN5" s="713"/>
      <c r="HAO5" s="713"/>
      <c r="HAP5" s="713"/>
      <c r="HAQ5" s="713"/>
      <c r="HAR5" s="713"/>
      <c r="HAS5" s="713"/>
      <c r="HAT5" s="713"/>
      <c r="HAU5" s="713"/>
      <c r="HAV5" s="713"/>
      <c r="HAW5" s="713"/>
      <c r="HAX5" s="713"/>
      <c r="HAY5" s="713"/>
      <c r="HAZ5" s="713"/>
      <c r="HBA5" s="713"/>
      <c r="HBB5" s="713"/>
      <c r="HBC5" s="713"/>
      <c r="HBD5" s="713"/>
      <c r="HBE5" s="713"/>
      <c r="HBF5" s="713"/>
      <c r="HBG5" s="713"/>
      <c r="HBH5" s="713"/>
      <c r="HBI5" s="713"/>
      <c r="HBJ5" s="713"/>
      <c r="HBK5" s="713"/>
      <c r="HBL5" s="713"/>
      <c r="HBM5" s="713" t="s">
        <v>956</v>
      </c>
      <c r="HBN5" s="713"/>
      <c r="HBO5" s="713"/>
      <c r="HBP5" s="713"/>
      <c r="HBQ5" s="713"/>
      <c r="HBR5" s="713"/>
      <c r="HBS5" s="713"/>
      <c r="HBT5" s="713"/>
      <c r="HBU5" s="713"/>
      <c r="HBV5" s="713"/>
      <c r="HBW5" s="713"/>
      <c r="HBX5" s="713"/>
      <c r="HBY5" s="713"/>
      <c r="HBZ5" s="713"/>
      <c r="HCA5" s="713"/>
      <c r="HCB5" s="713"/>
      <c r="HCC5" s="713"/>
      <c r="HCD5" s="713"/>
      <c r="HCE5" s="713"/>
      <c r="HCF5" s="713"/>
      <c r="HCG5" s="713"/>
      <c r="HCH5" s="713"/>
      <c r="HCI5" s="713"/>
      <c r="HCJ5" s="713"/>
      <c r="HCK5" s="713"/>
      <c r="HCL5" s="713"/>
      <c r="HCM5" s="713"/>
      <c r="HCN5" s="713"/>
      <c r="HCO5" s="713"/>
      <c r="HCP5" s="713"/>
      <c r="HCQ5" s="713"/>
      <c r="HCR5" s="713"/>
      <c r="HCS5" s="713" t="s">
        <v>956</v>
      </c>
      <c r="HCT5" s="713"/>
      <c r="HCU5" s="713"/>
      <c r="HCV5" s="713"/>
      <c r="HCW5" s="713"/>
      <c r="HCX5" s="713"/>
      <c r="HCY5" s="713"/>
      <c r="HCZ5" s="713"/>
      <c r="HDA5" s="713"/>
      <c r="HDB5" s="713"/>
      <c r="HDC5" s="713"/>
      <c r="HDD5" s="713"/>
      <c r="HDE5" s="713"/>
      <c r="HDF5" s="713"/>
      <c r="HDG5" s="713"/>
      <c r="HDH5" s="713"/>
      <c r="HDI5" s="713"/>
      <c r="HDJ5" s="713"/>
      <c r="HDK5" s="713"/>
      <c r="HDL5" s="713"/>
      <c r="HDM5" s="713"/>
      <c r="HDN5" s="713"/>
      <c r="HDO5" s="713"/>
      <c r="HDP5" s="713"/>
      <c r="HDQ5" s="713"/>
      <c r="HDR5" s="713"/>
      <c r="HDS5" s="713"/>
      <c r="HDT5" s="713"/>
      <c r="HDU5" s="713"/>
      <c r="HDV5" s="713"/>
      <c r="HDW5" s="713"/>
      <c r="HDX5" s="713"/>
      <c r="HDY5" s="713" t="s">
        <v>956</v>
      </c>
      <c r="HDZ5" s="713"/>
      <c r="HEA5" s="713"/>
      <c r="HEB5" s="713"/>
      <c r="HEC5" s="713"/>
      <c r="HED5" s="713"/>
      <c r="HEE5" s="713"/>
      <c r="HEF5" s="713"/>
      <c r="HEG5" s="713"/>
      <c r="HEH5" s="713"/>
      <c r="HEI5" s="713"/>
      <c r="HEJ5" s="713"/>
      <c r="HEK5" s="713"/>
      <c r="HEL5" s="713"/>
      <c r="HEM5" s="713"/>
      <c r="HEN5" s="713"/>
      <c r="HEO5" s="713"/>
      <c r="HEP5" s="713"/>
      <c r="HEQ5" s="713"/>
      <c r="HER5" s="713"/>
      <c r="HES5" s="713"/>
      <c r="HET5" s="713"/>
      <c r="HEU5" s="713"/>
      <c r="HEV5" s="713"/>
      <c r="HEW5" s="713"/>
      <c r="HEX5" s="713"/>
      <c r="HEY5" s="713"/>
      <c r="HEZ5" s="713"/>
      <c r="HFA5" s="713"/>
      <c r="HFB5" s="713"/>
      <c r="HFC5" s="713"/>
      <c r="HFD5" s="713"/>
      <c r="HFE5" s="713" t="s">
        <v>956</v>
      </c>
      <c r="HFF5" s="713"/>
      <c r="HFG5" s="713"/>
      <c r="HFH5" s="713"/>
      <c r="HFI5" s="713"/>
      <c r="HFJ5" s="713"/>
      <c r="HFK5" s="713"/>
      <c r="HFL5" s="713"/>
      <c r="HFM5" s="713"/>
      <c r="HFN5" s="713"/>
      <c r="HFO5" s="713"/>
      <c r="HFP5" s="713"/>
      <c r="HFQ5" s="713"/>
      <c r="HFR5" s="713"/>
      <c r="HFS5" s="713"/>
      <c r="HFT5" s="713"/>
      <c r="HFU5" s="713"/>
      <c r="HFV5" s="713"/>
      <c r="HFW5" s="713"/>
      <c r="HFX5" s="713"/>
      <c r="HFY5" s="713"/>
      <c r="HFZ5" s="713"/>
      <c r="HGA5" s="713"/>
      <c r="HGB5" s="713"/>
      <c r="HGC5" s="713"/>
      <c r="HGD5" s="713"/>
      <c r="HGE5" s="713"/>
      <c r="HGF5" s="713"/>
      <c r="HGG5" s="713"/>
      <c r="HGH5" s="713"/>
      <c r="HGI5" s="713"/>
      <c r="HGJ5" s="713"/>
      <c r="HGK5" s="713" t="s">
        <v>956</v>
      </c>
      <c r="HGL5" s="713"/>
      <c r="HGM5" s="713"/>
      <c r="HGN5" s="713"/>
      <c r="HGO5" s="713"/>
      <c r="HGP5" s="713"/>
      <c r="HGQ5" s="713"/>
      <c r="HGR5" s="713"/>
      <c r="HGS5" s="713"/>
      <c r="HGT5" s="713"/>
      <c r="HGU5" s="713"/>
      <c r="HGV5" s="713"/>
      <c r="HGW5" s="713"/>
      <c r="HGX5" s="713"/>
      <c r="HGY5" s="713"/>
      <c r="HGZ5" s="713"/>
      <c r="HHA5" s="713"/>
      <c r="HHB5" s="713"/>
      <c r="HHC5" s="713"/>
      <c r="HHD5" s="713"/>
      <c r="HHE5" s="713"/>
      <c r="HHF5" s="713"/>
      <c r="HHG5" s="713"/>
      <c r="HHH5" s="713"/>
      <c r="HHI5" s="713"/>
      <c r="HHJ5" s="713"/>
      <c r="HHK5" s="713"/>
      <c r="HHL5" s="713"/>
      <c r="HHM5" s="713"/>
      <c r="HHN5" s="713"/>
      <c r="HHO5" s="713"/>
      <c r="HHP5" s="713"/>
      <c r="HHQ5" s="713" t="s">
        <v>956</v>
      </c>
      <c r="HHR5" s="713"/>
      <c r="HHS5" s="713"/>
      <c r="HHT5" s="713"/>
      <c r="HHU5" s="713"/>
      <c r="HHV5" s="713"/>
      <c r="HHW5" s="713"/>
      <c r="HHX5" s="713"/>
      <c r="HHY5" s="713"/>
      <c r="HHZ5" s="713"/>
      <c r="HIA5" s="713"/>
      <c r="HIB5" s="713"/>
      <c r="HIC5" s="713"/>
      <c r="HID5" s="713"/>
      <c r="HIE5" s="713"/>
      <c r="HIF5" s="713"/>
      <c r="HIG5" s="713"/>
      <c r="HIH5" s="713"/>
      <c r="HII5" s="713"/>
      <c r="HIJ5" s="713"/>
      <c r="HIK5" s="713"/>
      <c r="HIL5" s="713"/>
      <c r="HIM5" s="713"/>
      <c r="HIN5" s="713"/>
      <c r="HIO5" s="713"/>
      <c r="HIP5" s="713"/>
      <c r="HIQ5" s="713"/>
      <c r="HIR5" s="713"/>
      <c r="HIS5" s="713"/>
      <c r="HIT5" s="713"/>
      <c r="HIU5" s="713"/>
      <c r="HIV5" s="713"/>
      <c r="HIW5" s="713" t="s">
        <v>956</v>
      </c>
      <c r="HIX5" s="713"/>
      <c r="HIY5" s="713"/>
      <c r="HIZ5" s="713"/>
      <c r="HJA5" s="713"/>
      <c r="HJB5" s="713"/>
      <c r="HJC5" s="713"/>
      <c r="HJD5" s="713"/>
      <c r="HJE5" s="713"/>
      <c r="HJF5" s="713"/>
      <c r="HJG5" s="713"/>
      <c r="HJH5" s="713"/>
      <c r="HJI5" s="713"/>
      <c r="HJJ5" s="713"/>
      <c r="HJK5" s="713"/>
      <c r="HJL5" s="713"/>
      <c r="HJM5" s="713"/>
      <c r="HJN5" s="713"/>
      <c r="HJO5" s="713"/>
      <c r="HJP5" s="713"/>
      <c r="HJQ5" s="713"/>
      <c r="HJR5" s="713"/>
      <c r="HJS5" s="713"/>
      <c r="HJT5" s="713"/>
      <c r="HJU5" s="713"/>
      <c r="HJV5" s="713"/>
      <c r="HJW5" s="713"/>
      <c r="HJX5" s="713"/>
      <c r="HJY5" s="713"/>
      <c r="HJZ5" s="713"/>
      <c r="HKA5" s="713"/>
      <c r="HKB5" s="713"/>
      <c r="HKC5" s="713" t="s">
        <v>956</v>
      </c>
      <c r="HKD5" s="713"/>
      <c r="HKE5" s="713"/>
      <c r="HKF5" s="713"/>
      <c r="HKG5" s="713"/>
      <c r="HKH5" s="713"/>
      <c r="HKI5" s="713"/>
      <c r="HKJ5" s="713"/>
      <c r="HKK5" s="713"/>
      <c r="HKL5" s="713"/>
      <c r="HKM5" s="713"/>
      <c r="HKN5" s="713"/>
      <c r="HKO5" s="713"/>
      <c r="HKP5" s="713"/>
      <c r="HKQ5" s="713"/>
      <c r="HKR5" s="713"/>
      <c r="HKS5" s="713"/>
      <c r="HKT5" s="713"/>
      <c r="HKU5" s="713"/>
      <c r="HKV5" s="713"/>
      <c r="HKW5" s="713"/>
      <c r="HKX5" s="713"/>
      <c r="HKY5" s="713"/>
      <c r="HKZ5" s="713"/>
      <c r="HLA5" s="713"/>
      <c r="HLB5" s="713"/>
      <c r="HLC5" s="713"/>
      <c r="HLD5" s="713"/>
      <c r="HLE5" s="713"/>
      <c r="HLF5" s="713"/>
      <c r="HLG5" s="713"/>
      <c r="HLH5" s="713"/>
      <c r="HLI5" s="713" t="s">
        <v>956</v>
      </c>
      <c r="HLJ5" s="713"/>
      <c r="HLK5" s="713"/>
      <c r="HLL5" s="713"/>
      <c r="HLM5" s="713"/>
      <c r="HLN5" s="713"/>
      <c r="HLO5" s="713"/>
      <c r="HLP5" s="713"/>
      <c r="HLQ5" s="713"/>
      <c r="HLR5" s="713"/>
      <c r="HLS5" s="713"/>
      <c r="HLT5" s="713"/>
      <c r="HLU5" s="713"/>
      <c r="HLV5" s="713"/>
      <c r="HLW5" s="713"/>
      <c r="HLX5" s="713"/>
      <c r="HLY5" s="713"/>
      <c r="HLZ5" s="713"/>
      <c r="HMA5" s="713"/>
      <c r="HMB5" s="713"/>
      <c r="HMC5" s="713"/>
      <c r="HMD5" s="713"/>
      <c r="HME5" s="713"/>
      <c r="HMF5" s="713"/>
      <c r="HMG5" s="713"/>
      <c r="HMH5" s="713"/>
      <c r="HMI5" s="713"/>
      <c r="HMJ5" s="713"/>
      <c r="HMK5" s="713"/>
      <c r="HML5" s="713"/>
      <c r="HMM5" s="713"/>
      <c r="HMN5" s="713"/>
      <c r="HMO5" s="713" t="s">
        <v>956</v>
      </c>
      <c r="HMP5" s="713"/>
      <c r="HMQ5" s="713"/>
      <c r="HMR5" s="713"/>
      <c r="HMS5" s="713"/>
      <c r="HMT5" s="713"/>
      <c r="HMU5" s="713"/>
      <c r="HMV5" s="713"/>
      <c r="HMW5" s="713"/>
      <c r="HMX5" s="713"/>
      <c r="HMY5" s="713"/>
      <c r="HMZ5" s="713"/>
      <c r="HNA5" s="713"/>
      <c r="HNB5" s="713"/>
      <c r="HNC5" s="713"/>
      <c r="HND5" s="713"/>
      <c r="HNE5" s="713"/>
      <c r="HNF5" s="713"/>
      <c r="HNG5" s="713"/>
      <c r="HNH5" s="713"/>
      <c r="HNI5" s="713"/>
      <c r="HNJ5" s="713"/>
      <c r="HNK5" s="713"/>
      <c r="HNL5" s="713"/>
      <c r="HNM5" s="713"/>
      <c r="HNN5" s="713"/>
      <c r="HNO5" s="713"/>
      <c r="HNP5" s="713"/>
      <c r="HNQ5" s="713"/>
      <c r="HNR5" s="713"/>
      <c r="HNS5" s="713"/>
      <c r="HNT5" s="713"/>
      <c r="HNU5" s="713" t="s">
        <v>956</v>
      </c>
      <c r="HNV5" s="713"/>
      <c r="HNW5" s="713"/>
      <c r="HNX5" s="713"/>
      <c r="HNY5" s="713"/>
      <c r="HNZ5" s="713"/>
      <c r="HOA5" s="713"/>
      <c r="HOB5" s="713"/>
      <c r="HOC5" s="713"/>
      <c r="HOD5" s="713"/>
      <c r="HOE5" s="713"/>
      <c r="HOF5" s="713"/>
      <c r="HOG5" s="713"/>
      <c r="HOH5" s="713"/>
      <c r="HOI5" s="713"/>
      <c r="HOJ5" s="713"/>
      <c r="HOK5" s="713"/>
      <c r="HOL5" s="713"/>
      <c r="HOM5" s="713"/>
      <c r="HON5" s="713"/>
      <c r="HOO5" s="713"/>
      <c r="HOP5" s="713"/>
      <c r="HOQ5" s="713"/>
      <c r="HOR5" s="713"/>
      <c r="HOS5" s="713"/>
      <c r="HOT5" s="713"/>
      <c r="HOU5" s="713"/>
      <c r="HOV5" s="713"/>
      <c r="HOW5" s="713"/>
      <c r="HOX5" s="713"/>
      <c r="HOY5" s="713"/>
      <c r="HOZ5" s="713"/>
      <c r="HPA5" s="713" t="s">
        <v>956</v>
      </c>
      <c r="HPB5" s="713"/>
      <c r="HPC5" s="713"/>
      <c r="HPD5" s="713"/>
      <c r="HPE5" s="713"/>
      <c r="HPF5" s="713"/>
      <c r="HPG5" s="713"/>
      <c r="HPH5" s="713"/>
      <c r="HPI5" s="713"/>
      <c r="HPJ5" s="713"/>
      <c r="HPK5" s="713"/>
      <c r="HPL5" s="713"/>
      <c r="HPM5" s="713"/>
      <c r="HPN5" s="713"/>
      <c r="HPO5" s="713"/>
      <c r="HPP5" s="713"/>
      <c r="HPQ5" s="713"/>
      <c r="HPR5" s="713"/>
      <c r="HPS5" s="713"/>
      <c r="HPT5" s="713"/>
      <c r="HPU5" s="713"/>
      <c r="HPV5" s="713"/>
      <c r="HPW5" s="713"/>
      <c r="HPX5" s="713"/>
      <c r="HPY5" s="713"/>
      <c r="HPZ5" s="713"/>
      <c r="HQA5" s="713"/>
      <c r="HQB5" s="713"/>
      <c r="HQC5" s="713"/>
      <c r="HQD5" s="713"/>
      <c r="HQE5" s="713"/>
      <c r="HQF5" s="713"/>
      <c r="HQG5" s="713" t="s">
        <v>956</v>
      </c>
      <c r="HQH5" s="713"/>
      <c r="HQI5" s="713"/>
      <c r="HQJ5" s="713"/>
      <c r="HQK5" s="713"/>
      <c r="HQL5" s="713"/>
      <c r="HQM5" s="713"/>
      <c r="HQN5" s="713"/>
      <c r="HQO5" s="713"/>
      <c r="HQP5" s="713"/>
      <c r="HQQ5" s="713"/>
      <c r="HQR5" s="713"/>
      <c r="HQS5" s="713"/>
      <c r="HQT5" s="713"/>
      <c r="HQU5" s="713"/>
      <c r="HQV5" s="713"/>
      <c r="HQW5" s="713"/>
      <c r="HQX5" s="713"/>
      <c r="HQY5" s="713"/>
      <c r="HQZ5" s="713"/>
      <c r="HRA5" s="713"/>
      <c r="HRB5" s="713"/>
      <c r="HRC5" s="713"/>
      <c r="HRD5" s="713"/>
      <c r="HRE5" s="713"/>
      <c r="HRF5" s="713"/>
      <c r="HRG5" s="713"/>
      <c r="HRH5" s="713"/>
      <c r="HRI5" s="713"/>
      <c r="HRJ5" s="713"/>
      <c r="HRK5" s="713"/>
      <c r="HRL5" s="713"/>
      <c r="HRM5" s="713" t="s">
        <v>956</v>
      </c>
      <c r="HRN5" s="713"/>
      <c r="HRO5" s="713"/>
      <c r="HRP5" s="713"/>
      <c r="HRQ5" s="713"/>
      <c r="HRR5" s="713"/>
      <c r="HRS5" s="713"/>
      <c r="HRT5" s="713"/>
      <c r="HRU5" s="713"/>
      <c r="HRV5" s="713"/>
      <c r="HRW5" s="713"/>
      <c r="HRX5" s="713"/>
      <c r="HRY5" s="713"/>
      <c r="HRZ5" s="713"/>
      <c r="HSA5" s="713"/>
      <c r="HSB5" s="713"/>
      <c r="HSC5" s="713"/>
      <c r="HSD5" s="713"/>
      <c r="HSE5" s="713"/>
      <c r="HSF5" s="713"/>
      <c r="HSG5" s="713"/>
      <c r="HSH5" s="713"/>
      <c r="HSI5" s="713"/>
      <c r="HSJ5" s="713"/>
      <c r="HSK5" s="713"/>
      <c r="HSL5" s="713"/>
      <c r="HSM5" s="713"/>
      <c r="HSN5" s="713"/>
      <c r="HSO5" s="713"/>
      <c r="HSP5" s="713"/>
      <c r="HSQ5" s="713"/>
      <c r="HSR5" s="713"/>
      <c r="HSS5" s="713" t="s">
        <v>956</v>
      </c>
      <c r="HST5" s="713"/>
      <c r="HSU5" s="713"/>
      <c r="HSV5" s="713"/>
      <c r="HSW5" s="713"/>
      <c r="HSX5" s="713"/>
      <c r="HSY5" s="713"/>
      <c r="HSZ5" s="713"/>
      <c r="HTA5" s="713"/>
      <c r="HTB5" s="713"/>
      <c r="HTC5" s="713"/>
      <c r="HTD5" s="713"/>
      <c r="HTE5" s="713"/>
      <c r="HTF5" s="713"/>
      <c r="HTG5" s="713"/>
      <c r="HTH5" s="713"/>
      <c r="HTI5" s="713"/>
      <c r="HTJ5" s="713"/>
      <c r="HTK5" s="713"/>
      <c r="HTL5" s="713"/>
      <c r="HTM5" s="713"/>
      <c r="HTN5" s="713"/>
      <c r="HTO5" s="713"/>
      <c r="HTP5" s="713"/>
      <c r="HTQ5" s="713"/>
      <c r="HTR5" s="713"/>
      <c r="HTS5" s="713"/>
      <c r="HTT5" s="713"/>
      <c r="HTU5" s="713"/>
      <c r="HTV5" s="713"/>
      <c r="HTW5" s="713"/>
      <c r="HTX5" s="713"/>
      <c r="HTY5" s="713" t="s">
        <v>956</v>
      </c>
      <c r="HTZ5" s="713"/>
      <c r="HUA5" s="713"/>
      <c r="HUB5" s="713"/>
      <c r="HUC5" s="713"/>
      <c r="HUD5" s="713"/>
      <c r="HUE5" s="713"/>
      <c r="HUF5" s="713"/>
      <c r="HUG5" s="713"/>
      <c r="HUH5" s="713"/>
      <c r="HUI5" s="713"/>
      <c r="HUJ5" s="713"/>
      <c r="HUK5" s="713"/>
      <c r="HUL5" s="713"/>
      <c r="HUM5" s="713"/>
      <c r="HUN5" s="713"/>
      <c r="HUO5" s="713"/>
      <c r="HUP5" s="713"/>
      <c r="HUQ5" s="713"/>
      <c r="HUR5" s="713"/>
      <c r="HUS5" s="713"/>
      <c r="HUT5" s="713"/>
      <c r="HUU5" s="713"/>
      <c r="HUV5" s="713"/>
      <c r="HUW5" s="713"/>
      <c r="HUX5" s="713"/>
      <c r="HUY5" s="713"/>
      <c r="HUZ5" s="713"/>
      <c r="HVA5" s="713"/>
      <c r="HVB5" s="713"/>
      <c r="HVC5" s="713"/>
      <c r="HVD5" s="713"/>
      <c r="HVE5" s="713" t="s">
        <v>956</v>
      </c>
      <c r="HVF5" s="713"/>
      <c r="HVG5" s="713"/>
      <c r="HVH5" s="713"/>
      <c r="HVI5" s="713"/>
      <c r="HVJ5" s="713"/>
      <c r="HVK5" s="713"/>
      <c r="HVL5" s="713"/>
      <c r="HVM5" s="713"/>
      <c r="HVN5" s="713"/>
      <c r="HVO5" s="713"/>
      <c r="HVP5" s="713"/>
      <c r="HVQ5" s="713"/>
      <c r="HVR5" s="713"/>
      <c r="HVS5" s="713"/>
      <c r="HVT5" s="713"/>
      <c r="HVU5" s="713"/>
      <c r="HVV5" s="713"/>
      <c r="HVW5" s="713"/>
      <c r="HVX5" s="713"/>
      <c r="HVY5" s="713"/>
      <c r="HVZ5" s="713"/>
      <c r="HWA5" s="713"/>
      <c r="HWB5" s="713"/>
      <c r="HWC5" s="713"/>
      <c r="HWD5" s="713"/>
      <c r="HWE5" s="713"/>
      <c r="HWF5" s="713"/>
      <c r="HWG5" s="713"/>
      <c r="HWH5" s="713"/>
      <c r="HWI5" s="713"/>
      <c r="HWJ5" s="713"/>
      <c r="HWK5" s="713" t="s">
        <v>956</v>
      </c>
      <c r="HWL5" s="713"/>
      <c r="HWM5" s="713"/>
      <c r="HWN5" s="713"/>
      <c r="HWO5" s="713"/>
      <c r="HWP5" s="713"/>
      <c r="HWQ5" s="713"/>
      <c r="HWR5" s="713"/>
      <c r="HWS5" s="713"/>
      <c r="HWT5" s="713"/>
      <c r="HWU5" s="713"/>
      <c r="HWV5" s="713"/>
      <c r="HWW5" s="713"/>
      <c r="HWX5" s="713"/>
      <c r="HWY5" s="713"/>
      <c r="HWZ5" s="713"/>
      <c r="HXA5" s="713"/>
      <c r="HXB5" s="713"/>
      <c r="HXC5" s="713"/>
      <c r="HXD5" s="713"/>
      <c r="HXE5" s="713"/>
      <c r="HXF5" s="713"/>
      <c r="HXG5" s="713"/>
      <c r="HXH5" s="713"/>
      <c r="HXI5" s="713"/>
      <c r="HXJ5" s="713"/>
      <c r="HXK5" s="713"/>
      <c r="HXL5" s="713"/>
      <c r="HXM5" s="713"/>
      <c r="HXN5" s="713"/>
      <c r="HXO5" s="713"/>
      <c r="HXP5" s="713"/>
      <c r="HXQ5" s="713" t="s">
        <v>956</v>
      </c>
      <c r="HXR5" s="713"/>
      <c r="HXS5" s="713"/>
      <c r="HXT5" s="713"/>
      <c r="HXU5" s="713"/>
      <c r="HXV5" s="713"/>
      <c r="HXW5" s="713"/>
      <c r="HXX5" s="713"/>
      <c r="HXY5" s="713"/>
      <c r="HXZ5" s="713"/>
      <c r="HYA5" s="713"/>
      <c r="HYB5" s="713"/>
      <c r="HYC5" s="713"/>
      <c r="HYD5" s="713"/>
      <c r="HYE5" s="713"/>
      <c r="HYF5" s="713"/>
      <c r="HYG5" s="713"/>
      <c r="HYH5" s="713"/>
      <c r="HYI5" s="713"/>
      <c r="HYJ5" s="713"/>
      <c r="HYK5" s="713"/>
      <c r="HYL5" s="713"/>
      <c r="HYM5" s="713"/>
      <c r="HYN5" s="713"/>
      <c r="HYO5" s="713"/>
      <c r="HYP5" s="713"/>
      <c r="HYQ5" s="713"/>
      <c r="HYR5" s="713"/>
      <c r="HYS5" s="713"/>
      <c r="HYT5" s="713"/>
      <c r="HYU5" s="713"/>
      <c r="HYV5" s="713"/>
      <c r="HYW5" s="713" t="s">
        <v>956</v>
      </c>
      <c r="HYX5" s="713"/>
      <c r="HYY5" s="713"/>
      <c r="HYZ5" s="713"/>
      <c r="HZA5" s="713"/>
      <c r="HZB5" s="713"/>
      <c r="HZC5" s="713"/>
      <c r="HZD5" s="713"/>
      <c r="HZE5" s="713"/>
      <c r="HZF5" s="713"/>
      <c r="HZG5" s="713"/>
      <c r="HZH5" s="713"/>
      <c r="HZI5" s="713"/>
      <c r="HZJ5" s="713"/>
      <c r="HZK5" s="713"/>
      <c r="HZL5" s="713"/>
      <c r="HZM5" s="713"/>
      <c r="HZN5" s="713"/>
      <c r="HZO5" s="713"/>
      <c r="HZP5" s="713"/>
      <c r="HZQ5" s="713"/>
      <c r="HZR5" s="713"/>
      <c r="HZS5" s="713"/>
      <c r="HZT5" s="713"/>
      <c r="HZU5" s="713"/>
      <c r="HZV5" s="713"/>
      <c r="HZW5" s="713"/>
      <c r="HZX5" s="713"/>
      <c r="HZY5" s="713"/>
      <c r="HZZ5" s="713"/>
      <c r="IAA5" s="713"/>
      <c r="IAB5" s="713"/>
      <c r="IAC5" s="713" t="s">
        <v>956</v>
      </c>
      <c r="IAD5" s="713"/>
      <c r="IAE5" s="713"/>
      <c r="IAF5" s="713"/>
      <c r="IAG5" s="713"/>
      <c r="IAH5" s="713"/>
      <c r="IAI5" s="713"/>
      <c r="IAJ5" s="713"/>
      <c r="IAK5" s="713"/>
      <c r="IAL5" s="713"/>
      <c r="IAM5" s="713"/>
      <c r="IAN5" s="713"/>
      <c r="IAO5" s="713"/>
      <c r="IAP5" s="713"/>
      <c r="IAQ5" s="713"/>
      <c r="IAR5" s="713"/>
      <c r="IAS5" s="713"/>
      <c r="IAT5" s="713"/>
      <c r="IAU5" s="713"/>
      <c r="IAV5" s="713"/>
      <c r="IAW5" s="713"/>
      <c r="IAX5" s="713"/>
      <c r="IAY5" s="713"/>
      <c r="IAZ5" s="713"/>
      <c r="IBA5" s="713"/>
      <c r="IBB5" s="713"/>
      <c r="IBC5" s="713"/>
      <c r="IBD5" s="713"/>
      <c r="IBE5" s="713"/>
      <c r="IBF5" s="713"/>
      <c r="IBG5" s="713"/>
      <c r="IBH5" s="713"/>
      <c r="IBI5" s="713" t="s">
        <v>956</v>
      </c>
      <c r="IBJ5" s="713"/>
      <c r="IBK5" s="713"/>
      <c r="IBL5" s="713"/>
      <c r="IBM5" s="713"/>
      <c r="IBN5" s="713"/>
      <c r="IBO5" s="713"/>
      <c r="IBP5" s="713"/>
      <c r="IBQ5" s="713"/>
      <c r="IBR5" s="713"/>
      <c r="IBS5" s="713"/>
      <c r="IBT5" s="713"/>
      <c r="IBU5" s="713"/>
      <c r="IBV5" s="713"/>
      <c r="IBW5" s="713"/>
      <c r="IBX5" s="713"/>
      <c r="IBY5" s="713"/>
      <c r="IBZ5" s="713"/>
      <c r="ICA5" s="713"/>
      <c r="ICB5" s="713"/>
      <c r="ICC5" s="713"/>
      <c r="ICD5" s="713"/>
      <c r="ICE5" s="713"/>
      <c r="ICF5" s="713"/>
      <c r="ICG5" s="713"/>
      <c r="ICH5" s="713"/>
      <c r="ICI5" s="713"/>
      <c r="ICJ5" s="713"/>
      <c r="ICK5" s="713"/>
      <c r="ICL5" s="713"/>
      <c r="ICM5" s="713"/>
      <c r="ICN5" s="713"/>
      <c r="ICO5" s="713" t="s">
        <v>956</v>
      </c>
      <c r="ICP5" s="713"/>
      <c r="ICQ5" s="713"/>
      <c r="ICR5" s="713"/>
      <c r="ICS5" s="713"/>
      <c r="ICT5" s="713"/>
      <c r="ICU5" s="713"/>
      <c r="ICV5" s="713"/>
      <c r="ICW5" s="713"/>
      <c r="ICX5" s="713"/>
      <c r="ICY5" s="713"/>
      <c r="ICZ5" s="713"/>
      <c r="IDA5" s="713"/>
      <c r="IDB5" s="713"/>
      <c r="IDC5" s="713"/>
      <c r="IDD5" s="713"/>
      <c r="IDE5" s="713"/>
      <c r="IDF5" s="713"/>
      <c r="IDG5" s="713"/>
      <c r="IDH5" s="713"/>
      <c r="IDI5" s="713"/>
      <c r="IDJ5" s="713"/>
      <c r="IDK5" s="713"/>
      <c r="IDL5" s="713"/>
      <c r="IDM5" s="713"/>
      <c r="IDN5" s="713"/>
      <c r="IDO5" s="713"/>
      <c r="IDP5" s="713"/>
      <c r="IDQ5" s="713"/>
      <c r="IDR5" s="713"/>
      <c r="IDS5" s="713"/>
      <c r="IDT5" s="713"/>
      <c r="IDU5" s="713" t="s">
        <v>956</v>
      </c>
      <c r="IDV5" s="713"/>
      <c r="IDW5" s="713"/>
      <c r="IDX5" s="713"/>
      <c r="IDY5" s="713"/>
      <c r="IDZ5" s="713"/>
      <c r="IEA5" s="713"/>
      <c r="IEB5" s="713"/>
      <c r="IEC5" s="713"/>
      <c r="IED5" s="713"/>
      <c r="IEE5" s="713"/>
      <c r="IEF5" s="713"/>
      <c r="IEG5" s="713"/>
      <c r="IEH5" s="713"/>
      <c r="IEI5" s="713"/>
      <c r="IEJ5" s="713"/>
      <c r="IEK5" s="713"/>
      <c r="IEL5" s="713"/>
      <c r="IEM5" s="713"/>
      <c r="IEN5" s="713"/>
      <c r="IEO5" s="713"/>
      <c r="IEP5" s="713"/>
      <c r="IEQ5" s="713"/>
      <c r="IER5" s="713"/>
      <c r="IES5" s="713"/>
      <c r="IET5" s="713"/>
      <c r="IEU5" s="713"/>
      <c r="IEV5" s="713"/>
      <c r="IEW5" s="713"/>
      <c r="IEX5" s="713"/>
      <c r="IEY5" s="713"/>
      <c r="IEZ5" s="713"/>
      <c r="IFA5" s="713" t="s">
        <v>956</v>
      </c>
      <c r="IFB5" s="713"/>
      <c r="IFC5" s="713"/>
      <c r="IFD5" s="713"/>
      <c r="IFE5" s="713"/>
      <c r="IFF5" s="713"/>
      <c r="IFG5" s="713"/>
      <c r="IFH5" s="713"/>
      <c r="IFI5" s="713"/>
      <c r="IFJ5" s="713"/>
      <c r="IFK5" s="713"/>
      <c r="IFL5" s="713"/>
      <c r="IFM5" s="713"/>
      <c r="IFN5" s="713"/>
      <c r="IFO5" s="713"/>
      <c r="IFP5" s="713"/>
      <c r="IFQ5" s="713"/>
      <c r="IFR5" s="713"/>
      <c r="IFS5" s="713"/>
      <c r="IFT5" s="713"/>
      <c r="IFU5" s="713"/>
      <c r="IFV5" s="713"/>
      <c r="IFW5" s="713"/>
      <c r="IFX5" s="713"/>
      <c r="IFY5" s="713"/>
      <c r="IFZ5" s="713"/>
      <c r="IGA5" s="713"/>
      <c r="IGB5" s="713"/>
      <c r="IGC5" s="713"/>
      <c r="IGD5" s="713"/>
      <c r="IGE5" s="713"/>
      <c r="IGF5" s="713"/>
      <c r="IGG5" s="713" t="s">
        <v>956</v>
      </c>
      <c r="IGH5" s="713"/>
      <c r="IGI5" s="713"/>
      <c r="IGJ5" s="713"/>
      <c r="IGK5" s="713"/>
      <c r="IGL5" s="713"/>
      <c r="IGM5" s="713"/>
      <c r="IGN5" s="713"/>
      <c r="IGO5" s="713"/>
      <c r="IGP5" s="713"/>
      <c r="IGQ5" s="713"/>
      <c r="IGR5" s="713"/>
      <c r="IGS5" s="713"/>
      <c r="IGT5" s="713"/>
      <c r="IGU5" s="713"/>
      <c r="IGV5" s="713"/>
      <c r="IGW5" s="713"/>
      <c r="IGX5" s="713"/>
      <c r="IGY5" s="713"/>
      <c r="IGZ5" s="713"/>
      <c r="IHA5" s="713"/>
      <c r="IHB5" s="713"/>
      <c r="IHC5" s="713"/>
      <c r="IHD5" s="713"/>
      <c r="IHE5" s="713"/>
      <c r="IHF5" s="713"/>
      <c r="IHG5" s="713"/>
      <c r="IHH5" s="713"/>
      <c r="IHI5" s="713"/>
      <c r="IHJ5" s="713"/>
      <c r="IHK5" s="713"/>
      <c r="IHL5" s="713"/>
      <c r="IHM5" s="713" t="s">
        <v>956</v>
      </c>
      <c r="IHN5" s="713"/>
      <c r="IHO5" s="713"/>
      <c r="IHP5" s="713"/>
      <c r="IHQ5" s="713"/>
      <c r="IHR5" s="713"/>
      <c r="IHS5" s="713"/>
      <c r="IHT5" s="713"/>
      <c r="IHU5" s="713"/>
      <c r="IHV5" s="713"/>
      <c r="IHW5" s="713"/>
      <c r="IHX5" s="713"/>
      <c r="IHY5" s="713"/>
      <c r="IHZ5" s="713"/>
      <c r="IIA5" s="713"/>
      <c r="IIB5" s="713"/>
      <c r="IIC5" s="713"/>
      <c r="IID5" s="713"/>
      <c r="IIE5" s="713"/>
      <c r="IIF5" s="713"/>
      <c r="IIG5" s="713"/>
      <c r="IIH5" s="713"/>
      <c r="III5" s="713"/>
      <c r="IIJ5" s="713"/>
      <c r="IIK5" s="713"/>
      <c r="IIL5" s="713"/>
      <c r="IIM5" s="713"/>
      <c r="IIN5" s="713"/>
      <c r="IIO5" s="713"/>
      <c r="IIP5" s="713"/>
      <c r="IIQ5" s="713"/>
      <c r="IIR5" s="713"/>
      <c r="IIS5" s="713" t="s">
        <v>956</v>
      </c>
      <c r="IIT5" s="713"/>
      <c r="IIU5" s="713"/>
      <c r="IIV5" s="713"/>
      <c r="IIW5" s="713"/>
      <c r="IIX5" s="713"/>
      <c r="IIY5" s="713"/>
      <c r="IIZ5" s="713"/>
      <c r="IJA5" s="713"/>
      <c r="IJB5" s="713"/>
      <c r="IJC5" s="713"/>
      <c r="IJD5" s="713"/>
      <c r="IJE5" s="713"/>
      <c r="IJF5" s="713"/>
      <c r="IJG5" s="713"/>
      <c r="IJH5" s="713"/>
      <c r="IJI5" s="713"/>
      <c r="IJJ5" s="713"/>
      <c r="IJK5" s="713"/>
      <c r="IJL5" s="713"/>
      <c r="IJM5" s="713"/>
      <c r="IJN5" s="713"/>
      <c r="IJO5" s="713"/>
      <c r="IJP5" s="713"/>
      <c r="IJQ5" s="713"/>
      <c r="IJR5" s="713"/>
      <c r="IJS5" s="713"/>
      <c r="IJT5" s="713"/>
      <c r="IJU5" s="713"/>
      <c r="IJV5" s="713"/>
      <c r="IJW5" s="713"/>
      <c r="IJX5" s="713"/>
      <c r="IJY5" s="713" t="s">
        <v>956</v>
      </c>
      <c r="IJZ5" s="713"/>
      <c r="IKA5" s="713"/>
      <c r="IKB5" s="713"/>
      <c r="IKC5" s="713"/>
      <c r="IKD5" s="713"/>
      <c r="IKE5" s="713"/>
      <c r="IKF5" s="713"/>
      <c r="IKG5" s="713"/>
      <c r="IKH5" s="713"/>
      <c r="IKI5" s="713"/>
      <c r="IKJ5" s="713"/>
      <c r="IKK5" s="713"/>
      <c r="IKL5" s="713"/>
      <c r="IKM5" s="713"/>
      <c r="IKN5" s="713"/>
      <c r="IKO5" s="713"/>
      <c r="IKP5" s="713"/>
      <c r="IKQ5" s="713"/>
      <c r="IKR5" s="713"/>
      <c r="IKS5" s="713"/>
      <c r="IKT5" s="713"/>
      <c r="IKU5" s="713"/>
      <c r="IKV5" s="713"/>
      <c r="IKW5" s="713"/>
      <c r="IKX5" s="713"/>
      <c r="IKY5" s="713"/>
      <c r="IKZ5" s="713"/>
      <c r="ILA5" s="713"/>
      <c r="ILB5" s="713"/>
      <c r="ILC5" s="713"/>
      <c r="ILD5" s="713"/>
      <c r="ILE5" s="713" t="s">
        <v>956</v>
      </c>
      <c r="ILF5" s="713"/>
      <c r="ILG5" s="713"/>
      <c r="ILH5" s="713"/>
      <c r="ILI5" s="713"/>
      <c r="ILJ5" s="713"/>
      <c r="ILK5" s="713"/>
      <c r="ILL5" s="713"/>
      <c r="ILM5" s="713"/>
      <c r="ILN5" s="713"/>
      <c r="ILO5" s="713"/>
      <c r="ILP5" s="713"/>
      <c r="ILQ5" s="713"/>
      <c r="ILR5" s="713"/>
      <c r="ILS5" s="713"/>
      <c r="ILT5" s="713"/>
      <c r="ILU5" s="713"/>
      <c r="ILV5" s="713"/>
      <c r="ILW5" s="713"/>
      <c r="ILX5" s="713"/>
      <c r="ILY5" s="713"/>
      <c r="ILZ5" s="713"/>
      <c r="IMA5" s="713"/>
      <c r="IMB5" s="713"/>
      <c r="IMC5" s="713"/>
      <c r="IMD5" s="713"/>
      <c r="IME5" s="713"/>
      <c r="IMF5" s="713"/>
      <c r="IMG5" s="713"/>
      <c r="IMH5" s="713"/>
      <c r="IMI5" s="713"/>
      <c r="IMJ5" s="713"/>
      <c r="IMK5" s="713" t="s">
        <v>956</v>
      </c>
      <c r="IML5" s="713"/>
      <c r="IMM5" s="713"/>
      <c r="IMN5" s="713"/>
      <c r="IMO5" s="713"/>
      <c r="IMP5" s="713"/>
      <c r="IMQ5" s="713"/>
      <c r="IMR5" s="713"/>
      <c r="IMS5" s="713"/>
      <c r="IMT5" s="713"/>
      <c r="IMU5" s="713"/>
      <c r="IMV5" s="713"/>
      <c r="IMW5" s="713"/>
      <c r="IMX5" s="713"/>
      <c r="IMY5" s="713"/>
      <c r="IMZ5" s="713"/>
      <c r="INA5" s="713"/>
      <c r="INB5" s="713"/>
      <c r="INC5" s="713"/>
      <c r="IND5" s="713"/>
      <c r="INE5" s="713"/>
      <c r="INF5" s="713"/>
      <c r="ING5" s="713"/>
      <c r="INH5" s="713"/>
      <c r="INI5" s="713"/>
      <c r="INJ5" s="713"/>
      <c r="INK5" s="713"/>
      <c r="INL5" s="713"/>
      <c r="INM5" s="713"/>
      <c r="INN5" s="713"/>
      <c r="INO5" s="713"/>
      <c r="INP5" s="713"/>
      <c r="INQ5" s="713" t="s">
        <v>956</v>
      </c>
      <c r="INR5" s="713"/>
      <c r="INS5" s="713"/>
      <c r="INT5" s="713"/>
      <c r="INU5" s="713"/>
      <c r="INV5" s="713"/>
      <c r="INW5" s="713"/>
      <c r="INX5" s="713"/>
      <c r="INY5" s="713"/>
      <c r="INZ5" s="713"/>
      <c r="IOA5" s="713"/>
      <c r="IOB5" s="713"/>
      <c r="IOC5" s="713"/>
      <c r="IOD5" s="713"/>
      <c r="IOE5" s="713"/>
      <c r="IOF5" s="713"/>
      <c r="IOG5" s="713"/>
      <c r="IOH5" s="713"/>
      <c r="IOI5" s="713"/>
      <c r="IOJ5" s="713"/>
      <c r="IOK5" s="713"/>
      <c r="IOL5" s="713"/>
      <c r="IOM5" s="713"/>
      <c r="ION5" s="713"/>
      <c r="IOO5" s="713"/>
      <c r="IOP5" s="713"/>
      <c r="IOQ5" s="713"/>
      <c r="IOR5" s="713"/>
      <c r="IOS5" s="713"/>
      <c r="IOT5" s="713"/>
      <c r="IOU5" s="713"/>
      <c r="IOV5" s="713"/>
      <c r="IOW5" s="713" t="s">
        <v>956</v>
      </c>
      <c r="IOX5" s="713"/>
      <c r="IOY5" s="713"/>
      <c r="IOZ5" s="713"/>
      <c r="IPA5" s="713"/>
      <c r="IPB5" s="713"/>
      <c r="IPC5" s="713"/>
      <c r="IPD5" s="713"/>
      <c r="IPE5" s="713"/>
      <c r="IPF5" s="713"/>
      <c r="IPG5" s="713"/>
      <c r="IPH5" s="713"/>
      <c r="IPI5" s="713"/>
      <c r="IPJ5" s="713"/>
      <c r="IPK5" s="713"/>
      <c r="IPL5" s="713"/>
      <c r="IPM5" s="713"/>
      <c r="IPN5" s="713"/>
      <c r="IPO5" s="713"/>
      <c r="IPP5" s="713"/>
      <c r="IPQ5" s="713"/>
      <c r="IPR5" s="713"/>
      <c r="IPS5" s="713"/>
      <c r="IPT5" s="713"/>
      <c r="IPU5" s="713"/>
      <c r="IPV5" s="713"/>
      <c r="IPW5" s="713"/>
      <c r="IPX5" s="713"/>
      <c r="IPY5" s="713"/>
      <c r="IPZ5" s="713"/>
      <c r="IQA5" s="713"/>
      <c r="IQB5" s="713"/>
      <c r="IQC5" s="713" t="s">
        <v>956</v>
      </c>
      <c r="IQD5" s="713"/>
      <c r="IQE5" s="713"/>
      <c r="IQF5" s="713"/>
      <c r="IQG5" s="713"/>
      <c r="IQH5" s="713"/>
      <c r="IQI5" s="713"/>
      <c r="IQJ5" s="713"/>
      <c r="IQK5" s="713"/>
      <c r="IQL5" s="713"/>
      <c r="IQM5" s="713"/>
      <c r="IQN5" s="713"/>
      <c r="IQO5" s="713"/>
      <c r="IQP5" s="713"/>
      <c r="IQQ5" s="713"/>
      <c r="IQR5" s="713"/>
      <c r="IQS5" s="713"/>
      <c r="IQT5" s="713"/>
      <c r="IQU5" s="713"/>
      <c r="IQV5" s="713"/>
      <c r="IQW5" s="713"/>
      <c r="IQX5" s="713"/>
      <c r="IQY5" s="713"/>
      <c r="IQZ5" s="713"/>
      <c r="IRA5" s="713"/>
      <c r="IRB5" s="713"/>
      <c r="IRC5" s="713"/>
      <c r="IRD5" s="713"/>
      <c r="IRE5" s="713"/>
      <c r="IRF5" s="713"/>
      <c r="IRG5" s="713"/>
      <c r="IRH5" s="713"/>
      <c r="IRI5" s="713" t="s">
        <v>956</v>
      </c>
      <c r="IRJ5" s="713"/>
      <c r="IRK5" s="713"/>
      <c r="IRL5" s="713"/>
      <c r="IRM5" s="713"/>
      <c r="IRN5" s="713"/>
      <c r="IRO5" s="713"/>
      <c r="IRP5" s="713"/>
      <c r="IRQ5" s="713"/>
      <c r="IRR5" s="713"/>
      <c r="IRS5" s="713"/>
      <c r="IRT5" s="713"/>
      <c r="IRU5" s="713"/>
      <c r="IRV5" s="713"/>
      <c r="IRW5" s="713"/>
      <c r="IRX5" s="713"/>
      <c r="IRY5" s="713"/>
      <c r="IRZ5" s="713"/>
      <c r="ISA5" s="713"/>
      <c r="ISB5" s="713"/>
      <c r="ISC5" s="713"/>
      <c r="ISD5" s="713"/>
      <c r="ISE5" s="713"/>
      <c r="ISF5" s="713"/>
      <c r="ISG5" s="713"/>
      <c r="ISH5" s="713"/>
      <c r="ISI5" s="713"/>
      <c r="ISJ5" s="713"/>
      <c r="ISK5" s="713"/>
      <c r="ISL5" s="713"/>
      <c r="ISM5" s="713"/>
      <c r="ISN5" s="713"/>
      <c r="ISO5" s="713" t="s">
        <v>956</v>
      </c>
      <c r="ISP5" s="713"/>
      <c r="ISQ5" s="713"/>
      <c r="ISR5" s="713"/>
      <c r="ISS5" s="713"/>
      <c r="IST5" s="713"/>
      <c r="ISU5" s="713"/>
      <c r="ISV5" s="713"/>
      <c r="ISW5" s="713"/>
      <c r="ISX5" s="713"/>
      <c r="ISY5" s="713"/>
      <c r="ISZ5" s="713"/>
      <c r="ITA5" s="713"/>
      <c r="ITB5" s="713"/>
      <c r="ITC5" s="713"/>
      <c r="ITD5" s="713"/>
      <c r="ITE5" s="713"/>
      <c r="ITF5" s="713"/>
      <c r="ITG5" s="713"/>
      <c r="ITH5" s="713"/>
      <c r="ITI5" s="713"/>
      <c r="ITJ5" s="713"/>
      <c r="ITK5" s="713"/>
      <c r="ITL5" s="713"/>
      <c r="ITM5" s="713"/>
      <c r="ITN5" s="713"/>
      <c r="ITO5" s="713"/>
      <c r="ITP5" s="713"/>
      <c r="ITQ5" s="713"/>
      <c r="ITR5" s="713"/>
      <c r="ITS5" s="713"/>
      <c r="ITT5" s="713"/>
      <c r="ITU5" s="713" t="s">
        <v>956</v>
      </c>
      <c r="ITV5" s="713"/>
      <c r="ITW5" s="713"/>
      <c r="ITX5" s="713"/>
      <c r="ITY5" s="713"/>
      <c r="ITZ5" s="713"/>
      <c r="IUA5" s="713"/>
      <c r="IUB5" s="713"/>
      <c r="IUC5" s="713"/>
      <c r="IUD5" s="713"/>
      <c r="IUE5" s="713"/>
      <c r="IUF5" s="713"/>
      <c r="IUG5" s="713"/>
      <c r="IUH5" s="713"/>
      <c r="IUI5" s="713"/>
      <c r="IUJ5" s="713"/>
      <c r="IUK5" s="713"/>
      <c r="IUL5" s="713"/>
      <c r="IUM5" s="713"/>
      <c r="IUN5" s="713"/>
      <c r="IUO5" s="713"/>
      <c r="IUP5" s="713"/>
      <c r="IUQ5" s="713"/>
      <c r="IUR5" s="713"/>
      <c r="IUS5" s="713"/>
      <c r="IUT5" s="713"/>
      <c r="IUU5" s="713"/>
      <c r="IUV5" s="713"/>
      <c r="IUW5" s="713"/>
      <c r="IUX5" s="713"/>
      <c r="IUY5" s="713"/>
      <c r="IUZ5" s="713"/>
      <c r="IVA5" s="713" t="s">
        <v>956</v>
      </c>
      <c r="IVB5" s="713"/>
      <c r="IVC5" s="713"/>
      <c r="IVD5" s="713"/>
      <c r="IVE5" s="713"/>
      <c r="IVF5" s="713"/>
      <c r="IVG5" s="713"/>
      <c r="IVH5" s="713"/>
      <c r="IVI5" s="713"/>
      <c r="IVJ5" s="713"/>
      <c r="IVK5" s="713"/>
      <c r="IVL5" s="713"/>
      <c r="IVM5" s="713"/>
      <c r="IVN5" s="713"/>
      <c r="IVO5" s="713"/>
      <c r="IVP5" s="713"/>
      <c r="IVQ5" s="713"/>
      <c r="IVR5" s="713"/>
      <c r="IVS5" s="713"/>
      <c r="IVT5" s="713"/>
      <c r="IVU5" s="713"/>
      <c r="IVV5" s="713"/>
      <c r="IVW5" s="713"/>
      <c r="IVX5" s="713"/>
      <c r="IVY5" s="713"/>
      <c r="IVZ5" s="713"/>
      <c r="IWA5" s="713"/>
      <c r="IWB5" s="713"/>
      <c r="IWC5" s="713"/>
      <c r="IWD5" s="713"/>
      <c r="IWE5" s="713"/>
      <c r="IWF5" s="713"/>
      <c r="IWG5" s="713" t="s">
        <v>956</v>
      </c>
      <c r="IWH5" s="713"/>
      <c r="IWI5" s="713"/>
      <c r="IWJ5" s="713"/>
      <c r="IWK5" s="713"/>
      <c r="IWL5" s="713"/>
      <c r="IWM5" s="713"/>
      <c r="IWN5" s="713"/>
      <c r="IWO5" s="713"/>
      <c r="IWP5" s="713"/>
      <c r="IWQ5" s="713"/>
      <c r="IWR5" s="713"/>
      <c r="IWS5" s="713"/>
      <c r="IWT5" s="713"/>
      <c r="IWU5" s="713"/>
      <c r="IWV5" s="713"/>
      <c r="IWW5" s="713"/>
      <c r="IWX5" s="713"/>
      <c r="IWY5" s="713"/>
      <c r="IWZ5" s="713"/>
      <c r="IXA5" s="713"/>
      <c r="IXB5" s="713"/>
      <c r="IXC5" s="713"/>
      <c r="IXD5" s="713"/>
      <c r="IXE5" s="713"/>
      <c r="IXF5" s="713"/>
      <c r="IXG5" s="713"/>
      <c r="IXH5" s="713"/>
      <c r="IXI5" s="713"/>
      <c r="IXJ5" s="713"/>
      <c r="IXK5" s="713"/>
      <c r="IXL5" s="713"/>
      <c r="IXM5" s="713" t="s">
        <v>956</v>
      </c>
      <c r="IXN5" s="713"/>
      <c r="IXO5" s="713"/>
      <c r="IXP5" s="713"/>
      <c r="IXQ5" s="713"/>
      <c r="IXR5" s="713"/>
      <c r="IXS5" s="713"/>
      <c r="IXT5" s="713"/>
      <c r="IXU5" s="713"/>
      <c r="IXV5" s="713"/>
      <c r="IXW5" s="713"/>
      <c r="IXX5" s="713"/>
      <c r="IXY5" s="713"/>
      <c r="IXZ5" s="713"/>
      <c r="IYA5" s="713"/>
      <c r="IYB5" s="713"/>
      <c r="IYC5" s="713"/>
      <c r="IYD5" s="713"/>
      <c r="IYE5" s="713"/>
      <c r="IYF5" s="713"/>
      <c r="IYG5" s="713"/>
      <c r="IYH5" s="713"/>
      <c r="IYI5" s="713"/>
      <c r="IYJ5" s="713"/>
      <c r="IYK5" s="713"/>
      <c r="IYL5" s="713"/>
      <c r="IYM5" s="713"/>
      <c r="IYN5" s="713"/>
      <c r="IYO5" s="713"/>
      <c r="IYP5" s="713"/>
      <c r="IYQ5" s="713"/>
      <c r="IYR5" s="713"/>
      <c r="IYS5" s="713" t="s">
        <v>956</v>
      </c>
      <c r="IYT5" s="713"/>
      <c r="IYU5" s="713"/>
      <c r="IYV5" s="713"/>
      <c r="IYW5" s="713"/>
      <c r="IYX5" s="713"/>
      <c r="IYY5" s="713"/>
      <c r="IYZ5" s="713"/>
      <c r="IZA5" s="713"/>
      <c r="IZB5" s="713"/>
      <c r="IZC5" s="713"/>
      <c r="IZD5" s="713"/>
      <c r="IZE5" s="713"/>
      <c r="IZF5" s="713"/>
      <c r="IZG5" s="713"/>
      <c r="IZH5" s="713"/>
      <c r="IZI5" s="713"/>
      <c r="IZJ5" s="713"/>
      <c r="IZK5" s="713"/>
      <c r="IZL5" s="713"/>
      <c r="IZM5" s="713"/>
      <c r="IZN5" s="713"/>
      <c r="IZO5" s="713"/>
      <c r="IZP5" s="713"/>
      <c r="IZQ5" s="713"/>
      <c r="IZR5" s="713"/>
      <c r="IZS5" s="713"/>
      <c r="IZT5" s="713"/>
      <c r="IZU5" s="713"/>
      <c r="IZV5" s="713"/>
      <c r="IZW5" s="713"/>
      <c r="IZX5" s="713"/>
      <c r="IZY5" s="713" t="s">
        <v>956</v>
      </c>
      <c r="IZZ5" s="713"/>
      <c r="JAA5" s="713"/>
      <c r="JAB5" s="713"/>
      <c r="JAC5" s="713"/>
      <c r="JAD5" s="713"/>
      <c r="JAE5" s="713"/>
      <c r="JAF5" s="713"/>
      <c r="JAG5" s="713"/>
      <c r="JAH5" s="713"/>
      <c r="JAI5" s="713"/>
      <c r="JAJ5" s="713"/>
      <c r="JAK5" s="713"/>
      <c r="JAL5" s="713"/>
      <c r="JAM5" s="713"/>
      <c r="JAN5" s="713"/>
      <c r="JAO5" s="713"/>
      <c r="JAP5" s="713"/>
      <c r="JAQ5" s="713"/>
      <c r="JAR5" s="713"/>
      <c r="JAS5" s="713"/>
      <c r="JAT5" s="713"/>
      <c r="JAU5" s="713"/>
      <c r="JAV5" s="713"/>
      <c r="JAW5" s="713"/>
      <c r="JAX5" s="713"/>
      <c r="JAY5" s="713"/>
      <c r="JAZ5" s="713"/>
      <c r="JBA5" s="713"/>
      <c r="JBB5" s="713"/>
      <c r="JBC5" s="713"/>
      <c r="JBD5" s="713"/>
      <c r="JBE5" s="713" t="s">
        <v>956</v>
      </c>
      <c r="JBF5" s="713"/>
      <c r="JBG5" s="713"/>
      <c r="JBH5" s="713"/>
      <c r="JBI5" s="713"/>
      <c r="JBJ5" s="713"/>
      <c r="JBK5" s="713"/>
      <c r="JBL5" s="713"/>
      <c r="JBM5" s="713"/>
      <c r="JBN5" s="713"/>
      <c r="JBO5" s="713"/>
      <c r="JBP5" s="713"/>
      <c r="JBQ5" s="713"/>
      <c r="JBR5" s="713"/>
      <c r="JBS5" s="713"/>
      <c r="JBT5" s="713"/>
      <c r="JBU5" s="713"/>
      <c r="JBV5" s="713"/>
      <c r="JBW5" s="713"/>
      <c r="JBX5" s="713"/>
      <c r="JBY5" s="713"/>
      <c r="JBZ5" s="713"/>
      <c r="JCA5" s="713"/>
      <c r="JCB5" s="713"/>
      <c r="JCC5" s="713"/>
      <c r="JCD5" s="713"/>
      <c r="JCE5" s="713"/>
      <c r="JCF5" s="713"/>
      <c r="JCG5" s="713"/>
      <c r="JCH5" s="713"/>
      <c r="JCI5" s="713"/>
      <c r="JCJ5" s="713"/>
      <c r="JCK5" s="713" t="s">
        <v>956</v>
      </c>
      <c r="JCL5" s="713"/>
      <c r="JCM5" s="713"/>
      <c r="JCN5" s="713"/>
      <c r="JCO5" s="713"/>
      <c r="JCP5" s="713"/>
      <c r="JCQ5" s="713"/>
      <c r="JCR5" s="713"/>
      <c r="JCS5" s="713"/>
      <c r="JCT5" s="713"/>
      <c r="JCU5" s="713"/>
      <c r="JCV5" s="713"/>
      <c r="JCW5" s="713"/>
      <c r="JCX5" s="713"/>
      <c r="JCY5" s="713"/>
      <c r="JCZ5" s="713"/>
      <c r="JDA5" s="713"/>
      <c r="JDB5" s="713"/>
      <c r="JDC5" s="713"/>
      <c r="JDD5" s="713"/>
      <c r="JDE5" s="713"/>
      <c r="JDF5" s="713"/>
      <c r="JDG5" s="713"/>
      <c r="JDH5" s="713"/>
      <c r="JDI5" s="713"/>
      <c r="JDJ5" s="713"/>
      <c r="JDK5" s="713"/>
      <c r="JDL5" s="713"/>
      <c r="JDM5" s="713"/>
      <c r="JDN5" s="713"/>
      <c r="JDO5" s="713"/>
      <c r="JDP5" s="713"/>
      <c r="JDQ5" s="713" t="s">
        <v>956</v>
      </c>
      <c r="JDR5" s="713"/>
      <c r="JDS5" s="713"/>
      <c r="JDT5" s="713"/>
      <c r="JDU5" s="713"/>
      <c r="JDV5" s="713"/>
      <c r="JDW5" s="713"/>
      <c r="JDX5" s="713"/>
      <c r="JDY5" s="713"/>
      <c r="JDZ5" s="713"/>
      <c r="JEA5" s="713"/>
      <c r="JEB5" s="713"/>
      <c r="JEC5" s="713"/>
      <c r="JED5" s="713"/>
      <c r="JEE5" s="713"/>
      <c r="JEF5" s="713"/>
      <c r="JEG5" s="713"/>
      <c r="JEH5" s="713"/>
      <c r="JEI5" s="713"/>
      <c r="JEJ5" s="713"/>
      <c r="JEK5" s="713"/>
      <c r="JEL5" s="713"/>
      <c r="JEM5" s="713"/>
      <c r="JEN5" s="713"/>
      <c r="JEO5" s="713"/>
      <c r="JEP5" s="713"/>
      <c r="JEQ5" s="713"/>
      <c r="JER5" s="713"/>
      <c r="JES5" s="713"/>
      <c r="JET5" s="713"/>
      <c r="JEU5" s="713"/>
      <c r="JEV5" s="713"/>
      <c r="JEW5" s="713" t="s">
        <v>956</v>
      </c>
      <c r="JEX5" s="713"/>
      <c r="JEY5" s="713"/>
      <c r="JEZ5" s="713"/>
      <c r="JFA5" s="713"/>
      <c r="JFB5" s="713"/>
      <c r="JFC5" s="713"/>
      <c r="JFD5" s="713"/>
      <c r="JFE5" s="713"/>
      <c r="JFF5" s="713"/>
      <c r="JFG5" s="713"/>
      <c r="JFH5" s="713"/>
      <c r="JFI5" s="713"/>
      <c r="JFJ5" s="713"/>
      <c r="JFK5" s="713"/>
      <c r="JFL5" s="713"/>
      <c r="JFM5" s="713"/>
      <c r="JFN5" s="713"/>
      <c r="JFO5" s="713"/>
      <c r="JFP5" s="713"/>
      <c r="JFQ5" s="713"/>
      <c r="JFR5" s="713"/>
      <c r="JFS5" s="713"/>
      <c r="JFT5" s="713"/>
      <c r="JFU5" s="713"/>
      <c r="JFV5" s="713"/>
      <c r="JFW5" s="713"/>
      <c r="JFX5" s="713"/>
      <c r="JFY5" s="713"/>
      <c r="JFZ5" s="713"/>
      <c r="JGA5" s="713"/>
      <c r="JGB5" s="713"/>
      <c r="JGC5" s="713" t="s">
        <v>956</v>
      </c>
      <c r="JGD5" s="713"/>
      <c r="JGE5" s="713"/>
      <c r="JGF5" s="713"/>
      <c r="JGG5" s="713"/>
      <c r="JGH5" s="713"/>
      <c r="JGI5" s="713"/>
      <c r="JGJ5" s="713"/>
      <c r="JGK5" s="713"/>
      <c r="JGL5" s="713"/>
      <c r="JGM5" s="713"/>
      <c r="JGN5" s="713"/>
      <c r="JGO5" s="713"/>
      <c r="JGP5" s="713"/>
      <c r="JGQ5" s="713"/>
      <c r="JGR5" s="713"/>
      <c r="JGS5" s="713"/>
      <c r="JGT5" s="713"/>
      <c r="JGU5" s="713"/>
      <c r="JGV5" s="713"/>
      <c r="JGW5" s="713"/>
      <c r="JGX5" s="713"/>
      <c r="JGY5" s="713"/>
      <c r="JGZ5" s="713"/>
      <c r="JHA5" s="713"/>
      <c r="JHB5" s="713"/>
      <c r="JHC5" s="713"/>
      <c r="JHD5" s="713"/>
      <c r="JHE5" s="713"/>
      <c r="JHF5" s="713"/>
      <c r="JHG5" s="713"/>
      <c r="JHH5" s="713"/>
      <c r="JHI5" s="713" t="s">
        <v>956</v>
      </c>
      <c r="JHJ5" s="713"/>
      <c r="JHK5" s="713"/>
      <c r="JHL5" s="713"/>
      <c r="JHM5" s="713"/>
      <c r="JHN5" s="713"/>
      <c r="JHO5" s="713"/>
      <c r="JHP5" s="713"/>
      <c r="JHQ5" s="713"/>
      <c r="JHR5" s="713"/>
      <c r="JHS5" s="713"/>
      <c r="JHT5" s="713"/>
      <c r="JHU5" s="713"/>
      <c r="JHV5" s="713"/>
      <c r="JHW5" s="713"/>
      <c r="JHX5" s="713"/>
      <c r="JHY5" s="713"/>
      <c r="JHZ5" s="713"/>
      <c r="JIA5" s="713"/>
      <c r="JIB5" s="713"/>
      <c r="JIC5" s="713"/>
      <c r="JID5" s="713"/>
      <c r="JIE5" s="713"/>
      <c r="JIF5" s="713"/>
      <c r="JIG5" s="713"/>
      <c r="JIH5" s="713"/>
      <c r="JII5" s="713"/>
      <c r="JIJ5" s="713"/>
      <c r="JIK5" s="713"/>
      <c r="JIL5" s="713"/>
      <c r="JIM5" s="713"/>
      <c r="JIN5" s="713"/>
      <c r="JIO5" s="713" t="s">
        <v>956</v>
      </c>
      <c r="JIP5" s="713"/>
      <c r="JIQ5" s="713"/>
      <c r="JIR5" s="713"/>
      <c r="JIS5" s="713"/>
      <c r="JIT5" s="713"/>
      <c r="JIU5" s="713"/>
      <c r="JIV5" s="713"/>
      <c r="JIW5" s="713"/>
      <c r="JIX5" s="713"/>
      <c r="JIY5" s="713"/>
      <c r="JIZ5" s="713"/>
      <c r="JJA5" s="713"/>
      <c r="JJB5" s="713"/>
      <c r="JJC5" s="713"/>
      <c r="JJD5" s="713"/>
      <c r="JJE5" s="713"/>
      <c r="JJF5" s="713"/>
      <c r="JJG5" s="713"/>
      <c r="JJH5" s="713"/>
      <c r="JJI5" s="713"/>
      <c r="JJJ5" s="713"/>
      <c r="JJK5" s="713"/>
      <c r="JJL5" s="713"/>
      <c r="JJM5" s="713"/>
      <c r="JJN5" s="713"/>
      <c r="JJO5" s="713"/>
      <c r="JJP5" s="713"/>
      <c r="JJQ5" s="713"/>
      <c r="JJR5" s="713"/>
      <c r="JJS5" s="713"/>
      <c r="JJT5" s="713"/>
      <c r="JJU5" s="713" t="s">
        <v>956</v>
      </c>
      <c r="JJV5" s="713"/>
      <c r="JJW5" s="713"/>
      <c r="JJX5" s="713"/>
      <c r="JJY5" s="713"/>
      <c r="JJZ5" s="713"/>
      <c r="JKA5" s="713"/>
      <c r="JKB5" s="713"/>
      <c r="JKC5" s="713"/>
      <c r="JKD5" s="713"/>
      <c r="JKE5" s="713"/>
      <c r="JKF5" s="713"/>
      <c r="JKG5" s="713"/>
      <c r="JKH5" s="713"/>
      <c r="JKI5" s="713"/>
      <c r="JKJ5" s="713"/>
      <c r="JKK5" s="713"/>
      <c r="JKL5" s="713"/>
      <c r="JKM5" s="713"/>
      <c r="JKN5" s="713"/>
      <c r="JKO5" s="713"/>
      <c r="JKP5" s="713"/>
      <c r="JKQ5" s="713"/>
      <c r="JKR5" s="713"/>
      <c r="JKS5" s="713"/>
      <c r="JKT5" s="713"/>
      <c r="JKU5" s="713"/>
      <c r="JKV5" s="713"/>
      <c r="JKW5" s="713"/>
      <c r="JKX5" s="713"/>
      <c r="JKY5" s="713"/>
      <c r="JKZ5" s="713"/>
      <c r="JLA5" s="713" t="s">
        <v>956</v>
      </c>
      <c r="JLB5" s="713"/>
      <c r="JLC5" s="713"/>
      <c r="JLD5" s="713"/>
      <c r="JLE5" s="713"/>
      <c r="JLF5" s="713"/>
      <c r="JLG5" s="713"/>
      <c r="JLH5" s="713"/>
      <c r="JLI5" s="713"/>
      <c r="JLJ5" s="713"/>
      <c r="JLK5" s="713"/>
      <c r="JLL5" s="713"/>
      <c r="JLM5" s="713"/>
      <c r="JLN5" s="713"/>
      <c r="JLO5" s="713"/>
      <c r="JLP5" s="713"/>
      <c r="JLQ5" s="713"/>
      <c r="JLR5" s="713"/>
      <c r="JLS5" s="713"/>
      <c r="JLT5" s="713"/>
      <c r="JLU5" s="713"/>
      <c r="JLV5" s="713"/>
      <c r="JLW5" s="713"/>
      <c r="JLX5" s="713"/>
      <c r="JLY5" s="713"/>
      <c r="JLZ5" s="713"/>
      <c r="JMA5" s="713"/>
      <c r="JMB5" s="713"/>
      <c r="JMC5" s="713"/>
      <c r="JMD5" s="713"/>
      <c r="JME5" s="713"/>
      <c r="JMF5" s="713"/>
      <c r="JMG5" s="713" t="s">
        <v>956</v>
      </c>
      <c r="JMH5" s="713"/>
      <c r="JMI5" s="713"/>
      <c r="JMJ5" s="713"/>
      <c r="JMK5" s="713"/>
      <c r="JML5" s="713"/>
      <c r="JMM5" s="713"/>
      <c r="JMN5" s="713"/>
      <c r="JMO5" s="713"/>
      <c r="JMP5" s="713"/>
      <c r="JMQ5" s="713"/>
      <c r="JMR5" s="713"/>
      <c r="JMS5" s="713"/>
      <c r="JMT5" s="713"/>
      <c r="JMU5" s="713"/>
      <c r="JMV5" s="713"/>
      <c r="JMW5" s="713"/>
      <c r="JMX5" s="713"/>
      <c r="JMY5" s="713"/>
      <c r="JMZ5" s="713"/>
      <c r="JNA5" s="713"/>
      <c r="JNB5" s="713"/>
      <c r="JNC5" s="713"/>
      <c r="JND5" s="713"/>
      <c r="JNE5" s="713"/>
      <c r="JNF5" s="713"/>
      <c r="JNG5" s="713"/>
      <c r="JNH5" s="713"/>
      <c r="JNI5" s="713"/>
      <c r="JNJ5" s="713"/>
      <c r="JNK5" s="713"/>
      <c r="JNL5" s="713"/>
      <c r="JNM5" s="713" t="s">
        <v>956</v>
      </c>
      <c r="JNN5" s="713"/>
      <c r="JNO5" s="713"/>
      <c r="JNP5" s="713"/>
      <c r="JNQ5" s="713"/>
      <c r="JNR5" s="713"/>
      <c r="JNS5" s="713"/>
      <c r="JNT5" s="713"/>
      <c r="JNU5" s="713"/>
      <c r="JNV5" s="713"/>
      <c r="JNW5" s="713"/>
      <c r="JNX5" s="713"/>
      <c r="JNY5" s="713"/>
      <c r="JNZ5" s="713"/>
      <c r="JOA5" s="713"/>
      <c r="JOB5" s="713"/>
      <c r="JOC5" s="713"/>
      <c r="JOD5" s="713"/>
      <c r="JOE5" s="713"/>
      <c r="JOF5" s="713"/>
      <c r="JOG5" s="713"/>
      <c r="JOH5" s="713"/>
      <c r="JOI5" s="713"/>
      <c r="JOJ5" s="713"/>
      <c r="JOK5" s="713"/>
      <c r="JOL5" s="713"/>
      <c r="JOM5" s="713"/>
      <c r="JON5" s="713"/>
      <c r="JOO5" s="713"/>
      <c r="JOP5" s="713"/>
      <c r="JOQ5" s="713"/>
      <c r="JOR5" s="713"/>
      <c r="JOS5" s="713" t="s">
        <v>956</v>
      </c>
      <c r="JOT5" s="713"/>
      <c r="JOU5" s="713"/>
      <c r="JOV5" s="713"/>
      <c r="JOW5" s="713"/>
      <c r="JOX5" s="713"/>
      <c r="JOY5" s="713"/>
      <c r="JOZ5" s="713"/>
      <c r="JPA5" s="713"/>
      <c r="JPB5" s="713"/>
      <c r="JPC5" s="713"/>
      <c r="JPD5" s="713"/>
      <c r="JPE5" s="713"/>
      <c r="JPF5" s="713"/>
      <c r="JPG5" s="713"/>
      <c r="JPH5" s="713"/>
      <c r="JPI5" s="713"/>
      <c r="JPJ5" s="713"/>
      <c r="JPK5" s="713"/>
      <c r="JPL5" s="713"/>
      <c r="JPM5" s="713"/>
      <c r="JPN5" s="713"/>
      <c r="JPO5" s="713"/>
      <c r="JPP5" s="713"/>
      <c r="JPQ5" s="713"/>
      <c r="JPR5" s="713"/>
      <c r="JPS5" s="713"/>
      <c r="JPT5" s="713"/>
      <c r="JPU5" s="713"/>
      <c r="JPV5" s="713"/>
      <c r="JPW5" s="713"/>
      <c r="JPX5" s="713"/>
      <c r="JPY5" s="713" t="s">
        <v>956</v>
      </c>
      <c r="JPZ5" s="713"/>
      <c r="JQA5" s="713"/>
      <c r="JQB5" s="713"/>
      <c r="JQC5" s="713"/>
      <c r="JQD5" s="713"/>
      <c r="JQE5" s="713"/>
      <c r="JQF5" s="713"/>
      <c r="JQG5" s="713"/>
      <c r="JQH5" s="713"/>
      <c r="JQI5" s="713"/>
      <c r="JQJ5" s="713"/>
      <c r="JQK5" s="713"/>
      <c r="JQL5" s="713"/>
      <c r="JQM5" s="713"/>
      <c r="JQN5" s="713"/>
      <c r="JQO5" s="713"/>
      <c r="JQP5" s="713"/>
      <c r="JQQ5" s="713"/>
      <c r="JQR5" s="713"/>
      <c r="JQS5" s="713"/>
      <c r="JQT5" s="713"/>
      <c r="JQU5" s="713"/>
      <c r="JQV5" s="713"/>
      <c r="JQW5" s="713"/>
      <c r="JQX5" s="713"/>
      <c r="JQY5" s="713"/>
      <c r="JQZ5" s="713"/>
      <c r="JRA5" s="713"/>
      <c r="JRB5" s="713"/>
      <c r="JRC5" s="713"/>
      <c r="JRD5" s="713"/>
      <c r="JRE5" s="713" t="s">
        <v>956</v>
      </c>
      <c r="JRF5" s="713"/>
      <c r="JRG5" s="713"/>
      <c r="JRH5" s="713"/>
      <c r="JRI5" s="713"/>
      <c r="JRJ5" s="713"/>
      <c r="JRK5" s="713"/>
      <c r="JRL5" s="713"/>
      <c r="JRM5" s="713"/>
      <c r="JRN5" s="713"/>
      <c r="JRO5" s="713"/>
      <c r="JRP5" s="713"/>
      <c r="JRQ5" s="713"/>
      <c r="JRR5" s="713"/>
      <c r="JRS5" s="713"/>
      <c r="JRT5" s="713"/>
      <c r="JRU5" s="713"/>
      <c r="JRV5" s="713"/>
      <c r="JRW5" s="713"/>
      <c r="JRX5" s="713"/>
      <c r="JRY5" s="713"/>
      <c r="JRZ5" s="713"/>
      <c r="JSA5" s="713"/>
      <c r="JSB5" s="713"/>
      <c r="JSC5" s="713"/>
      <c r="JSD5" s="713"/>
      <c r="JSE5" s="713"/>
      <c r="JSF5" s="713"/>
      <c r="JSG5" s="713"/>
      <c r="JSH5" s="713"/>
      <c r="JSI5" s="713"/>
      <c r="JSJ5" s="713"/>
      <c r="JSK5" s="713" t="s">
        <v>956</v>
      </c>
      <c r="JSL5" s="713"/>
      <c r="JSM5" s="713"/>
      <c r="JSN5" s="713"/>
      <c r="JSO5" s="713"/>
      <c r="JSP5" s="713"/>
      <c r="JSQ5" s="713"/>
      <c r="JSR5" s="713"/>
      <c r="JSS5" s="713"/>
      <c r="JST5" s="713"/>
      <c r="JSU5" s="713"/>
      <c r="JSV5" s="713"/>
      <c r="JSW5" s="713"/>
      <c r="JSX5" s="713"/>
      <c r="JSY5" s="713"/>
      <c r="JSZ5" s="713"/>
      <c r="JTA5" s="713"/>
      <c r="JTB5" s="713"/>
      <c r="JTC5" s="713"/>
      <c r="JTD5" s="713"/>
      <c r="JTE5" s="713"/>
      <c r="JTF5" s="713"/>
      <c r="JTG5" s="713"/>
      <c r="JTH5" s="713"/>
      <c r="JTI5" s="713"/>
      <c r="JTJ5" s="713"/>
      <c r="JTK5" s="713"/>
      <c r="JTL5" s="713"/>
      <c r="JTM5" s="713"/>
      <c r="JTN5" s="713"/>
      <c r="JTO5" s="713"/>
      <c r="JTP5" s="713"/>
      <c r="JTQ5" s="713" t="s">
        <v>956</v>
      </c>
      <c r="JTR5" s="713"/>
      <c r="JTS5" s="713"/>
      <c r="JTT5" s="713"/>
      <c r="JTU5" s="713"/>
      <c r="JTV5" s="713"/>
      <c r="JTW5" s="713"/>
      <c r="JTX5" s="713"/>
      <c r="JTY5" s="713"/>
      <c r="JTZ5" s="713"/>
      <c r="JUA5" s="713"/>
      <c r="JUB5" s="713"/>
      <c r="JUC5" s="713"/>
      <c r="JUD5" s="713"/>
      <c r="JUE5" s="713"/>
      <c r="JUF5" s="713"/>
      <c r="JUG5" s="713"/>
      <c r="JUH5" s="713"/>
      <c r="JUI5" s="713"/>
      <c r="JUJ5" s="713"/>
      <c r="JUK5" s="713"/>
      <c r="JUL5" s="713"/>
      <c r="JUM5" s="713"/>
      <c r="JUN5" s="713"/>
      <c r="JUO5" s="713"/>
      <c r="JUP5" s="713"/>
      <c r="JUQ5" s="713"/>
      <c r="JUR5" s="713"/>
      <c r="JUS5" s="713"/>
      <c r="JUT5" s="713"/>
      <c r="JUU5" s="713"/>
      <c r="JUV5" s="713"/>
      <c r="JUW5" s="713" t="s">
        <v>956</v>
      </c>
      <c r="JUX5" s="713"/>
      <c r="JUY5" s="713"/>
      <c r="JUZ5" s="713"/>
      <c r="JVA5" s="713"/>
      <c r="JVB5" s="713"/>
      <c r="JVC5" s="713"/>
      <c r="JVD5" s="713"/>
      <c r="JVE5" s="713"/>
      <c r="JVF5" s="713"/>
      <c r="JVG5" s="713"/>
      <c r="JVH5" s="713"/>
      <c r="JVI5" s="713"/>
      <c r="JVJ5" s="713"/>
      <c r="JVK5" s="713"/>
      <c r="JVL5" s="713"/>
      <c r="JVM5" s="713"/>
      <c r="JVN5" s="713"/>
      <c r="JVO5" s="713"/>
      <c r="JVP5" s="713"/>
      <c r="JVQ5" s="713"/>
      <c r="JVR5" s="713"/>
      <c r="JVS5" s="713"/>
      <c r="JVT5" s="713"/>
      <c r="JVU5" s="713"/>
      <c r="JVV5" s="713"/>
      <c r="JVW5" s="713"/>
      <c r="JVX5" s="713"/>
      <c r="JVY5" s="713"/>
      <c r="JVZ5" s="713"/>
      <c r="JWA5" s="713"/>
      <c r="JWB5" s="713"/>
      <c r="JWC5" s="713" t="s">
        <v>956</v>
      </c>
      <c r="JWD5" s="713"/>
      <c r="JWE5" s="713"/>
      <c r="JWF5" s="713"/>
      <c r="JWG5" s="713"/>
      <c r="JWH5" s="713"/>
      <c r="JWI5" s="713"/>
      <c r="JWJ5" s="713"/>
      <c r="JWK5" s="713"/>
      <c r="JWL5" s="713"/>
      <c r="JWM5" s="713"/>
      <c r="JWN5" s="713"/>
      <c r="JWO5" s="713"/>
      <c r="JWP5" s="713"/>
      <c r="JWQ5" s="713"/>
      <c r="JWR5" s="713"/>
      <c r="JWS5" s="713"/>
      <c r="JWT5" s="713"/>
      <c r="JWU5" s="713"/>
      <c r="JWV5" s="713"/>
      <c r="JWW5" s="713"/>
      <c r="JWX5" s="713"/>
      <c r="JWY5" s="713"/>
      <c r="JWZ5" s="713"/>
      <c r="JXA5" s="713"/>
      <c r="JXB5" s="713"/>
      <c r="JXC5" s="713"/>
      <c r="JXD5" s="713"/>
      <c r="JXE5" s="713"/>
      <c r="JXF5" s="713"/>
      <c r="JXG5" s="713"/>
      <c r="JXH5" s="713"/>
      <c r="JXI5" s="713" t="s">
        <v>956</v>
      </c>
      <c r="JXJ5" s="713"/>
      <c r="JXK5" s="713"/>
      <c r="JXL5" s="713"/>
      <c r="JXM5" s="713"/>
      <c r="JXN5" s="713"/>
      <c r="JXO5" s="713"/>
      <c r="JXP5" s="713"/>
      <c r="JXQ5" s="713"/>
      <c r="JXR5" s="713"/>
      <c r="JXS5" s="713"/>
      <c r="JXT5" s="713"/>
      <c r="JXU5" s="713"/>
      <c r="JXV5" s="713"/>
      <c r="JXW5" s="713"/>
      <c r="JXX5" s="713"/>
      <c r="JXY5" s="713"/>
      <c r="JXZ5" s="713"/>
      <c r="JYA5" s="713"/>
      <c r="JYB5" s="713"/>
      <c r="JYC5" s="713"/>
      <c r="JYD5" s="713"/>
      <c r="JYE5" s="713"/>
      <c r="JYF5" s="713"/>
      <c r="JYG5" s="713"/>
      <c r="JYH5" s="713"/>
      <c r="JYI5" s="713"/>
      <c r="JYJ5" s="713"/>
      <c r="JYK5" s="713"/>
      <c r="JYL5" s="713"/>
      <c r="JYM5" s="713"/>
      <c r="JYN5" s="713"/>
      <c r="JYO5" s="713" t="s">
        <v>956</v>
      </c>
      <c r="JYP5" s="713"/>
      <c r="JYQ5" s="713"/>
      <c r="JYR5" s="713"/>
      <c r="JYS5" s="713"/>
      <c r="JYT5" s="713"/>
      <c r="JYU5" s="713"/>
      <c r="JYV5" s="713"/>
      <c r="JYW5" s="713"/>
      <c r="JYX5" s="713"/>
      <c r="JYY5" s="713"/>
      <c r="JYZ5" s="713"/>
      <c r="JZA5" s="713"/>
      <c r="JZB5" s="713"/>
      <c r="JZC5" s="713"/>
      <c r="JZD5" s="713"/>
      <c r="JZE5" s="713"/>
      <c r="JZF5" s="713"/>
      <c r="JZG5" s="713"/>
      <c r="JZH5" s="713"/>
      <c r="JZI5" s="713"/>
      <c r="JZJ5" s="713"/>
      <c r="JZK5" s="713"/>
      <c r="JZL5" s="713"/>
      <c r="JZM5" s="713"/>
      <c r="JZN5" s="713"/>
      <c r="JZO5" s="713"/>
      <c r="JZP5" s="713"/>
      <c r="JZQ5" s="713"/>
      <c r="JZR5" s="713"/>
      <c r="JZS5" s="713"/>
      <c r="JZT5" s="713"/>
      <c r="JZU5" s="713" t="s">
        <v>956</v>
      </c>
      <c r="JZV5" s="713"/>
      <c r="JZW5" s="713"/>
      <c r="JZX5" s="713"/>
      <c r="JZY5" s="713"/>
      <c r="JZZ5" s="713"/>
      <c r="KAA5" s="713"/>
      <c r="KAB5" s="713"/>
      <c r="KAC5" s="713"/>
      <c r="KAD5" s="713"/>
      <c r="KAE5" s="713"/>
      <c r="KAF5" s="713"/>
      <c r="KAG5" s="713"/>
      <c r="KAH5" s="713"/>
      <c r="KAI5" s="713"/>
      <c r="KAJ5" s="713"/>
      <c r="KAK5" s="713"/>
      <c r="KAL5" s="713"/>
      <c r="KAM5" s="713"/>
      <c r="KAN5" s="713"/>
      <c r="KAO5" s="713"/>
      <c r="KAP5" s="713"/>
      <c r="KAQ5" s="713"/>
      <c r="KAR5" s="713"/>
      <c r="KAS5" s="713"/>
      <c r="KAT5" s="713"/>
      <c r="KAU5" s="713"/>
      <c r="KAV5" s="713"/>
      <c r="KAW5" s="713"/>
      <c r="KAX5" s="713"/>
      <c r="KAY5" s="713"/>
      <c r="KAZ5" s="713"/>
      <c r="KBA5" s="713" t="s">
        <v>956</v>
      </c>
      <c r="KBB5" s="713"/>
      <c r="KBC5" s="713"/>
      <c r="KBD5" s="713"/>
      <c r="KBE5" s="713"/>
      <c r="KBF5" s="713"/>
      <c r="KBG5" s="713"/>
      <c r="KBH5" s="713"/>
      <c r="KBI5" s="713"/>
      <c r="KBJ5" s="713"/>
      <c r="KBK5" s="713"/>
      <c r="KBL5" s="713"/>
      <c r="KBM5" s="713"/>
      <c r="KBN5" s="713"/>
      <c r="KBO5" s="713"/>
      <c r="KBP5" s="713"/>
      <c r="KBQ5" s="713"/>
      <c r="KBR5" s="713"/>
      <c r="KBS5" s="713"/>
      <c r="KBT5" s="713"/>
      <c r="KBU5" s="713"/>
      <c r="KBV5" s="713"/>
      <c r="KBW5" s="713"/>
      <c r="KBX5" s="713"/>
      <c r="KBY5" s="713"/>
      <c r="KBZ5" s="713"/>
      <c r="KCA5" s="713"/>
      <c r="KCB5" s="713"/>
      <c r="KCC5" s="713"/>
      <c r="KCD5" s="713"/>
      <c r="KCE5" s="713"/>
      <c r="KCF5" s="713"/>
      <c r="KCG5" s="713" t="s">
        <v>956</v>
      </c>
      <c r="KCH5" s="713"/>
      <c r="KCI5" s="713"/>
      <c r="KCJ5" s="713"/>
      <c r="KCK5" s="713"/>
      <c r="KCL5" s="713"/>
      <c r="KCM5" s="713"/>
      <c r="KCN5" s="713"/>
      <c r="KCO5" s="713"/>
      <c r="KCP5" s="713"/>
      <c r="KCQ5" s="713"/>
      <c r="KCR5" s="713"/>
      <c r="KCS5" s="713"/>
      <c r="KCT5" s="713"/>
      <c r="KCU5" s="713"/>
      <c r="KCV5" s="713"/>
      <c r="KCW5" s="713"/>
      <c r="KCX5" s="713"/>
      <c r="KCY5" s="713"/>
      <c r="KCZ5" s="713"/>
      <c r="KDA5" s="713"/>
      <c r="KDB5" s="713"/>
      <c r="KDC5" s="713"/>
      <c r="KDD5" s="713"/>
      <c r="KDE5" s="713"/>
      <c r="KDF5" s="713"/>
      <c r="KDG5" s="713"/>
      <c r="KDH5" s="713"/>
      <c r="KDI5" s="713"/>
      <c r="KDJ5" s="713"/>
      <c r="KDK5" s="713"/>
      <c r="KDL5" s="713"/>
      <c r="KDM5" s="713" t="s">
        <v>956</v>
      </c>
      <c r="KDN5" s="713"/>
      <c r="KDO5" s="713"/>
      <c r="KDP5" s="713"/>
      <c r="KDQ5" s="713"/>
      <c r="KDR5" s="713"/>
      <c r="KDS5" s="713"/>
      <c r="KDT5" s="713"/>
      <c r="KDU5" s="713"/>
      <c r="KDV5" s="713"/>
      <c r="KDW5" s="713"/>
      <c r="KDX5" s="713"/>
      <c r="KDY5" s="713"/>
      <c r="KDZ5" s="713"/>
      <c r="KEA5" s="713"/>
      <c r="KEB5" s="713"/>
      <c r="KEC5" s="713"/>
      <c r="KED5" s="713"/>
      <c r="KEE5" s="713"/>
      <c r="KEF5" s="713"/>
      <c r="KEG5" s="713"/>
      <c r="KEH5" s="713"/>
      <c r="KEI5" s="713"/>
      <c r="KEJ5" s="713"/>
      <c r="KEK5" s="713"/>
      <c r="KEL5" s="713"/>
      <c r="KEM5" s="713"/>
      <c r="KEN5" s="713"/>
      <c r="KEO5" s="713"/>
      <c r="KEP5" s="713"/>
      <c r="KEQ5" s="713"/>
      <c r="KER5" s="713"/>
      <c r="KES5" s="713" t="s">
        <v>956</v>
      </c>
      <c r="KET5" s="713"/>
      <c r="KEU5" s="713"/>
      <c r="KEV5" s="713"/>
      <c r="KEW5" s="713"/>
      <c r="KEX5" s="713"/>
      <c r="KEY5" s="713"/>
      <c r="KEZ5" s="713"/>
      <c r="KFA5" s="713"/>
      <c r="KFB5" s="713"/>
      <c r="KFC5" s="713"/>
      <c r="KFD5" s="713"/>
      <c r="KFE5" s="713"/>
      <c r="KFF5" s="713"/>
      <c r="KFG5" s="713"/>
      <c r="KFH5" s="713"/>
      <c r="KFI5" s="713"/>
      <c r="KFJ5" s="713"/>
      <c r="KFK5" s="713"/>
      <c r="KFL5" s="713"/>
      <c r="KFM5" s="713"/>
      <c r="KFN5" s="713"/>
      <c r="KFO5" s="713"/>
      <c r="KFP5" s="713"/>
      <c r="KFQ5" s="713"/>
      <c r="KFR5" s="713"/>
      <c r="KFS5" s="713"/>
      <c r="KFT5" s="713"/>
      <c r="KFU5" s="713"/>
      <c r="KFV5" s="713"/>
      <c r="KFW5" s="713"/>
      <c r="KFX5" s="713"/>
      <c r="KFY5" s="713" t="s">
        <v>956</v>
      </c>
      <c r="KFZ5" s="713"/>
      <c r="KGA5" s="713"/>
      <c r="KGB5" s="713"/>
      <c r="KGC5" s="713"/>
      <c r="KGD5" s="713"/>
      <c r="KGE5" s="713"/>
      <c r="KGF5" s="713"/>
      <c r="KGG5" s="713"/>
      <c r="KGH5" s="713"/>
      <c r="KGI5" s="713"/>
      <c r="KGJ5" s="713"/>
      <c r="KGK5" s="713"/>
      <c r="KGL5" s="713"/>
      <c r="KGM5" s="713"/>
      <c r="KGN5" s="713"/>
      <c r="KGO5" s="713"/>
      <c r="KGP5" s="713"/>
      <c r="KGQ5" s="713"/>
      <c r="KGR5" s="713"/>
      <c r="KGS5" s="713"/>
      <c r="KGT5" s="713"/>
      <c r="KGU5" s="713"/>
      <c r="KGV5" s="713"/>
      <c r="KGW5" s="713"/>
      <c r="KGX5" s="713"/>
      <c r="KGY5" s="713"/>
      <c r="KGZ5" s="713"/>
      <c r="KHA5" s="713"/>
      <c r="KHB5" s="713"/>
      <c r="KHC5" s="713"/>
      <c r="KHD5" s="713"/>
      <c r="KHE5" s="713" t="s">
        <v>956</v>
      </c>
      <c r="KHF5" s="713"/>
      <c r="KHG5" s="713"/>
      <c r="KHH5" s="713"/>
      <c r="KHI5" s="713"/>
      <c r="KHJ5" s="713"/>
      <c r="KHK5" s="713"/>
      <c r="KHL5" s="713"/>
      <c r="KHM5" s="713"/>
      <c r="KHN5" s="713"/>
      <c r="KHO5" s="713"/>
      <c r="KHP5" s="713"/>
      <c r="KHQ5" s="713"/>
      <c r="KHR5" s="713"/>
      <c r="KHS5" s="713"/>
      <c r="KHT5" s="713"/>
      <c r="KHU5" s="713"/>
      <c r="KHV5" s="713"/>
      <c r="KHW5" s="713"/>
      <c r="KHX5" s="713"/>
      <c r="KHY5" s="713"/>
      <c r="KHZ5" s="713"/>
      <c r="KIA5" s="713"/>
      <c r="KIB5" s="713"/>
      <c r="KIC5" s="713"/>
      <c r="KID5" s="713"/>
      <c r="KIE5" s="713"/>
      <c r="KIF5" s="713"/>
      <c r="KIG5" s="713"/>
      <c r="KIH5" s="713"/>
      <c r="KII5" s="713"/>
      <c r="KIJ5" s="713"/>
      <c r="KIK5" s="713" t="s">
        <v>956</v>
      </c>
      <c r="KIL5" s="713"/>
      <c r="KIM5" s="713"/>
      <c r="KIN5" s="713"/>
      <c r="KIO5" s="713"/>
      <c r="KIP5" s="713"/>
      <c r="KIQ5" s="713"/>
      <c r="KIR5" s="713"/>
      <c r="KIS5" s="713"/>
      <c r="KIT5" s="713"/>
      <c r="KIU5" s="713"/>
      <c r="KIV5" s="713"/>
      <c r="KIW5" s="713"/>
      <c r="KIX5" s="713"/>
      <c r="KIY5" s="713"/>
      <c r="KIZ5" s="713"/>
      <c r="KJA5" s="713"/>
      <c r="KJB5" s="713"/>
      <c r="KJC5" s="713"/>
      <c r="KJD5" s="713"/>
      <c r="KJE5" s="713"/>
      <c r="KJF5" s="713"/>
      <c r="KJG5" s="713"/>
      <c r="KJH5" s="713"/>
      <c r="KJI5" s="713"/>
      <c r="KJJ5" s="713"/>
      <c r="KJK5" s="713"/>
      <c r="KJL5" s="713"/>
      <c r="KJM5" s="713"/>
      <c r="KJN5" s="713"/>
      <c r="KJO5" s="713"/>
      <c r="KJP5" s="713"/>
      <c r="KJQ5" s="713" t="s">
        <v>956</v>
      </c>
      <c r="KJR5" s="713"/>
      <c r="KJS5" s="713"/>
      <c r="KJT5" s="713"/>
      <c r="KJU5" s="713"/>
      <c r="KJV5" s="713"/>
      <c r="KJW5" s="713"/>
      <c r="KJX5" s="713"/>
      <c r="KJY5" s="713"/>
      <c r="KJZ5" s="713"/>
      <c r="KKA5" s="713"/>
      <c r="KKB5" s="713"/>
      <c r="KKC5" s="713"/>
      <c r="KKD5" s="713"/>
      <c r="KKE5" s="713"/>
      <c r="KKF5" s="713"/>
      <c r="KKG5" s="713"/>
      <c r="KKH5" s="713"/>
      <c r="KKI5" s="713"/>
      <c r="KKJ5" s="713"/>
      <c r="KKK5" s="713"/>
      <c r="KKL5" s="713"/>
      <c r="KKM5" s="713"/>
      <c r="KKN5" s="713"/>
      <c r="KKO5" s="713"/>
      <c r="KKP5" s="713"/>
      <c r="KKQ5" s="713"/>
      <c r="KKR5" s="713"/>
      <c r="KKS5" s="713"/>
      <c r="KKT5" s="713"/>
      <c r="KKU5" s="713"/>
      <c r="KKV5" s="713"/>
      <c r="KKW5" s="713" t="s">
        <v>956</v>
      </c>
      <c r="KKX5" s="713"/>
      <c r="KKY5" s="713"/>
      <c r="KKZ5" s="713"/>
      <c r="KLA5" s="713"/>
      <c r="KLB5" s="713"/>
      <c r="KLC5" s="713"/>
      <c r="KLD5" s="713"/>
      <c r="KLE5" s="713"/>
      <c r="KLF5" s="713"/>
      <c r="KLG5" s="713"/>
      <c r="KLH5" s="713"/>
      <c r="KLI5" s="713"/>
      <c r="KLJ5" s="713"/>
      <c r="KLK5" s="713"/>
      <c r="KLL5" s="713"/>
      <c r="KLM5" s="713"/>
      <c r="KLN5" s="713"/>
      <c r="KLO5" s="713"/>
      <c r="KLP5" s="713"/>
      <c r="KLQ5" s="713"/>
      <c r="KLR5" s="713"/>
      <c r="KLS5" s="713"/>
      <c r="KLT5" s="713"/>
      <c r="KLU5" s="713"/>
      <c r="KLV5" s="713"/>
      <c r="KLW5" s="713"/>
      <c r="KLX5" s="713"/>
      <c r="KLY5" s="713"/>
      <c r="KLZ5" s="713"/>
      <c r="KMA5" s="713"/>
      <c r="KMB5" s="713"/>
      <c r="KMC5" s="713" t="s">
        <v>956</v>
      </c>
      <c r="KMD5" s="713"/>
      <c r="KME5" s="713"/>
      <c r="KMF5" s="713"/>
      <c r="KMG5" s="713"/>
      <c r="KMH5" s="713"/>
      <c r="KMI5" s="713"/>
      <c r="KMJ5" s="713"/>
      <c r="KMK5" s="713"/>
      <c r="KML5" s="713"/>
      <c r="KMM5" s="713"/>
      <c r="KMN5" s="713"/>
      <c r="KMO5" s="713"/>
      <c r="KMP5" s="713"/>
      <c r="KMQ5" s="713"/>
      <c r="KMR5" s="713"/>
      <c r="KMS5" s="713"/>
      <c r="KMT5" s="713"/>
      <c r="KMU5" s="713"/>
      <c r="KMV5" s="713"/>
      <c r="KMW5" s="713"/>
      <c r="KMX5" s="713"/>
      <c r="KMY5" s="713"/>
      <c r="KMZ5" s="713"/>
      <c r="KNA5" s="713"/>
      <c r="KNB5" s="713"/>
      <c r="KNC5" s="713"/>
      <c r="KND5" s="713"/>
      <c r="KNE5" s="713"/>
      <c r="KNF5" s="713"/>
      <c r="KNG5" s="713"/>
      <c r="KNH5" s="713"/>
      <c r="KNI5" s="713" t="s">
        <v>956</v>
      </c>
      <c r="KNJ5" s="713"/>
      <c r="KNK5" s="713"/>
      <c r="KNL5" s="713"/>
      <c r="KNM5" s="713"/>
      <c r="KNN5" s="713"/>
      <c r="KNO5" s="713"/>
      <c r="KNP5" s="713"/>
      <c r="KNQ5" s="713"/>
      <c r="KNR5" s="713"/>
      <c r="KNS5" s="713"/>
      <c r="KNT5" s="713"/>
      <c r="KNU5" s="713"/>
      <c r="KNV5" s="713"/>
      <c r="KNW5" s="713"/>
      <c r="KNX5" s="713"/>
      <c r="KNY5" s="713"/>
      <c r="KNZ5" s="713"/>
      <c r="KOA5" s="713"/>
      <c r="KOB5" s="713"/>
      <c r="KOC5" s="713"/>
      <c r="KOD5" s="713"/>
      <c r="KOE5" s="713"/>
      <c r="KOF5" s="713"/>
      <c r="KOG5" s="713"/>
      <c r="KOH5" s="713"/>
      <c r="KOI5" s="713"/>
      <c r="KOJ5" s="713"/>
      <c r="KOK5" s="713"/>
      <c r="KOL5" s="713"/>
      <c r="KOM5" s="713"/>
      <c r="KON5" s="713"/>
      <c r="KOO5" s="713" t="s">
        <v>956</v>
      </c>
      <c r="KOP5" s="713"/>
      <c r="KOQ5" s="713"/>
      <c r="KOR5" s="713"/>
      <c r="KOS5" s="713"/>
      <c r="KOT5" s="713"/>
      <c r="KOU5" s="713"/>
      <c r="KOV5" s="713"/>
      <c r="KOW5" s="713"/>
      <c r="KOX5" s="713"/>
      <c r="KOY5" s="713"/>
      <c r="KOZ5" s="713"/>
      <c r="KPA5" s="713"/>
      <c r="KPB5" s="713"/>
      <c r="KPC5" s="713"/>
      <c r="KPD5" s="713"/>
      <c r="KPE5" s="713"/>
      <c r="KPF5" s="713"/>
      <c r="KPG5" s="713"/>
      <c r="KPH5" s="713"/>
      <c r="KPI5" s="713"/>
      <c r="KPJ5" s="713"/>
      <c r="KPK5" s="713"/>
      <c r="KPL5" s="713"/>
      <c r="KPM5" s="713"/>
      <c r="KPN5" s="713"/>
      <c r="KPO5" s="713"/>
      <c r="KPP5" s="713"/>
      <c r="KPQ5" s="713"/>
      <c r="KPR5" s="713"/>
      <c r="KPS5" s="713"/>
      <c r="KPT5" s="713"/>
      <c r="KPU5" s="713" t="s">
        <v>956</v>
      </c>
      <c r="KPV5" s="713"/>
      <c r="KPW5" s="713"/>
      <c r="KPX5" s="713"/>
      <c r="KPY5" s="713"/>
      <c r="KPZ5" s="713"/>
      <c r="KQA5" s="713"/>
      <c r="KQB5" s="713"/>
      <c r="KQC5" s="713"/>
      <c r="KQD5" s="713"/>
      <c r="KQE5" s="713"/>
      <c r="KQF5" s="713"/>
      <c r="KQG5" s="713"/>
      <c r="KQH5" s="713"/>
      <c r="KQI5" s="713"/>
      <c r="KQJ5" s="713"/>
      <c r="KQK5" s="713"/>
      <c r="KQL5" s="713"/>
      <c r="KQM5" s="713"/>
      <c r="KQN5" s="713"/>
      <c r="KQO5" s="713"/>
      <c r="KQP5" s="713"/>
      <c r="KQQ5" s="713"/>
      <c r="KQR5" s="713"/>
      <c r="KQS5" s="713"/>
      <c r="KQT5" s="713"/>
      <c r="KQU5" s="713"/>
      <c r="KQV5" s="713"/>
      <c r="KQW5" s="713"/>
      <c r="KQX5" s="713"/>
      <c r="KQY5" s="713"/>
      <c r="KQZ5" s="713"/>
      <c r="KRA5" s="713" t="s">
        <v>956</v>
      </c>
      <c r="KRB5" s="713"/>
      <c r="KRC5" s="713"/>
      <c r="KRD5" s="713"/>
      <c r="KRE5" s="713"/>
      <c r="KRF5" s="713"/>
      <c r="KRG5" s="713"/>
      <c r="KRH5" s="713"/>
      <c r="KRI5" s="713"/>
      <c r="KRJ5" s="713"/>
      <c r="KRK5" s="713"/>
      <c r="KRL5" s="713"/>
      <c r="KRM5" s="713"/>
      <c r="KRN5" s="713"/>
      <c r="KRO5" s="713"/>
      <c r="KRP5" s="713"/>
      <c r="KRQ5" s="713"/>
      <c r="KRR5" s="713"/>
      <c r="KRS5" s="713"/>
      <c r="KRT5" s="713"/>
      <c r="KRU5" s="713"/>
      <c r="KRV5" s="713"/>
      <c r="KRW5" s="713"/>
      <c r="KRX5" s="713"/>
      <c r="KRY5" s="713"/>
      <c r="KRZ5" s="713"/>
      <c r="KSA5" s="713"/>
      <c r="KSB5" s="713"/>
      <c r="KSC5" s="713"/>
      <c r="KSD5" s="713"/>
      <c r="KSE5" s="713"/>
      <c r="KSF5" s="713"/>
      <c r="KSG5" s="713" t="s">
        <v>956</v>
      </c>
      <c r="KSH5" s="713"/>
      <c r="KSI5" s="713"/>
      <c r="KSJ5" s="713"/>
      <c r="KSK5" s="713"/>
      <c r="KSL5" s="713"/>
      <c r="KSM5" s="713"/>
      <c r="KSN5" s="713"/>
      <c r="KSO5" s="713"/>
      <c r="KSP5" s="713"/>
      <c r="KSQ5" s="713"/>
      <c r="KSR5" s="713"/>
      <c r="KSS5" s="713"/>
      <c r="KST5" s="713"/>
      <c r="KSU5" s="713"/>
      <c r="KSV5" s="713"/>
      <c r="KSW5" s="713"/>
      <c r="KSX5" s="713"/>
      <c r="KSY5" s="713"/>
      <c r="KSZ5" s="713"/>
      <c r="KTA5" s="713"/>
      <c r="KTB5" s="713"/>
      <c r="KTC5" s="713"/>
      <c r="KTD5" s="713"/>
      <c r="KTE5" s="713"/>
      <c r="KTF5" s="713"/>
      <c r="KTG5" s="713"/>
      <c r="KTH5" s="713"/>
      <c r="KTI5" s="713"/>
      <c r="KTJ5" s="713"/>
      <c r="KTK5" s="713"/>
      <c r="KTL5" s="713"/>
      <c r="KTM5" s="713" t="s">
        <v>956</v>
      </c>
      <c r="KTN5" s="713"/>
      <c r="KTO5" s="713"/>
      <c r="KTP5" s="713"/>
      <c r="KTQ5" s="713"/>
      <c r="KTR5" s="713"/>
      <c r="KTS5" s="713"/>
      <c r="KTT5" s="713"/>
      <c r="KTU5" s="713"/>
      <c r="KTV5" s="713"/>
      <c r="KTW5" s="713"/>
      <c r="KTX5" s="713"/>
      <c r="KTY5" s="713"/>
      <c r="KTZ5" s="713"/>
      <c r="KUA5" s="713"/>
      <c r="KUB5" s="713"/>
      <c r="KUC5" s="713"/>
      <c r="KUD5" s="713"/>
      <c r="KUE5" s="713"/>
      <c r="KUF5" s="713"/>
      <c r="KUG5" s="713"/>
      <c r="KUH5" s="713"/>
      <c r="KUI5" s="713"/>
      <c r="KUJ5" s="713"/>
      <c r="KUK5" s="713"/>
      <c r="KUL5" s="713"/>
      <c r="KUM5" s="713"/>
      <c r="KUN5" s="713"/>
      <c r="KUO5" s="713"/>
      <c r="KUP5" s="713"/>
      <c r="KUQ5" s="713"/>
      <c r="KUR5" s="713"/>
      <c r="KUS5" s="713" t="s">
        <v>956</v>
      </c>
      <c r="KUT5" s="713"/>
      <c r="KUU5" s="713"/>
      <c r="KUV5" s="713"/>
      <c r="KUW5" s="713"/>
      <c r="KUX5" s="713"/>
      <c r="KUY5" s="713"/>
      <c r="KUZ5" s="713"/>
      <c r="KVA5" s="713"/>
      <c r="KVB5" s="713"/>
      <c r="KVC5" s="713"/>
      <c r="KVD5" s="713"/>
      <c r="KVE5" s="713"/>
      <c r="KVF5" s="713"/>
      <c r="KVG5" s="713"/>
      <c r="KVH5" s="713"/>
      <c r="KVI5" s="713"/>
      <c r="KVJ5" s="713"/>
      <c r="KVK5" s="713"/>
      <c r="KVL5" s="713"/>
      <c r="KVM5" s="713"/>
      <c r="KVN5" s="713"/>
      <c r="KVO5" s="713"/>
      <c r="KVP5" s="713"/>
      <c r="KVQ5" s="713"/>
      <c r="KVR5" s="713"/>
      <c r="KVS5" s="713"/>
      <c r="KVT5" s="713"/>
      <c r="KVU5" s="713"/>
      <c r="KVV5" s="713"/>
      <c r="KVW5" s="713"/>
      <c r="KVX5" s="713"/>
      <c r="KVY5" s="713" t="s">
        <v>956</v>
      </c>
      <c r="KVZ5" s="713"/>
      <c r="KWA5" s="713"/>
      <c r="KWB5" s="713"/>
      <c r="KWC5" s="713"/>
      <c r="KWD5" s="713"/>
      <c r="KWE5" s="713"/>
      <c r="KWF5" s="713"/>
      <c r="KWG5" s="713"/>
      <c r="KWH5" s="713"/>
      <c r="KWI5" s="713"/>
      <c r="KWJ5" s="713"/>
      <c r="KWK5" s="713"/>
      <c r="KWL5" s="713"/>
      <c r="KWM5" s="713"/>
      <c r="KWN5" s="713"/>
      <c r="KWO5" s="713"/>
      <c r="KWP5" s="713"/>
      <c r="KWQ5" s="713"/>
      <c r="KWR5" s="713"/>
      <c r="KWS5" s="713"/>
      <c r="KWT5" s="713"/>
      <c r="KWU5" s="713"/>
      <c r="KWV5" s="713"/>
      <c r="KWW5" s="713"/>
      <c r="KWX5" s="713"/>
      <c r="KWY5" s="713"/>
      <c r="KWZ5" s="713"/>
      <c r="KXA5" s="713"/>
      <c r="KXB5" s="713"/>
      <c r="KXC5" s="713"/>
      <c r="KXD5" s="713"/>
      <c r="KXE5" s="713" t="s">
        <v>956</v>
      </c>
      <c r="KXF5" s="713"/>
      <c r="KXG5" s="713"/>
      <c r="KXH5" s="713"/>
      <c r="KXI5" s="713"/>
      <c r="KXJ5" s="713"/>
      <c r="KXK5" s="713"/>
      <c r="KXL5" s="713"/>
      <c r="KXM5" s="713"/>
      <c r="KXN5" s="713"/>
      <c r="KXO5" s="713"/>
      <c r="KXP5" s="713"/>
      <c r="KXQ5" s="713"/>
      <c r="KXR5" s="713"/>
      <c r="KXS5" s="713"/>
      <c r="KXT5" s="713"/>
      <c r="KXU5" s="713"/>
      <c r="KXV5" s="713"/>
      <c r="KXW5" s="713"/>
      <c r="KXX5" s="713"/>
      <c r="KXY5" s="713"/>
      <c r="KXZ5" s="713"/>
      <c r="KYA5" s="713"/>
      <c r="KYB5" s="713"/>
      <c r="KYC5" s="713"/>
      <c r="KYD5" s="713"/>
      <c r="KYE5" s="713"/>
      <c r="KYF5" s="713"/>
      <c r="KYG5" s="713"/>
      <c r="KYH5" s="713"/>
      <c r="KYI5" s="713"/>
      <c r="KYJ5" s="713"/>
      <c r="KYK5" s="713" t="s">
        <v>956</v>
      </c>
      <c r="KYL5" s="713"/>
      <c r="KYM5" s="713"/>
      <c r="KYN5" s="713"/>
      <c r="KYO5" s="713"/>
      <c r="KYP5" s="713"/>
      <c r="KYQ5" s="713"/>
      <c r="KYR5" s="713"/>
      <c r="KYS5" s="713"/>
      <c r="KYT5" s="713"/>
      <c r="KYU5" s="713"/>
      <c r="KYV5" s="713"/>
      <c r="KYW5" s="713"/>
      <c r="KYX5" s="713"/>
      <c r="KYY5" s="713"/>
      <c r="KYZ5" s="713"/>
      <c r="KZA5" s="713"/>
      <c r="KZB5" s="713"/>
      <c r="KZC5" s="713"/>
      <c r="KZD5" s="713"/>
      <c r="KZE5" s="713"/>
      <c r="KZF5" s="713"/>
      <c r="KZG5" s="713"/>
      <c r="KZH5" s="713"/>
      <c r="KZI5" s="713"/>
      <c r="KZJ5" s="713"/>
      <c r="KZK5" s="713"/>
      <c r="KZL5" s="713"/>
      <c r="KZM5" s="713"/>
      <c r="KZN5" s="713"/>
      <c r="KZO5" s="713"/>
      <c r="KZP5" s="713"/>
      <c r="KZQ5" s="713" t="s">
        <v>956</v>
      </c>
      <c r="KZR5" s="713"/>
      <c r="KZS5" s="713"/>
      <c r="KZT5" s="713"/>
      <c r="KZU5" s="713"/>
      <c r="KZV5" s="713"/>
      <c r="KZW5" s="713"/>
      <c r="KZX5" s="713"/>
      <c r="KZY5" s="713"/>
      <c r="KZZ5" s="713"/>
      <c r="LAA5" s="713"/>
      <c r="LAB5" s="713"/>
      <c r="LAC5" s="713"/>
      <c r="LAD5" s="713"/>
      <c r="LAE5" s="713"/>
      <c r="LAF5" s="713"/>
      <c r="LAG5" s="713"/>
      <c r="LAH5" s="713"/>
      <c r="LAI5" s="713"/>
      <c r="LAJ5" s="713"/>
      <c r="LAK5" s="713"/>
      <c r="LAL5" s="713"/>
      <c r="LAM5" s="713"/>
      <c r="LAN5" s="713"/>
      <c r="LAO5" s="713"/>
      <c r="LAP5" s="713"/>
      <c r="LAQ5" s="713"/>
      <c r="LAR5" s="713"/>
      <c r="LAS5" s="713"/>
      <c r="LAT5" s="713"/>
      <c r="LAU5" s="713"/>
      <c r="LAV5" s="713"/>
      <c r="LAW5" s="713" t="s">
        <v>956</v>
      </c>
      <c r="LAX5" s="713"/>
      <c r="LAY5" s="713"/>
      <c r="LAZ5" s="713"/>
      <c r="LBA5" s="713"/>
      <c r="LBB5" s="713"/>
      <c r="LBC5" s="713"/>
      <c r="LBD5" s="713"/>
      <c r="LBE5" s="713"/>
      <c r="LBF5" s="713"/>
      <c r="LBG5" s="713"/>
      <c r="LBH5" s="713"/>
      <c r="LBI5" s="713"/>
      <c r="LBJ5" s="713"/>
      <c r="LBK5" s="713"/>
      <c r="LBL5" s="713"/>
      <c r="LBM5" s="713"/>
      <c r="LBN5" s="713"/>
      <c r="LBO5" s="713"/>
      <c r="LBP5" s="713"/>
      <c r="LBQ5" s="713"/>
      <c r="LBR5" s="713"/>
      <c r="LBS5" s="713"/>
      <c r="LBT5" s="713"/>
      <c r="LBU5" s="713"/>
      <c r="LBV5" s="713"/>
      <c r="LBW5" s="713"/>
      <c r="LBX5" s="713"/>
      <c r="LBY5" s="713"/>
      <c r="LBZ5" s="713"/>
      <c r="LCA5" s="713"/>
      <c r="LCB5" s="713"/>
      <c r="LCC5" s="713" t="s">
        <v>956</v>
      </c>
      <c r="LCD5" s="713"/>
      <c r="LCE5" s="713"/>
      <c r="LCF5" s="713"/>
      <c r="LCG5" s="713"/>
      <c r="LCH5" s="713"/>
      <c r="LCI5" s="713"/>
      <c r="LCJ5" s="713"/>
      <c r="LCK5" s="713"/>
      <c r="LCL5" s="713"/>
      <c r="LCM5" s="713"/>
      <c r="LCN5" s="713"/>
      <c r="LCO5" s="713"/>
      <c r="LCP5" s="713"/>
      <c r="LCQ5" s="713"/>
      <c r="LCR5" s="713"/>
      <c r="LCS5" s="713"/>
      <c r="LCT5" s="713"/>
      <c r="LCU5" s="713"/>
      <c r="LCV5" s="713"/>
      <c r="LCW5" s="713"/>
      <c r="LCX5" s="713"/>
      <c r="LCY5" s="713"/>
      <c r="LCZ5" s="713"/>
      <c r="LDA5" s="713"/>
      <c r="LDB5" s="713"/>
      <c r="LDC5" s="713"/>
      <c r="LDD5" s="713"/>
      <c r="LDE5" s="713"/>
      <c r="LDF5" s="713"/>
      <c r="LDG5" s="713"/>
      <c r="LDH5" s="713"/>
      <c r="LDI5" s="713" t="s">
        <v>956</v>
      </c>
      <c r="LDJ5" s="713"/>
      <c r="LDK5" s="713"/>
      <c r="LDL5" s="713"/>
      <c r="LDM5" s="713"/>
      <c r="LDN5" s="713"/>
      <c r="LDO5" s="713"/>
      <c r="LDP5" s="713"/>
      <c r="LDQ5" s="713"/>
      <c r="LDR5" s="713"/>
      <c r="LDS5" s="713"/>
      <c r="LDT5" s="713"/>
      <c r="LDU5" s="713"/>
      <c r="LDV5" s="713"/>
      <c r="LDW5" s="713"/>
      <c r="LDX5" s="713"/>
      <c r="LDY5" s="713"/>
      <c r="LDZ5" s="713"/>
      <c r="LEA5" s="713"/>
      <c r="LEB5" s="713"/>
      <c r="LEC5" s="713"/>
      <c r="LED5" s="713"/>
      <c r="LEE5" s="713"/>
      <c r="LEF5" s="713"/>
      <c r="LEG5" s="713"/>
      <c r="LEH5" s="713"/>
      <c r="LEI5" s="713"/>
      <c r="LEJ5" s="713"/>
      <c r="LEK5" s="713"/>
      <c r="LEL5" s="713"/>
      <c r="LEM5" s="713"/>
      <c r="LEN5" s="713"/>
      <c r="LEO5" s="713" t="s">
        <v>956</v>
      </c>
      <c r="LEP5" s="713"/>
      <c r="LEQ5" s="713"/>
      <c r="LER5" s="713"/>
      <c r="LES5" s="713"/>
      <c r="LET5" s="713"/>
      <c r="LEU5" s="713"/>
      <c r="LEV5" s="713"/>
      <c r="LEW5" s="713"/>
      <c r="LEX5" s="713"/>
      <c r="LEY5" s="713"/>
      <c r="LEZ5" s="713"/>
      <c r="LFA5" s="713"/>
      <c r="LFB5" s="713"/>
      <c r="LFC5" s="713"/>
      <c r="LFD5" s="713"/>
      <c r="LFE5" s="713"/>
      <c r="LFF5" s="713"/>
      <c r="LFG5" s="713"/>
      <c r="LFH5" s="713"/>
      <c r="LFI5" s="713"/>
      <c r="LFJ5" s="713"/>
      <c r="LFK5" s="713"/>
      <c r="LFL5" s="713"/>
      <c r="LFM5" s="713"/>
      <c r="LFN5" s="713"/>
      <c r="LFO5" s="713"/>
      <c r="LFP5" s="713"/>
      <c r="LFQ5" s="713"/>
      <c r="LFR5" s="713"/>
      <c r="LFS5" s="713"/>
      <c r="LFT5" s="713"/>
      <c r="LFU5" s="713" t="s">
        <v>956</v>
      </c>
      <c r="LFV5" s="713"/>
      <c r="LFW5" s="713"/>
      <c r="LFX5" s="713"/>
      <c r="LFY5" s="713"/>
      <c r="LFZ5" s="713"/>
      <c r="LGA5" s="713"/>
      <c r="LGB5" s="713"/>
      <c r="LGC5" s="713"/>
      <c r="LGD5" s="713"/>
      <c r="LGE5" s="713"/>
      <c r="LGF5" s="713"/>
      <c r="LGG5" s="713"/>
      <c r="LGH5" s="713"/>
      <c r="LGI5" s="713"/>
      <c r="LGJ5" s="713"/>
      <c r="LGK5" s="713"/>
      <c r="LGL5" s="713"/>
      <c r="LGM5" s="713"/>
      <c r="LGN5" s="713"/>
      <c r="LGO5" s="713"/>
      <c r="LGP5" s="713"/>
      <c r="LGQ5" s="713"/>
      <c r="LGR5" s="713"/>
      <c r="LGS5" s="713"/>
      <c r="LGT5" s="713"/>
      <c r="LGU5" s="713"/>
      <c r="LGV5" s="713"/>
      <c r="LGW5" s="713"/>
      <c r="LGX5" s="713"/>
      <c r="LGY5" s="713"/>
      <c r="LGZ5" s="713"/>
      <c r="LHA5" s="713" t="s">
        <v>956</v>
      </c>
      <c r="LHB5" s="713"/>
      <c r="LHC5" s="713"/>
      <c r="LHD5" s="713"/>
      <c r="LHE5" s="713"/>
      <c r="LHF5" s="713"/>
      <c r="LHG5" s="713"/>
      <c r="LHH5" s="713"/>
      <c r="LHI5" s="713"/>
      <c r="LHJ5" s="713"/>
      <c r="LHK5" s="713"/>
      <c r="LHL5" s="713"/>
      <c r="LHM5" s="713"/>
      <c r="LHN5" s="713"/>
      <c r="LHO5" s="713"/>
      <c r="LHP5" s="713"/>
      <c r="LHQ5" s="713"/>
      <c r="LHR5" s="713"/>
      <c r="LHS5" s="713"/>
      <c r="LHT5" s="713"/>
      <c r="LHU5" s="713"/>
      <c r="LHV5" s="713"/>
      <c r="LHW5" s="713"/>
      <c r="LHX5" s="713"/>
      <c r="LHY5" s="713"/>
      <c r="LHZ5" s="713"/>
      <c r="LIA5" s="713"/>
      <c r="LIB5" s="713"/>
      <c r="LIC5" s="713"/>
      <c r="LID5" s="713"/>
      <c r="LIE5" s="713"/>
      <c r="LIF5" s="713"/>
      <c r="LIG5" s="713" t="s">
        <v>956</v>
      </c>
      <c r="LIH5" s="713"/>
      <c r="LII5" s="713"/>
      <c r="LIJ5" s="713"/>
      <c r="LIK5" s="713"/>
      <c r="LIL5" s="713"/>
      <c r="LIM5" s="713"/>
      <c r="LIN5" s="713"/>
      <c r="LIO5" s="713"/>
      <c r="LIP5" s="713"/>
      <c r="LIQ5" s="713"/>
      <c r="LIR5" s="713"/>
      <c r="LIS5" s="713"/>
      <c r="LIT5" s="713"/>
      <c r="LIU5" s="713"/>
      <c r="LIV5" s="713"/>
      <c r="LIW5" s="713"/>
      <c r="LIX5" s="713"/>
      <c r="LIY5" s="713"/>
      <c r="LIZ5" s="713"/>
      <c r="LJA5" s="713"/>
      <c r="LJB5" s="713"/>
      <c r="LJC5" s="713"/>
      <c r="LJD5" s="713"/>
      <c r="LJE5" s="713"/>
      <c r="LJF5" s="713"/>
      <c r="LJG5" s="713"/>
      <c r="LJH5" s="713"/>
      <c r="LJI5" s="713"/>
      <c r="LJJ5" s="713"/>
      <c r="LJK5" s="713"/>
      <c r="LJL5" s="713"/>
      <c r="LJM5" s="713" t="s">
        <v>956</v>
      </c>
      <c r="LJN5" s="713"/>
      <c r="LJO5" s="713"/>
      <c r="LJP5" s="713"/>
      <c r="LJQ5" s="713"/>
      <c r="LJR5" s="713"/>
      <c r="LJS5" s="713"/>
      <c r="LJT5" s="713"/>
      <c r="LJU5" s="713"/>
      <c r="LJV5" s="713"/>
      <c r="LJW5" s="713"/>
      <c r="LJX5" s="713"/>
      <c r="LJY5" s="713"/>
      <c r="LJZ5" s="713"/>
      <c r="LKA5" s="713"/>
      <c r="LKB5" s="713"/>
      <c r="LKC5" s="713"/>
      <c r="LKD5" s="713"/>
      <c r="LKE5" s="713"/>
      <c r="LKF5" s="713"/>
      <c r="LKG5" s="713"/>
      <c r="LKH5" s="713"/>
      <c r="LKI5" s="713"/>
      <c r="LKJ5" s="713"/>
      <c r="LKK5" s="713"/>
      <c r="LKL5" s="713"/>
      <c r="LKM5" s="713"/>
      <c r="LKN5" s="713"/>
      <c r="LKO5" s="713"/>
      <c r="LKP5" s="713"/>
      <c r="LKQ5" s="713"/>
      <c r="LKR5" s="713"/>
      <c r="LKS5" s="713" t="s">
        <v>956</v>
      </c>
      <c r="LKT5" s="713"/>
      <c r="LKU5" s="713"/>
      <c r="LKV5" s="713"/>
      <c r="LKW5" s="713"/>
      <c r="LKX5" s="713"/>
      <c r="LKY5" s="713"/>
      <c r="LKZ5" s="713"/>
      <c r="LLA5" s="713"/>
      <c r="LLB5" s="713"/>
      <c r="LLC5" s="713"/>
      <c r="LLD5" s="713"/>
      <c r="LLE5" s="713"/>
      <c r="LLF5" s="713"/>
      <c r="LLG5" s="713"/>
      <c r="LLH5" s="713"/>
      <c r="LLI5" s="713"/>
      <c r="LLJ5" s="713"/>
      <c r="LLK5" s="713"/>
      <c r="LLL5" s="713"/>
      <c r="LLM5" s="713"/>
      <c r="LLN5" s="713"/>
      <c r="LLO5" s="713"/>
      <c r="LLP5" s="713"/>
      <c r="LLQ5" s="713"/>
      <c r="LLR5" s="713"/>
      <c r="LLS5" s="713"/>
      <c r="LLT5" s="713"/>
      <c r="LLU5" s="713"/>
      <c r="LLV5" s="713"/>
      <c r="LLW5" s="713"/>
      <c r="LLX5" s="713"/>
      <c r="LLY5" s="713" t="s">
        <v>956</v>
      </c>
      <c r="LLZ5" s="713"/>
      <c r="LMA5" s="713"/>
      <c r="LMB5" s="713"/>
      <c r="LMC5" s="713"/>
      <c r="LMD5" s="713"/>
      <c r="LME5" s="713"/>
      <c r="LMF5" s="713"/>
      <c r="LMG5" s="713"/>
      <c r="LMH5" s="713"/>
      <c r="LMI5" s="713"/>
      <c r="LMJ5" s="713"/>
      <c r="LMK5" s="713"/>
      <c r="LML5" s="713"/>
      <c r="LMM5" s="713"/>
      <c r="LMN5" s="713"/>
      <c r="LMO5" s="713"/>
      <c r="LMP5" s="713"/>
      <c r="LMQ5" s="713"/>
      <c r="LMR5" s="713"/>
      <c r="LMS5" s="713"/>
      <c r="LMT5" s="713"/>
      <c r="LMU5" s="713"/>
      <c r="LMV5" s="713"/>
      <c r="LMW5" s="713"/>
      <c r="LMX5" s="713"/>
      <c r="LMY5" s="713"/>
      <c r="LMZ5" s="713"/>
      <c r="LNA5" s="713"/>
      <c r="LNB5" s="713"/>
      <c r="LNC5" s="713"/>
      <c r="LND5" s="713"/>
      <c r="LNE5" s="713" t="s">
        <v>956</v>
      </c>
      <c r="LNF5" s="713"/>
      <c r="LNG5" s="713"/>
      <c r="LNH5" s="713"/>
      <c r="LNI5" s="713"/>
      <c r="LNJ5" s="713"/>
      <c r="LNK5" s="713"/>
      <c r="LNL5" s="713"/>
      <c r="LNM5" s="713"/>
      <c r="LNN5" s="713"/>
      <c r="LNO5" s="713"/>
      <c r="LNP5" s="713"/>
      <c r="LNQ5" s="713"/>
      <c r="LNR5" s="713"/>
      <c r="LNS5" s="713"/>
      <c r="LNT5" s="713"/>
      <c r="LNU5" s="713"/>
      <c r="LNV5" s="713"/>
      <c r="LNW5" s="713"/>
      <c r="LNX5" s="713"/>
      <c r="LNY5" s="713"/>
      <c r="LNZ5" s="713"/>
      <c r="LOA5" s="713"/>
      <c r="LOB5" s="713"/>
      <c r="LOC5" s="713"/>
      <c r="LOD5" s="713"/>
      <c r="LOE5" s="713"/>
      <c r="LOF5" s="713"/>
      <c r="LOG5" s="713"/>
      <c r="LOH5" s="713"/>
      <c r="LOI5" s="713"/>
      <c r="LOJ5" s="713"/>
      <c r="LOK5" s="713" t="s">
        <v>956</v>
      </c>
      <c r="LOL5" s="713"/>
      <c r="LOM5" s="713"/>
      <c r="LON5" s="713"/>
      <c r="LOO5" s="713"/>
      <c r="LOP5" s="713"/>
      <c r="LOQ5" s="713"/>
      <c r="LOR5" s="713"/>
      <c r="LOS5" s="713"/>
      <c r="LOT5" s="713"/>
      <c r="LOU5" s="713"/>
      <c r="LOV5" s="713"/>
      <c r="LOW5" s="713"/>
      <c r="LOX5" s="713"/>
      <c r="LOY5" s="713"/>
      <c r="LOZ5" s="713"/>
      <c r="LPA5" s="713"/>
      <c r="LPB5" s="713"/>
      <c r="LPC5" s="713"/>
      <c r="LPD5" s="713"/>
      <c r="LPE5" s="713"/>
      <c r="LPF5" s="713"/>
      <c r="LPG5" s="713"/>
      <c r="LPH5" s="713"/>
      <c r="LPI5" s="713"/>
      <c r="LPJ5" s="713"/>
      <c r="LPK5" s="713"/>
      <c r="LPL5" s="713"/>
      <c r="LPM5" s="713"/>
      <c r="LPN5" s="713"/>
      <c r="LPO5" s="713"/>
      <c r="LPP5" s="713"/>
      <c r="LPQ5" s="713" t="s">
        <v>956</v>
      </c>
      <c r="LPR5" s="713"/>
      <c r="LPS5" s="713"/>
      <c r="LPT5" s="713"/>
      <c r="LPU5" s="713"/>
      <c r="LPV5" s="713"/>
      <c r="LPW5" s="713"/>
      <c r="LPX5" s="713"/>
      <c r="LPY5" s="713"/>
      <c r="LPZ5" s="713"/>
      <c r="LQA5" s="713"/>
      <c r="LQB5" s="713"/>
      <c r="LQC5" s="713"/>
      <c r="LQD5" s="713"/>
      <c r="LQE5" s="713"/>
      <c r="LQF5" s="713"/>
      <c r="LQG5" s="713"/>
      <c r="LQH5" s="713"/>
      <c r="LQI5" s="713"/>
      <c r="LQJ5" s="713"/>
      <c r="LQK5" s="713"/>
      <c r="LQL5" s="713"/>
      <c r="LQM5" s="713"/>
      <c r="LQN5" s="713"/>
      <c r="LQO5" s="713"/>
      <c r="LQP5" s="713"/>
      <c r="LQQ5" s="713"/>
      <c r="LQR5" s="713"/>
      <c r="LQS5" s="713"/>
      <c r="LQT5" s="713"/>
      <c r="LQU5" s="713"/>
      <c r="LQV5" s="713"/>
      <c r="LQW5" s="713" t="s">
        <v>956</v>
      </c>
      <c r="LQX5" s="713"/>
      <c r="LQY5" s="713"/>
      <c r="LQZ5" s="713"/>
      <c r="LRA5" s="713"/>
      <c r="LRB5" s="713"/>
      <c r="LRC5" s="713"/>
      <c r="LRD5" s="713"/>
      <c r="LRE5" s="713"/>
      <c r="LRF5" s="713"/>
      <c r="LRG5" s="713"/>
      <c r="LRH5" s="713"/>
      <c r="LRI5" s="713"/>
      <c r="LRJ5" s="713"/>
      <c r="LRK5" s="713"/>
      <c r="LRL5" s="713"/>
      <c r="LRM5" s="713"/>
      <c r="LRN5" s="713"/>
      <c r="LRO5" s="713"/>
      <c r="LRP5" s="713"/>
      <c r="LRQ5" s="713"/>
      <c r="LRR5" s="713"/>
      <c r="LRS5" s="713"/>
      <c r="LRT5" s="713"/>
      <c r="LRU5" s="713"/>
      <c r="LRV5" s="713"/>
      <c r="LRW5" s="713"/>
      <c r="LRX5" s="713"/>
      <c r="LRY5" s="713"/>
      <c r="LRZ5" s="713"/>
      <c r="LSA5" s="713"/>
      <c r="LSB5" s="713"/>
      <c r="LSC5" s="713" t="s">
        <v>956</v>
      </c>
      <c r="LSD5" s="713"/>
      <c r="LSE5" s="713"/>
      <c r="LSF5" s="713"/>
      <c r="LSG5" s="713"/>
      <c r="LSH5" s="713"/>
      <c r="LSI5" s="713"/>
      <c r="LSJ5" s="713"/>
      <c r="LSK5" s="713"/>
      <c r="LSL5" s="713"/>
      <c r="LSM5" s="713"/>
      <c r="LSN5" s="713"/>
      <c r="LSO5" s="713"/>
      <c r="LSP5" s="713"/>
      <c r="LSQ5" s="713"/>
      <c r="LSR5" s="713"/>
      <c r="LSS5" s="713"/>
      <c r="LST5" s="713"/>
      <c r="LSU5" s="713"/>
      <c r="LSV5" s="713"/>
      <c r="LSW5" s="713"/>
      <c r="LSX5" s="713"/>
      <c r="LSY5" s="713"/>
      <c r="LSZ5" s="713"/>
      <c r="LTA5" s="713"/>
      <c r="LTB5" s="713"/>
      <c r="LTC5" s="713"/>
      <c r="LTD5" s="713"/>
      <c r="LTE5" s="713"/>
      <c r="LTF5" s="713"/>
      <c r="LTG5" s="713"/>
      <c r="LTH5" s="713"/>
      <c r="LTI5" s="713" t="s">
        <v>956</v>
      </c>
      <c r="LTJ5" s="713"/>
      <c r="LTK5" s="713"/>
      <c r="LTL5" s="713"/>
      <c r="LTM5" s="713"/>
      <c r="LTN5" s="713"/>
      <c r="LTO5" s="713"/>
      <c r="LTP5" s="713"/>
      <c r="LTQ5" s="713"/>
      <c r="LTR5" s="713"/>
      <c r="LTS5" s="713"/>
      <c r="LTT5" s="713"/>
      <c r="LTU5" s="713"/>
      <c r="LTV5" s="713"/>
      <c r="LTW5" s="713"/>
      <c r="LTX5" s="713"/>
      <c r="LTY5" s="713"/>
      <c r="LTZ5" s="713"/>
      <c r="LUA5" s="713"/>
      <c r="LUB5" s="713"/>
      <c r="LUC5" s="713"/>
      <c r="LUD5" s="713"/>
      <c r="LUE5" s="713"/>
      <c r="LUF5" s="713"/>
      <c r="LUG5" s="713"/>
      <c r="LUH5" s="713"/>
      <c r="LUI5" s="713"/>
      <c r="LUJ5" s="713"/>
      <c r="LUK5" s="713"/>
      <c r="LUL5" s="713"/>
      <c r="LUM5" s="713"/>
      <c r="LUN5" s="713"/>
      <c r="LUO5" s="713" t="s">
        <v>956</v>
      </c>
      <c r="LUP5" s="713"/>
      <c r="LUQ5" s="713"/>
      <c r="LUR5" s="713"/>
      <c r="LUS5" s="713"/>
      <c r="LUT5" s="713"/>
      <c r="LUU5" s="713"/>
      <c r="LUV5" s="713"/>
      <c r="LUW5" s="713"/>
      <c r="LUX5" s="713"/>
      <c r="LUY5" s="713"/>
      <c r="LUZ5" s="713"/>
      <c r="LVA5" s="713"/>
      <c r="LVB5" s="713"/>
      <c r="LVC5" s="713"/>
      <c r="LVD5" s="713"/>
      <c r="LVE5" s="713"/>
      <c r="LVF5" s="713"/>
      <c r="LVG5" s="713"/>
      <c r="LVH5" s="713"/>
      <c r="LVI5" s="713"/>
      <c r="LVJ5" s="713"/>
      <c r="LVK5" s="713"/>
      <c r="LVL5" s="713"/>
      <c r="LVM5" s="713"/>
      <c r="LVN5" s="713"/>
      <c r="LVO5" s="713"/>
      <c r="LVP5" s="713"/>
      <c r="LVQ5" s="713"/>
      <c r="LVR5" s="713"/>
      <c r="LVS5" s="713"/>
      <c r="LVT5" s="713"/>
      <c r="LVU5" s="713" t="s">
        <v>956</v>
      </c>
      <c r="LVV5" s="713"/>
      <c r="LVW5" s="713"/>
      <c r="LVX5" s="713"/>
      <c r="LVY5" s="713"/>
      <c r="LVZ5" s="713"/>
      <c r="LWA5" s="713"/>
      <c r="LWB5" s="713"/>
      <c r="LWC5" s="713"/>
      <c r="LWD5" s="713"/>
      <c r="LWE5" s="713"/>
      <c r="LWF5" s="713"/>
      <c r="LWG5" s="713"/>
      <c r="LWH5" s="713"/>
      <c r="LWI5" s="713"/>
      <c r="LWJ5" s="713"/>
      <c r="LWK5" s="713"/>
      <c r="LWL5" s="713"/>
      <c r="LWM5" s="713"/>
      <c r="LWN5" s="713"/>
      <c r="LWO5" s="713"/>
      <c r="LWP5" s="713"/>
      <c r="LWQ5" s="713"/>
      <c r="LWR5" s="713"/>
      <c r="LWS5" s="713"/>
      <c r="LWT5" s="713"/>
      <c r="LWU5" s="713"/>
      <c r="LWV5" s="713"/>
      <c r="LWW5" s="713"/>
      <c r="LWX5" s="713"/>
      <c r="LWY5" s="713"/>
      <c r="LWZ5" s="713"/>
      <c r="LXA5" s="713" t="s">
        <v>956</v>
      </c>
      <c r="LXB5" s="713"/>
      <c r="LXC5" s="713"/>
      <c r="LXD5" s="713"/>
      <c r="LXE5" s="713"/>
      <c r="LXF5" s="713"/>
      <c r="LXG5" s="713"/>
      <c r="LXH5" s="713"/>
      <c r="LXI5" s="713"/>
      <c r="LXJ5" s="713"/>
      <c r="LXK5" s="713"/>
      <c r="LXL5" s="713"/>
      <c r="LXM5" s="713"/>
      <c r="LXN5" s="713"/>
      <c r="LXO5" s="713"/>
      <c r="LXP5" s="713"/>
      <c r="LXQ5" s="713"/>
      <c r="LXR5" s="713"/>
      <c r="LXS5" s="713"/>
      <c r="LXT5" s="713"/>
      <c r="LXU5" s="713"/>
      <c r="LXV5" s="713"/>
      <c r="LXW5" s="713"/>
      <c r="LXX5" s="713"/>
      <c r="LXY5" s="713"/>
      <c r="LXZ5" s="713"/>
      <c r="LYA5" s="713"/>
      <c r="LYB5" s="713"/>
      <c r="LYC5" s="713"/>
      <c r="LYD5" s="713"/>
      <c r="LYE5" s="713"/>
      <c r="LYF5" s="713"/>
      <c r="LYG5" s="713" t="s">
        <v>956</v>
      </c>
      <c r="LYH5" s="713"/>
      <c r="LYI5" s="713"/>
      <c r="LYJ5" s="713"/>
      <c r="LYK5" s="713"/>
      <c r="LYL5" s="713"/>
      <c r="LYM5" s="713"/>
      <c r="LYN5" s="713"/>
      <c r="LYO5" s="713"/>
      <c r="LYP5" s="713"/>
      <c r="LYQ5" s="713"/>
      <c r="LYR5" s="713"/>
      <c r="LYS5" s="713"/>
      <c r="LYT5" s="713"/>
      <c r="LYU5" s="713"/>
      <c r="LYV5" s="713"/>
      <c r="LYW5" s="713"/>
      <c r="LYX5" s="713"/>
      <c r="LYY5" s="713"/>
      <c r="LYZ5" s="713"/>
      <c r="LZA5" s="713"/>
      <c r="LZB5" s="713"/>
      <c r="LZC5" s="713"/>
      <c r="LZD5" s="713"/>
      <c r="LZE5" s="713"/>
      <c r="LZF5" s="713"/>
      <c r="LZG5" s="713"/>
      <c r="LZH5" s="713"/>
      <c r="LZI5" s="713"/>
      <c r="LZJ5" s="713"/>
      <c r="LZK5" s="713"/>
      <c r="LZL5" s="713"/>
      <c r="LZM5" s="713" t="s">
        <v>956</v>
      </c>
      <c r="LZN5" s="713"/>
      <c r="LZO5" s="713"/>
      <c r="LZP5" s="713"/>
      <c r="LZQ5" s="713"/>
      <c r="LZR5" s="713"/>
      <c r="LZS5" s="713"/>
      <c r="LZT5" s="713"/>
      <c r="LZU5" s="713"/>
      <c r="LZV5" s="713"/>
      <c r="LZW5" s="713"/>
      <c r="LZX5" s="713"/>
      <c r="LZY5" s="713"/>
      <c r="LZZ5" s="713"/>
      <c r="MAA5" s="713"/>
      <c r="MAB5" s="713"/>
      <c r="MAC5" s="713"/>
      <c r="MAD5" s="713"/>
      <c r="MAE5" s="713"/>
      <c r="MAF5" s="713"/>
      <c r="MAG5" s="713"/>
      <c r="MAH5" s="713"/>
      <c r="MAI5" s="713"/>
      <c r="MAJ5" s="713"/>
      <c r="MAK5" s="713"/>
      <c r="MAL5" s="713"/>
      <c r="MAM5" s="713"/>
      <c r="MAN5" s="713"/>
      <c r="MAO5" s="713"/>
      <c r="MAP5" s="713"/>
      <c r="MAQ5" s="713"/>
      <c r="MAR5" s="713"/>
      <c r="MAS5" s="713" t="s">
        <v>956</v>
      </c>
      <c r="MAT5" s="713"/>
      <c r="MAU5" s="713"/>
      <c r="MAV5" s="713"/>
      <c r="MAW5" s="713"/>
      <c r="MAX5" s="713"/>
      <c r="MAY5" s="713"/>
      <c r="MAZ5" s="713"/>
      <c r="MBA5" s="713"/>
      <c r="MBB5" s="713"/>
      <c r="MBC5" s="713"/>
      <c r="MBD5" s="713"/>
      <c r="MBE5" s="713"/>
      <c r="MBF5" s="713"/>
      <c r="MBG5" s="713"/>
      <c r="MBH5" s="713"/>
      <c r="MBI5" s="713"/>
      <c r="MBJ5" s="713"/>
      <c r="MBK5" s="713"/>
      <c r="MBL5" s="713"/>
      <c r="MBM5" s="713"/>
      <c r="MBN5" s="713"/>
      <c r="MBO5" s="713"/>
      <c r="MBP5" s="713"/>
      <c r="MBQ5" s="713"/>
      <c r="MBR5" s="713"/>
      <c r="MBS5" s="713"/>
      <c r="MBT5" s="713"/>
      <c r="MBU5" s="713"/>
      <c r="MBV5" s="713"/>
      <c r="MBW5" s="713"/>
      <c r="MBX5" s="713"/>
      <c r="MBY5" s="713" t="s">
        <v>956</v>
      </c>
      <c r="MBZ5" s="713"/>
      <c r="MCA5" s="713"/>
      <c r="MCB5" s="713"/>
      <c r="MCC5" s="713"/>
      <c r="MCD5" s="713"/>
      <c r="MCE5" s="713"/>
      <c r="MCF5" s="713"/>
      <c r="MCG5" s="713"/>
      <c r="MCH5" s="713"/>
      <c r="MCI5" s="713"/>
      <c r="MCJ5" s="713"/>
      <c r="MCK5" s="713"/>
      <c r="MCL5" s="713"/>
      <c r="MCM5" s="713"/>
      <c r="MCN5" s="713"/>
      <c r="MCO5" s="713"/>
      <c r="MCP5" s="713"/>
      <c r="MCQ5" s="713"/>
      <c r="MCR5" s="713"/>
      <c r="MCS5" s="713"/>
      <c r="MCT5" s="713"/>
      <c r="MCU5" s="713"/>
      <c r="MCV5" s="713"/>
      <c r="MCW5" s="713"/>
      <c r="MCX5" s="713"/>
      <c r="MCY5" s="713"/>
      <c r="MCZ5" s="713"/>
      <c r="MDA5" s="713"/>
      <c r="MDB5" s="713"/>
      <c r="MDC5" s="713"/>
      <c r="MDD5" s="713"/>
      <c r="MDE5" s="713" t="s">
        <v>956</v>
      </c>
      <c r="MDF5" s="713"/>
      <c r="MDG5" s="713"/>
      <c r="MDH5" s="713"/>
      <c r="MDI5" s="713"/>
      <c r="MDJ5" s="713"/>
      <c r="MDK5" s="713"/>
      <c r="MDL5" s="713"/>
      <c r="MDM5" s="713"/>
      <c r="MDN5" s="713"/>
      <c r="MDO5" s="713"/>
      <c r="MDP5" s="713"/>
      <c r="MDQ5" s="713"/>
      <c r="MDR5" s="713"/>
      <c r="MDS5" s="713"/>
      <c r="MDT5" s="713"/>
      <c r="MDU5" s="713"/>
      <c r="MDV5" s="713"/>
      <c r="MDW5" s="713"/>
      <c r="MDX5" s="713"/>
      <c r="MDY5" s="713"/>
      <c r="MDZ5" s="713"/>
      <c r="MEA5" s="713"/>
      <c r="MEB5" s="713"/>
      <c r="MEC5" s="713"/>
      <c r="MED5" s="713"/>
      <c r="MEE5" s="713"/>
      <c r="MEF5" s="713"/>
      <c r="MEG5" s="713"/>
      <c r="MEH5" s="713"/>
      <c r="MEI5" s="713"/>
      <c r="MEJ5" s="713"/>
      <c r="MEK5" s="713" t="s">
        <v>956</v>
      </c>
      <c r="MEL5" s="713"/>
      <c r="MEM5" s="713"/>
      <c r="MEN5" s="713"/>
      <c r="MEO5" s="713"/>
      <c r="MEP5" s="713"/>
      <c r="MEQ5" s="713"/>
      <c r="MER5" s="713"/>
      <c r="MES5" s="713"/>
      <c r="MET5" s="713"/>
      <c r="MEU5" s="713"/>
      <c r="MEV5" s="713"/>
      <c r="MEW5" s="713"/>
      <c r="MEX5" s="713"/>
      <c r="MEY5" s="713"/>
      <c r="MEZ5" s="713"/>
      <c r="MFA5" s="713"/>
      <c r="MFB5" s="713"/>
      <c r="MFC5" s="713"/>
      <c r="MFD5" s="713"/>
      <c r="MFE5" s="713"/>
      <c r="MFF5" s="713"/>
      <c r="MFG5" s="713"/>
      <c r="MFH5" s="713"/>
      <c r="MFI5" s="713"/>
      <c r="MFJ5" s="713"/>
      <c r="MFK5" s="713"/>
      <c r="MFL5" s="713"/>
      <c r="MFM5" s="713"/>
      <c r="MFN5" s="713"/>
      <c r="MFO5" s="713"/>
      <c r="MFP5" s="713"/>
      <c r="MFQ5" s="713" t="s">
        <v>956</v>
      </c>
      <c r="MFR5" s="713"/>
      <c r="MFS5" s="713"/>
      <c r="MFT5" s="713"/>
      <c r="MFU5" s="713"/>
      <c r="MFV5" s="713"/>
      <c r="MFW5" s="713"/>
      <c r="MFX5" s="713"/>
      <c r="MFY5" s="713"/>
      <c r="MFZ5" s="713"/>
      <c r="MGA5" s="713"/>
      <c r="MGB5" s="713"/>
      <c r="MGC5" s="713"/>
      <c r="MGD5" s="713"/>
      <c r="MGE5" s="713"/>
      <c r="MGF5" s="713"/>
      <c r="MGG5" s="713"/>
      <c r="MGH5" s="713"/>
      <c r="MGI5" s="713"/>
      <c r="MGJ5" s="713"/>
      <c r="MGK5" s="713"/>
      <c r="MGL5" s="713"/>
      <c r="MGM5" s="713"/>
      <c r="MGN5" s="713"/>
      <c r="MGO5" s="713"/>
      <c r="MGP5" s="713"/>
      <c r="MGQ5" s="713"/>
      <c r="MGR5" s="713"/>
      <c r="MGS5" s="713"/>
      <c r="MGT5" s="713"/>
      <c r="MGU5" s="713"/>
      <c r="MGV5" s="713"/>
      <c r="MGW5" s="713" t="s">
        <v>956</v>
      </c>
      <c r="MGX5" s="713"/>
      <c r="MGY5" s="713"/>
      <c r="MGZ5" s="713"/>
      <c r="MHA5" s="713"/>
      <c r="MHB5" s="713"/>
      <c r="MHC5" s="713"/>
      <c r="MHD5" s="713"/>
      <c r="MHE5" s="713"/>
      <c r="MHF5" s="713"/>
      <c r="MHG5" s="713"/>
      <c r="MHH5" s="713"/>
      <c r="MHI5" s="713"/>
      <c r="MHJ5" s="713"/>
      <c r="MHK5" s="713"/>
      <c r="MHL5" s="713"/>
      <c r="MHM5" s="713"/>
      <c r="MHN5" s="713"/>
      <c r="MHO5" s="713"/>
      <c r="MHP5" s="713"/>
      <c r="MHQ5" s="713"/>
      <c r="MHR5" s="713"/>
      <c r="MHS5" s="713"/>
      <c r="MHT5" s="713"/>
      <c r="MHU5" s="713"/>
      <c r="MHV5" s="713"/>
      <c r="MHW5" s="713"/>
      <c r="MHX5" s="713"/>
      <c r="MHY5" s="713"/>
      <c r="MHZ5" s="713"/>
      <c r="MIA5" s="713"/>
      <c r="MIB5" s="713"/>
      <c r="MIC5" s="713" t="s">
        <v>956</v>
      </c>
      <c r="MID5" s="713"/>
      <c r="MIE5" s="713"/>
      <c r="MIF5" s="713"/>
      <c r="MIG5" s="713"/>
      <c r="MIH5" s="713"/>
      <c r="MII5" s="713"/>
      <c r="MIJ5" s="713"/>
      <c r="MIK5" s="713"/>
      <c r="MIL5" s="713"/>
      <c r="MIM5" s="713"/>
      <c r="MIN5" s="713"/>
      <c r="MIO5" s="713"/>
      <c r="MIP5" s="713"/>
      <c r="MIQ5" s="713"/>
      <c r="MIR5" s="713"/>
      <c r="MIS5" s="713"/>
      <c r="MIT5" s="713"/>
      <c r="MIU5" s="713"/>
      <c r="MIV5" s="713"/>
      <c r="MIW5" s="713"/>
      <c r="MIX5" s="713"/>
      <c r="MIY5" s="713"/>
      <c r="MIZ5" s="713"/>
      <c r="MJA5" s="713"/>
      <c r="MJB5" s="713"/>
      <c r="MJC5" s="713"/>
      <c r="MJD5" s="713"/>
      <c r="MJE5" s="713"/>
      <c r="MJF5" s="713"/>
      <c r="MJG5" s="713"/>
      <c r="MJH5" s="713"/>
      <c r="MJI5" s="713" t="s">
        <v>956</v>
      </c>
      <c r="MJJ5" s="713"/>
      <c r="MJK5" s="713"/>
      <c r="MJL5" s="713"/>
      <c r="MJM5" s="713"/>
      <c r="MJN5" s="713"/>
      <c r="MJO5" s="713"/>
      <c r="MJP5" s="713"/>
      <c r="MJQ5" s="713"/>
      <c r="MJR5" s="713"/>
      <c r="MJS5" s="713"/>
      <c r="MJT5" s="713"/>
      <c r="MJU5" s="713"/>
      <c r="MJV5" s="713"/>
      <c r="MJW5" s="713"/>
      <c r="MJX5" s="713"/>
      <c r="MJY5" s="713"/>
      <c r="MJZ5" s="713"/>
      <c r="MKA5" s="713"/>
      <c r="MKB5" s="713"/>
      <c r="MKC5" s="713"/>
      <c r="MKD5" s="713"/>
      <c r="MKE5" s="713"/>
      <c r="MKF5" s="713"/>
      <c r="MKG5" s="713"/>
      <c r="MKH5" s="713"/>
      <c r="MKI5" s="713"/>
      <c r="MKJ5" s="713"/>
      <c r="MKK5" s="713"/>
      <c r="MKL5" s="713"/>
      <c r="MKM5" s="713"/>
      <c r="MKN5" s="713"/>
      <c r="MKO5" s="713" t="s">
        <v>956</v>
      </c>
      <c r="MKP5" s="713"/>
      <c r="MKQ5" s="713"/>
      <c r="MKR5" s="713"/>
      <c r="MKS5" s="713"/>
      <c r="MKT5" s="713"/>
      <c r="MKU5" s="713"/>
      <c r="MKV5" s="713"/>
      <c r="MKW5" s="713"/>
      <c r="MKX5" s="713"/>
      <c r="MKY5" s="713"/>
      <c r="MKZ5" s="713"/>
      <c r="MLA5" s="713"/>
      <c r="MLB5" s="713"/>
      <c r="MLC5" s="713"/>
      <c r="MLD5" s="713"/>
      <c r="MLE5" s="713"/>
      <c r="MLF5" s="713"/>
      <c r="MLG5" s="713"/>
      <c r="MLH5" s="713"/>
      <c r="MLI5" s="713"/>
      <c r="MLJ5" s="713"/>
      <c r="MLK5" s="713"/>
      <c r="MLL5" s="713"/>
      <c r="MLM5" s="713"/>
      <c r="MLN5" s="713"/>
      <c r="MLO5" s="713"/>
      <c r="MLP5" s="713"/>
      <c r="MLQ5" s="713"/>
      <c r="MLR5" s="713"/>
      <c r="MLS5" s="713"/>
      <c r="MLT5" s="713"/>
      <c r="MLU5" s="713" t="s">
        <v>956</v>
      </c>
      <c r="MLV5" s="713"/>
      <c r="MLW5" s="713"/>
      <c r="MLX5" s="713"/>
      <c r="MLY5" s="713"/>
      <c r="MLZ5" s="713"/>
      <c r="MMA5" s="713"/>
      <c r="MMB5" s="713"/>
      <c r="MMC5" s="713"/>
      <c r="MMD5" s="713"/>
      <c r="MME5" s="713"/>
      <c r="MMF5" s="713"/>
      <c r="MMG5" s="713"/>
      <c r="MMH5" s="713"/>
      <c r="MMI5" s="713"/>
      <c r="MMJ5" s="713"/>
      <c r="MMK5" s="713"/>
      <c r="MML5" s="713"/>
      <c r="MMM5" s="713"/>
      <c r="MMN5" s="713"/>
      <c r="MMO5" s="713"/>
      <c r="MMP5" s="713"/>
      <c r="MMQ5" s="713"/>
      <c r="MMR5" s="713"/>
      <c r="MMS5" s="713"/>
      <c r="MMT5" s="713"/>
      <c r="MMU5" s="713"/>
      <c r="MMV5" s="713"/>
      <c r="MMW5" s="713"/>
      <c r="MMX5" s="713"/>
      <c r="MMY5" s="713"/>
      <c r="MMZ5" s="713"/>
      <c r="MNA5" s="713" t="s">
        <v>956</v>
      </c>
      <c r="MNB5" s="713"/>
      <c r="MNC5" s="713"/>
      <c r="MND5" s="713"/>
      <c r="MNE5" s="713"/>
      <c r="MNF5" s="713"/>
      <c r="MNG5" s="713"/>
      <c r="MNH5" s="713"/>
      <c r="MNI5" s="713"/>
      <c r="MNJ5" s="713"/>
      <c r="MNK5" s="713"/>
      <c r="MNL5" s="713"/>
      <c r="MNM5" s="713"/>
      <c r="MNN5" s="713"/>
      <c r="MNO5" s="713"/>
      <c r="MNP5" s="713"/>
      <c r="MNQ5" s="713"/>
      <c r="MNR5" s="713"/>
      <c r="MNS5" s="713"/>
      <c r="MNT5" s="713"/>
      <c r="MNU5" s="713"/>
      <c r="MNV5" s="713"/>
      <c r="MNW5" s="713"/>
      <c r="MNX5" s="713"/>
      <c r="MNY5" s="713"/>
      <c r="MNZ5" s="713"/>
      <c r="MOA5" s="713"/>
      <c r="MOB5" s="713"/>
      <c r="MOC5" s="713"/>
      <c r="MOD5" s="713"/>
      <c r="MOE5" s="713"/>
      <c r="MOF5" s="713"/>
      <c r="MOG5" s="713" t="s">
        <v>956</v>
      </c>
      <c r="MOH5" s="713"/>
      <c r="MOI5" s="713"/>
      <c r="MOJ5" s="713"/>
      <c r="MOK5" s="713"/>
      <c r="MOL5" s="713"/>
      <c r="MOM5" s="713"/>
      <c r="MON5" s="713"/>
      <c r="MOO5" s="713"/>
      <c r="MOP5" s="713"/>
      <c r="MOQ5" s="713"/>
      <c r="MOR5" s="713"/>
      <c r="MOS5" s="713"/>
      <c r="MOT5" s="713"/>
      <c r="MOU5" s="713"/>
      <c r="MOV5" s="713"/>
      <c r="MOW5" s="713"/>
      <c r="MOX5" s="713"/>
      <c r="MOY5" s="713"/>
      <c r="MOZ5" s="713"/>
      <c r="MPA5" s="713"/>
      <c r="MPB5" s="713"/>
      <c r="MPC5" s="713"/>
      <c r="MPD5" s="713"/>
      <c r="MPE5" s="713"/>
      <c r="MPF5" s="713"/>
      <c r="MPG5" s="713"/>
      <c r="MPH5" s="713"/>
      <c r="MPI5" s="713"/>
      <c r="MPJ5" s="713"/>
      <c r="MPK5" s="713"/>
      <c r="MPL5" s="713"/>
      <c r="MPM5" s="713" t="s">
        <v>956</v>
      </c>
      <c r="MPN5" s="713"/>
      <c r="MPO5" s="713"/>
      <c r="MPP5" s="713"/>
      <c r="MPQ5" s="713"/>
      <c r="MPR5" s="713"/>
      <c r="MPS5" s="713"/>
      <c r="MPT5" s="713"/>
      <c r="MPU5" s="713"/>
      <c r="MPV5" s="713"/>
      <c r="MPW5" s="713"/>
      <c r="MPX5" s="713"/>
      <c r="MPY5" s="713"/>
      <c r="MPZ5" s="713"/>
      <c r="MQA5" s="713"/>
      <c r="MQB5" s="713"/>
      <c r="MQC5" s="713"/>
      <c r="MQD5" s="713"/>
      <c r="MQE5" s="713"/>
      <c r="MQF5" s="713"/>
      <c r="MQG5" s="713"/>
      <c r="MQH5" s="713"/>
      <c r="MQI5" s="713"/>
      <c r="MQJ5" s="713"/>
      <c r="MQK5" s="713"/>
      <c r="MQL5" s="713"/>
      <c r="MQM5" s="713"/>
      <c r="MQN5" s="713"/>
      <c r="MQO5" s="713"/>
      <c r="MQP5" s="713"/>
      <c r="MQQ5" s="713"/>
      <c r="MQR5" s="713"/>
      <c r="MQS5" s="713" t="s">
        <v>956</v>
      </c>
      <c r="MQT5" s="713"/>
      <c r="MQU5" s="713"/>
      <c r="MQV5" s="713"/>
      <c r="MQW5" s="713"/>
      <c r="MQX5" s="713"/>
      <c r="MQY5" s="713"/>
      <c r="MQZ5" s="713"/>
      <c r="MRA5" s="713"/>
      <c r="MRB5" s="713"/>
      <c r="MRC5" s="713"/>
      <c r="MRD5" s="713"/>
      <c r="MRE5" s="713"/>
      <c r="MRF5" s="713"/>
      <c r="MRG5" s="713"/>
      <c r="MRH5" s="713"/>
      <c r="MRI5" s="713"/>
      <c r="MRJ5" s="713"/>
      <c r="MRK5" s="713"/>
      <c r="MRL5" s="713"/>
      <c r="MRM5" s="713"/>
      <c r="MRN5" s="713"/>
      <c r="MRO5" s="713"/>
      <c r="MRP5" s="713"/>
      <c r="MRQ5" s="713"/>
      <c r="MRR5" s="713"/>
      <c r="MRS5" s="713"/>
      <c r="MRT5" s="713"/>
      <c r="MRU5" s="713"/>
      <c r="MRV5" s="713"/>
      <c r="MRW5" s="713"/>
      <c r="MRX5" s="713"/>
      <c r="MRY5" s="713" t="s">
        <v>956</v>
      </c>
      <c r="MRZ5" s="713"/>
      <c r="MSA5" s="713"/>
      <c r="MSB5" s="713"/>
      <c r="MSC5" s="713"/>
      <c r="MSD5" s="713"/>
      <c r="MSE5" s="713"/>
      <c r="MSF5" s="713"/>
      <c r="MSG5" s="713"/>
      <c r="MSH5" s="713"/>
      <c r="MSI5" s="713"/>
      <c r="MSJ5" s="713"/>
      <c r="MSK5" s="713"/>
      <c r="MSL5" s="713"/>
      <c r="MSM5" s="713"/>
      <c r="MSN5" s="713"/>
      <c r="MSO5" s="713"/>
      <c r="MSP5" s="713"/>
      <c r="MSQ5" s="713"/>
      <c r="MSR5" s="713"/>
      <c r="MSS5" s="713"/>
      <c r="MST5" s="713"/>
      <c r="MSU5" s="713"/>
      <c r="MSV5" s="713"/>
      <c r="MSW5" s="713"/>
      <c r="MSX5" s="713"/>
      <c r="MSY5" s="713"/>
      <c r="MSZ5" s="713"/>
      <c r="MTA5" s="713"/>
      <c r="MTB5" s="713"/>
      <c r="MTC5" s="713"/>
      <c r="MTD5" s="713"/>
      <c r="MTE5" s="713" t="s">
        <v>956</v>
      </c>
      <c r="MTF5" s="713"/>
      <c r="MTG5" s="713"/>
      <c r="MTH5" s="713"/>
      <c r="MTI5" s="713"/>
      <c r="MTJ5" s="713"/>
      <c r="MTK5" s="713"/>
      <c r="MTL5" s="713"/>
      <c r="MTM5" s="713"/>
      <c r="MTN5" s="713"/>
      <c r="MTO5" s="713"/>
      <c r="MTP5" s="713"/>
      <c r="MTQ5" s="713"/>
      <c r="MTR5" s="713"/>
      <c r="MTS5" s="713"/>
      <c r="MTT5" s="713"/>
      <c r="MTU5" s="713"/>
      <c r="MTV5" s="713"/>
      <c r="MTW5" s="713"/>
      <c r="MTX5" s="713"/>
      <c r="MTY5" s="713"/>
      <c r="MTZ5" s="713"/>
      <c r="MUA5" s="713"/>
      <c r="MUB5" s="713"/>
      <c r="MUC5" s="713"/>
      <c r="MUD5" s="713"/>
      <c r="MUE5" s="713"/>
      <c r="MUF5" s="713"/>
      <c r="MUG5" s="713"/>
      <c r="MUH5" s="713"/>
      <c r="MUI5" s="713"/>
      <c r="MUJ5" s="713"/>
      <c r="MUK5" s="713" t="s">
        <v>956</v>
      </c>
      <c r="MUL5" s="713"/>
      <c r="MUM5" s="713"/>
      <c r="MUN5" s="713"/>
      <c r="MUO5" s="713"/>
      <c r="MUP5" s="713"/>
      <c r="MUQ5" s="713"/>
      <c r="MUR5" s="713"/>
      <c r="MUS5" s="713"/>
      <c r="MUT5" s="713"/>
      <c r="MUU5" s="713"/>
      <c r="MUV5" s="713"/>
      <c r="MUW5" s="713"/>
      <c r="MUX5" s="713"/>
      <c r="MUY5" s="713"/>
      <c r="MUZ5" s="713"/>
      <c r="MVA5" s="713"/>
      <c r="MVB5" s="713"/>
      <c r="MVC5" s="713"/>
      <c r="MVD5" s="713"/>
      <c r="MVE5" s="713"/>
      <c r="MVF5" s="713"/>
      <c r="MVG5" s="713"/>
      <c r="MVH5" s="713"/>
      <c r="MVI5" s="713"/>
      <c r="MVJ5" s="713"/>
      <c r="MVK5" s="713"/>
      <c r="MVL5" s="713"/>
      <c r="MVM5" s="713"/>
      <c r="MVN5" s="713"/>
      <c r="MVO5" s="713"/>
      <c r="MVP5" s="713"/>
      <c r="MVQ5" s="713" t="s">
        <v>956</v>
      </c>
      <c r="MVR5" s="713"/>
      <c r="MVS5" s="713"/>
      <c r="MVT5" s="713"/>
      <c r="MVU5" s="713"/>
      <c r="MVV5" s="713"/>
      <c r="MVW5" s="713"/>
      <c r="MVX5" s="713"/>
      <c r="MVY5" s="713"/>
      <c r="MVZ5" s="713"/>
      <c r="MWA5" s="713"/>
      <c r="MWB5" s="713"/>
      <c r="MWC5" s="713"/>
      <c r="MWD5" s="713"/>
      <c r="MWE5" s="713"/>
      <c r="MWF5" s="713"/>
      <c r="MWG5" s="713"/>
      <c r="MWH5" s="713"/>
      <c r="MWI5" s="713"/>
      <c r="MWJ5" s="713"/>
      <c r="MWK5" s="713"/>
      <c r="MWL5" s="713"/>
      <c r="MWM5" s="713"/>
      <c r="MWN5" s="713"/>
      <c r="MWO5" s="713"/>
      <c r="MWP5" s="713"/>
      <c r="MWQ5" s="713"/>
      <c r="MWR5" s="713"/>
      <c r="MWS5" s="713"/>
      <c r="MWT5" s="713"/>
      <c r="MWU5" s="713"/>
      <c r="MWV5" s="713"/>
      <c r="MWW5" s="713" t="s">
        <v>956</v>
      </c>
      <c r="MWX5" s="713"/>
      <c r="MWY5" s="713"/>
      <c r="MWZ5" s="713"/>
      <c r="MXA5" s="713"/>
      <c r="MXB5" s="713"/>
      <c r="MXC5" s="713"/>
      <c r="MXD5" s="713"/>
      <c r="MXE5" s="713"/>
      <c r="MXF5" s="713"/>
      <c r="MXG5" s="713"/>
      <c r="MXH5" s="713"/>
      <c r="MXI5" s="713"/>
      <c r="MXJ5" s="713"/>
      <c r="MXK5" s="713"/>
      <c r="MXL5" s="713"/>
      <c r="MXM5" s="713"/>
      <c r="MXN5" s="713"/>
      <c r="MXO5" s="713"/>
      <c r="MXP5" s="713"/>
      <c r="MXQ5" s="713"/>
      <c r="MXR5" s="713"/>
      <c r="MXS5" s="713"/>
      <c r="MXT5" s="713"/>
      <c r="MXU5" s="713"/>
      <c r="MXV5" s="713"/>
      <c r="MXW5" s="713"/>
      <c r="MXX5" s="713"/>
      <c r="MXY5" s="713"/>
      <c r="MXZ5" s="713"/>
      <c r="MYA5" s="713"/>
      <c r="MYB5" s="713"/>
      <c r="MYC5" s="713" t="s">
        <v>956</v>
      </c>
      <c r="MYD5" s="713"/>
      <c r="MYE5" s="713"/>
      <c r="MYF5" s="713"/>
      <c r="MYG5" s="713"/>
      <c r="MYH5" s="713"/>
      <c r="MYI5" s="713"/>
      <c r="MYJ5" s="713"/>
      <c r="MYK5" s="713"/>
      <c r="MYL5" s="713"/>
      <c r="MYM5" s="713"/>
      <c r="MYN5" s="713"/>
      <c r="MYO5" s="713"/>
      <c r="MYP5" s="713"/>
      <c r="MYQ5" s="713"/>
      <c r="MYR5" s="713"/>
      <c r="MYS5" s="713"/>
      <c r="MYT5" s="713"/>
      <c r="MYU5" s="713"/>
      <c r="MYV5" s="713"/>
      <c r="MYW5" s="713"/>
      <c r="MYX5" s="713"/>
      <c r="MYY5" s="713"/>
      <c r="MYZ5" s="713"/>
      <c r="MZA5" s="713"/>
      <c r="MZB5" s="713"/>
      <c r="MZC5" s="713"/>
      <c r="MZD5" s="713"/>
      <c r="MZE5" s="713"/>
      <c r="MZF5" s="713"/>
      <c r="MZG5" s="713"/>
      <c r="MZH5" s="713"/>
      <c r="MZI5" s="713" t="s">
        <v>956</v>
      </c>
      <c r="MZJ5" s="713"/>
      <c r="MZK5" s="713"/>
      <c r="MZL5" s="713"/>
      <c r="MZM5" s="713"/>
      <c r="MZN5" s="713"/>
      <c r="MZO5" s="713"/>
      <c r="MZP5" s="713"/>
      <c r="MZQ5" s="713"/>
      <c r="MZR5" s="713"/>
      <c r="MZS5" s="713"/>
      <c r="MZT5" s="713"/>
      <c r="MZU5" s="713"/>
      <c r="MZV5" s="713"/>
      <c r="MZW5" s="713"/>
      <c r="MZX5" s="713"/>
      <c r="MZY5" s="713"/>
      <c r="MZZ5" s="713"/>
      <c r="NAA5" s="713"/>
      <c r="NAB5" s="713"/>
      <c r="NAC5" s="713"/>
      <c r="NAD5" s="713"/>
      <c r="NAE5" s="713"/>
      <c r="NAF5" s="713"/>
      <c r="NAG5" s="713"/>
      <c r="NAH5" s="713"/>
      <c r="NAI5" s="713"/>
      <c r="NAJ5" s="713"/>
      <c r="NAK5" s="713"/>
      <c r="NAL5" s="713"/>
      <c r="NAM5" s="713"/>
      <c r="NAN5" s="713"/>
      <c r="NAO5" s="713" t="s">
        <v>956</v>
      </c>
      <c r="NAP5" s="713"/>
      <c r="NAQ5" s="713"/>
      <c r="NAR5" s="713"/>
      <c r="NAS5" s="713"/>
      <c r="NAT5" s="713"/>
      <c r="NAU5" s="713"/>
      <c r="NAV5" s="713"/>
      <c r="NAW5" s="713"/>
      <c r="NAX5" s="713"/>
      <c r="NAY5" s="713"/>
      <c r="NAZ5" s="713"/>
      <c r="NBA5" s="713"/>
      <c r="NBB5" s="713"/>
      <c r="NBC5" s="713"/>
      <c r="NBD5" s="713"/>
      <c r="NBE5" s="713"/>
      <c r="NBF5" s="713"/>
      <c r="NBG5" s="713"/>
      <c r="NBH5" s="713"/>
      <c r="NBI5" s="713"/>
      <c r="NBJ5" s="713"/>
      <c r="NBK5" s="713"/>
      <c r="NBL5" s="713"/>
      <c r="NBM5" s="713"/>
      <c r="NBN5" s="713"/>
      <c r="NBO5" s="713"/>
      <c r="NBP5" s="713"/>
      <c r="NBQ5" s="713"/>
      <c r="NBR5" s="713"/>
      <c r="NBS5" s="713"/>
      <c r="NBT5" s="713"/>
      <c r="NBU5" s="713" t="s">
        <v>956</v>
      </c>
      <c r="NBV5" s="713"/>
      <c r="NBW5" s="713"/>
      <c r="NBX5" s="713"/>
      <c r="NBY5" s="713"/>
      <c r="NBZ5" s="713"/>
      <c r="NCA5" s="713"/>
      <c r="NCB5" s="713"/>
      <c r="NCC5" s="713"/>
      <c r="NCD5" s="713"/>
      <c r="NCE5" s="713"/>
      <c r="NCF5" s="713"/>
      <c r="NCG5" s="713"/>
      <c r="NCH5" s="713"/>
      <c r="NCI5" s="713"/>
      <c r="NCJ5" s="713"/>
      <c r="NCK5" s="713"/>
      <c r="NCL5" s="713"/>
      <c r="NCM5" s="713"/>
      <c r="NCN5" s="713"/>
      <c r="NCO5" s="713"/>
      <c r="NCP5" s="713"/>
      <c r="NCQ5" s="713"/>
      <c r="NCR5" s="713"/>
      <c r="NCS5" s="713"/>
      <c r="NCT5" s="713"/>
      <c r="NCU5" s="713"/>
      <c r="NCV5" s="713"/>
      <c r="NCW5" s="713"/>
      <c r="NCX5" s="713"/>
      <c r="NCY5" s="713"/>
      <c r="NCZ5" s="713"/>
      <c r="NDA5" s="713" t="s">
        <v>956</v>
      </c>
      <c r="NDB5" s="713"/>
      <c r="NDC5" s="713"/>
      <c r="NDD5" s="713"/>
      <c r="NDE5" s="713"/>
      <c r="NDF5" s="713"/>
      <c r="NDG5" s="713"/>
      <c r="NDH5" s="713"/>
      <c r="NDI5" s="713"/>
      <c r="NDJ5" s="713"/>
      <c r="NDK5" s="713"/>
      <c r="NDL5" s="713"/>
      <c r="NDM5" s="713"/>
      <c r="NDN5" s="713"/>
      <c r="NDO5" s="713"/>
      <c r="NDP5" s="713"/>
      <c r="NDQ5" s="713"/>
      <c r="NDR5" s="713"/>
      <c r="NDS5" s="713"/>
      <c r="NDT5" s="713"/>
      <c r="NDU5" s="713"/>
      <c r="NDV5" s="713"/>
      <c r="NDW5" s="713"/>
      <c r="NDX5" s="713"/>
      <c r="NDY5" s="713"/>
      <c r="NDZ5" s="713"/>
      <c r="NEA5" s="713"/>
      <c r="NEB5" s="713"/>
      <c r="NEC5" s="713"/>
      <c r="NED5" s="713"/>
      <c r="NEE5" s="713"/>
      <c r="NEF5" s="713"/>
      <c r="NEG5" s="713" t="s">
        <v>956</v>
      </c>
      <c r="NEH5" s="713"/>
      <c r="NEI5" s="713"/>
      <c r="NEJ5" s="713"/>
      <c r="NEK5" s="713"/>
      <c r="NEL5" s="713"/>
      <c r="NEM5" s="713"/>
      <c r="NEN5" s="713"/>
      <c r="NEO5" s="713"/>
      <c r="NEP5" s="713"/>
      <c r="NEQ5" s="713"/>
      <c r="NER5" s="713"/>
      <c r="NES5" s="713"/>
      <c r="NET5" s="713"/>
      <c r="NEU5" s="713"/>
      <c r="NEV5" s="713"/>
      <c r="NEW5" s="713"/>
      <c r="NEX5" s="713"/>
      <c r="NEY5" s="713"/>
      <c r="NEZ5" s="713"/>
      <c r="NFA5" s="713"/>
      <c r="NFB5" s="713"/>
      <c r="NFC5" s="713"/>
      <c r="NFD5" s="713"/>
      <c r="NFE5" s="713"/>
      <c r="NFF5" s="713"/>
      <c r="NFG5" s="713"/>
      <c r="NFH5" s="713"/>
      <c r="NFI5" s="713"/>
      <c r="NFJ5" s="713"/>
      <c r="NFK5" s="713"/>
      <c r="NFL5" s="713"/>
      <c r="NFM5" s="713" t="s">
        <v>956</v>
      </c>
      <c r="NFN5" s="713"/>
      <c r="NFO5" s="713"/>
      <c r="NFP5" s="713"/>
      <c r="NFQ5" s="713"/>
      <c r="NFR5" s="713"/>
      <c r="NFS5" s="713"/>
      <c r="NFT5" s="713"/>
      <c r="NFU5" s="713"/>
      <c r="NFV5" s="713"/>
      <c r="NFW5" s="713"/>
      <c r="NFX5" s="713"/>
      <c r="NFY5" s="713"/>
      <c r="NFZ5" s="713"/>
      <c r="NGA5" s="713"/>
      <c r="NGB5" s="713"/>
      <c r="NGC5" s="713"/>
      <c r="NGD5" s="713"/>
      <c r="NGE5" s="713"/>
      <c r="NGF5" s="713"/>
      <c r="NGG5" s="713"/>
      <c r="NGH5" s="713"/>
      <c r="NGI5" s="713"/>
      <c r="NGJ5" s="713"/>
      <c r="NGK5" s="713"/>
      <c r="NGL5" s="713"/>
      <c r="NGM5" s="713"/>
      <c r="NGN5" s="713"/>
      <c r="NGO5" s="713"/>
      <c r="NGP5" s="713"/>
      <c r="NGQ5" s="713"/>
      <c r="NGR5" s="713"/>
      <c r="NGS5" s="713" t="s">
        <v>956</v>
      </c>
      <c r="NGT5" s="713"/>
      <c r="NGU5" s="713"/>
      <c r="NGV5" s="713"/>
      <c r="NGW5" s="713"/>
      <c r="NGX5" s="713"/>
      <c r="NGY5" s="713"/>
      <c r="NGZ5" s="713"/>
      <c r="NHA5" s="713"/>
      <c r="NHB5" s="713"/>
      <c r="NHC5" s="713"/>
      <c r="NHD5" s="713"/>
      <c r="NHE5" s="713"/>
      <c r="NHF5" s="713"/>
      <c r="NHG5" s="713"/>
      <c r="NHH5" s="713"/>
      <c r="NHI5" s="713"/>
      <c r="NHJ5" s="713"/>
      <c r="NHK5" s="713"/>
      <c r="NHL5" s="713"/>
      <c r="NHM5" s="713"/>
      <c r="NHN5" s="713"/>
      <c r="NHO5" s="713"/>
      <c r="NHP5" s="713"/>
      <c r="NHQ5" s="713"/>
      <c r="NHR5" s="713"/>
      <c r="NHS5" s="713"/>
      <c r="NHT5" s="713"/>
      <c r="NHU5" s="713"/>
      <c r="NHV5" s="713"/>
      <c r="NHW5" s="713"/>
      <c r="NHX5" s="713"/>
      <c r="NHY5" s="713" t="s">
        <v>956</v>
      </c>
      <c r="NHZ5" s="713"/>
      <c r="NIA5" s="713"/>
      <c r="NIB5" s="713"/>
      <c r="NIC5" s="713"/>
      <c r="NID5" s="713"/>
      <c r="NIE5" s="713"/>
      <c r="NIF5" s="713"/>
      <c r="NIG5" s="713"/>
      <c r="NIH5" s="713"/>
      <c r="NII5" s="713"/>
      <c r="NIJ5" s="713"/>
      <c r="NIK5" s="713"/>
      <c r="NIL5" s="713"/>
      <c r="NIM5" s="713"/>
      <c r="NIN5" s="713"/>
      <c r="NIO5" s="713"/>
      <c r="NIP5" s="713"/>
      <c r="NIQ5" s="713"/>
      <c r="NIR5" s="713"/>
      <c r="NIS5" s="713"/>
      <c r="NIT5" s="713"/>
      <c r="NIU5" s="713"/>
      <c r="NIV5" s="713"/>
      <c r="NIW5" s="713"/>
      <c r="NIX5" s="713"/>
      <c r="NIY5" s="713"/>
      <c r="NIZ5" s="713"/>
      <c r="NJA5" s="713"/>
      <c r="NJB5" s="713"/>
      <c r="NJC5" s="713"/>
      <c r="NJD5" s="713"/>
      <c r="NJE5" s="713" t="s">
        <v>956</v>
      </c>
      <c r="NJF5" s="713"/>
      <c r="NJG5" s="713"/>
      <c r="NJH5" s="713"/>
      <c r="NJI5" s="713"/>
      <c r="NJJ5" s="713"/>
      <c r="NJK5" s="713"/>
      <c r="NJL5" s="713"/>
      <c r="NJM5" s="713"/>
      <c r="NJN5" s="713"/>
      <c r="NJO5" s="713"/>
      <c r="NJP5" s="713"/>
      <c r="NJQ5" s="713"/>
      <c r="NJR5" s="713"/>
      <c r="NJS5" s="713"/>
      <c r="NJT5" s="713"/>
      <c r="NJU5" s="713"/>
      <c r="NJV5" s="713"/>
      <c r="NJW5" s="713"/>
      <c r="NJX5" s="713"/>
      <c r="NJY5" s="713"/>
      <c r="NJZ5" s="713"/>
      <c r="NKA5" s="713"/>
      <c r="NKB5" s="713"/>
      <c r="NKC5" s="713"/>
      <c r="NKD5" s="713"/>
      <c r="NKE5" s="713"/>
      <c r="NKF5" s="713"/>
      <c r="NKG5" s="713"/>
      <c r="NKH5" s="713"/>
      <c r="NKI5" s="713"/>
      <c r="NKJ5" s="713"/>
      <c r="NKK5" s="713" t="s">
        <v>956</v>
      </c>
      <c r="NKL5" s="713"/>
      <c r="NKM5" s="713"/>
      <c r="NKN5" s="713"/>
      <c r="NKO5" s="713"/>
      <c r="NKP5" s="713"/>
      <c r="NKQ5" s="713"/>
      <c r="NKR5" s="713"/>
      <c r="NKS5" s="713"/>
      <c r="NKT5" s="713"/>
      <c r="NKU5" s="713"/>
      <c r="NKV5" s="713"/>
      <c r="NKW5" s="713"/>
      <c r="NKX5" s="713"/>
      <c r="NKY5" s="713"/>
      <c r="NKZ5" s="713"/>
      <c r="NLA5" s="713"/>
      <c r="NLB5" s="713"/>
      <c r="NLC5" s="713"/>
      <c r="NLD5" s="713"/>
      <c r="NLE5" s="713"/>
      <c r="NLF5" s="713"/>
      <c r="NLG5" s="713"/>
      <c r="NLH5" s="713"/>
      <c r="NLI5" s="713"/>
      <c r="NLJ5" s="713"/>
      <c r="NLK5" s="713"/>
      <c r="NLL5" s="713"/>
      <c r="NLM5" s="713"/>
      <c r="NLN5" s="713"/>
      <c r="NLO5" s="713"/>
      <c r="NLP5" s="713"/>
      <c r="NLQ5" s="713" t="s">
        <v>956</v>
      </c>
      <c r="NLR5" s="713"/>
      <c r="NLS5" s="713"/>
      <c r="NLT5" s="713"/>
      <c r="NLU5" s="713"/>
      <c r="NLV5" s="713"/>
      <c r="NLW5" s="713"/>
      <c r="NLX5" s="713"/>
      <c r="NLY5" s="713"/>
      <c r="NLZ5" s="713"/>
      <c r="NMA5" s="713"/>
      <c r="NMB5" s="713"/>
      <c r="NMC5" s="713"/>
      <c r="NMD5" s="713"/>
      <c r="NME5" s="713"/>
      <c r="NMF5" s="713"/>
      <c r="NMG5" s="713"/>
      <c r="NMH5" s="713"/>
      <c r="NMI5" s="713"/>
      <c r="NMJ5" s="713"/>
      <c r="NMK5" s="713"/>
      <c r="NML5" s="713"/>
      <c r="NMM5" s="713"/>
      <c r="NMN5" s="713"/>
      <c r="NMO5" s="713"/>
      <c r="NMP5" s="713"/>
      <c r="NMQ5" s="713"/>
      <c r="NMR5" s="713"/>
      <c r="NMS5" s="713"/>
      <c r="NMT5" s="713"/>
      <c r="NMU5" s="713"/>
      <c r="NMV5" s="713"/>
      <c r="NMW5" s="713" t="s">
        <v>956</v>
      </c>
      <c r="NMX5" s="713"/>
      <c r="NMY5" s="713"/>
      <c r="NMZ5" s="713"/>
      <c r="NNA5" s="713"/>
      <c r="NNB5" s="713"/>
      <c r="NNC5" s="713"/>
      <c r="NND5" s="713"/>
      <c r="NNE5" s="713"/>
      <c r="NNF5" s="713"/>
      <c r="NNG5" s="713"/>
      <c r="NNH5" s="713"/>
      <c r="NNI5" s="713"/>
      <c r="NNJ5" s="713"/>
      <c r="NNK5" s="713"/>
      <c r="NNL5" s="713"/>
      <c r="NNM5" s="713"/>
      <c r="NNN5" s="713"/>
      <c r="NNO5" s="713"/>
      <c r="NNP5" s="713"/>
      <c r="NNQ5" s="713"/>
      <c r="NNR5" s="713"/>
      <c r="NNS5" s="713"/>
      <c r="NNT5" s="713"/>
      <c r="NNU5" s="713"/>
      <c r="NNV5" s="713"/>
      <c r="NNW5" s="713"/>
      <c r="NNX5" s="713"/>
      <c r="NNY5" s="713"/>
      <c r="NNZ5" s="713"/>
      <c r="NOA5" s="713"/>
      <c r="NOB5" s="713"/>
      <c r="NOC5" s="713" t="s">
        <v>956</v>
      </c>
      <c r="NOD5" s="713"/>
      <c r="NOE5" s="713"/>
      <c r="NOF5" s="713"/>
      <c r="NOG5" s="713"/>
      <c r="NOH5" s="713"/>
      <c r="NOI5" s="713"/>
      <c r="NOJ5" s="713"/>
      <c r="NOK5" s="713"/>
      <c r="NOL5" s="713"/>
      <c r="NOM5" s="713"/>
      <c r="NON5" s="713"/>
      <c r="NOO5" s="713"/>
      <c r="NOP5" s="713"/>
      <c r="NOQ5" s="713"/>
      <c r="NOR5" s="713"/>
      <c r="NOS5" s="713"/>
      <c r="NOT5" s="713"/>
      <c r="NOU5" s="713"/>
      <c r="NOV5" s="713"/>
      <c r="NOW5" s="713"/>
      <c r="NOX5" s="713"/>
      <c r="NOY5" s="713"/>
      <c r="NOZ5" s="713"/>
      <c r="NPA5" s="713"/>
      <c r="NPB5" s="713"/>
      <c r="NPC5" s="713"/>
      <c r="NPD5" s="713"/>
      <c r="NPE5" s="713"/>
      <c r="NPF5" s="713"/>
      <c r="NPG5" s="713"/>
      <c r="NPH5" s="713"/>
      <c r="NPI5" s="713" t="s">
        <v>956</v>
      </c>
      <c r="NPJ5" s="713"/>
      <c r="NPK5" s="713"/>
      <c r="NPL5" s="713"/>
      <c r="NPM5" s="713"/>
      <c r="NPN5" s="713"/>
      <c r="NPO5" s="713"/>
      <c r="NPP5" s="713"/>
      <c r="NPQ5" s="713"/>
      <c r="NPR5" s="713"/>
      <c r="NPS5" s="713"/>
      <c r="NPT5" s="713"/>
      <c r="NPU5" s="713"/>
      <c r="NPV5" s="713"/>
      <c r="NPW5" s="713"/>
      <c r="NPX5" s="713"/>
      <c r="NPY5" s="713"/>
      <c r="NPZ5" s="713"/>
      <c r="NQA5" s="713"/>
      <c r="NQB5" s="713"/>
      <c r="NQC5" s="713"/>
      <c r="NQD5" s="713"/>
      <c r="NQE5" s="713"/>
      <c r="NQF5" s="713"/>
      <c r="NQG5" s="713"/>
      <c r="NQH5" s="713"/>
      <c r="NQI5" s="713"/>
      <c r="NQJ5" s="713"/>
      <c r="NQK5" s="713"/>
      <c r="NQL5" s="713"/>
      <c r="NQM5" s="713"/>
      <c r="NQN5" s="713"/>
      <c r="NQO5" s="713" t="s">
        <v>956</v>
      </c>
      <c r="NQP5" s="713"/>
      <c r="NQQ5" s="713"/>
      <c r="NQR5" s="713"/>
      <c r="NQS5" s="713"/>
      <c r="NQT5" s="713"/>
      <c r="NQU5" s="713"/>
      <c r="NQV5" s="713"/>
      <c r="NQW5" s="713"/>
      <c r="NQX5" s="713"/>
      <c r="NQY5" s="713"/>
      <c r="NQZ5" s="713"/>
      <c r="NRA5" s="713"/>
      <c r="NRB5" s="713"/>
      <c r="NRC5" s="713"/>
      <c r="NRD5" s="713"/>
      <c r="NRE5" s="713"/>
      <c r="NRF5" s="713"/>
      <c r="NRG5" s="713"/>
      <c r="NRH5" s="713"/>
      <c r="NRI5" s="713"/>
      <c r="NRJ5" s="713"/>
      <c r="NRK5" s="713"/>
      <c r="NRL5" s="713"/>
      <c r="NRM5" s="713"/>
      <c r="NRN5" s="713"/>
      <c r="NRO5" s="713"/>
      <c r="NRP5" s="713"/>
      <c r="NRQ5" s="713"/>
      <c r="NRR5" s="713"/>
      <c r="NRS5" s="713"/>
      <c r="NRT5" s="713"/>
      <c r="NRU5" s="713" t="s">
        <v>956</v>
      </c>
      <c r="NRV5" s="713"/>
      <c r="NRW5" s="713"/>
      <c r="NRX5" s="713"/>
      <c r="NRY5" s="713"/>
      <c r="NRZ5" s="713"/>
      <c r="NSA5" s="713"/>
      <c r="NSB5" s="713"/>
      <c r="NSC5" s="713"/>
      <c r="NSD5" s="713"/>
      <c r="NSE5" s="713"/>
      <c r="NSF5" s="713"/>
      <c r="NSG5" s="713"/>
      <c r="NSH5" s="713"/>
      <c r="NSI5" s="713"/>
      <c r="NSJ5" s="713"/>
      <c r="NSK5" s="713"/>
      <c r="NSL5" s="713"/>
      <c r="NSM5" s="713"/>
      <c r="NSN5" s="713"/>
      <c r="NSO5" s="713"/>
      <c r="NSP5" s="713"/>
      <c r="NSQ5" s="713"/>
      <c r="NSR5" s="713"/>
      <c r="NSS5" s="713"/>
      <c r="NST5" s="713"/>
      <c r="NSU5" s="713"/>
      <c r="NSV5" s="713"/>
      <c r="NSW5" s="713"/>
      <c r="NSX5" s="713"/>
      <c r="NSY5" s="713"/>
      <c r="NSZ5" s="713"/>
      <c r="NTA5" s="713" t="s">
        <v>956</v>
      </c>
      <c r="NTB5" s="713"/>
      <c r="NTC5" s="713"/>
      <c r="NTD5" s="713"/>
      <c r="NTE5" s="713"/>
      <c r="NTF5" s="713"/>
      <c r="NTG5" s="713"/>
      <c r="NTH5" s="713"/>
      <c r="NTI5" s="713"/>
      <c r="NTJ5" s="713"/>
      <c r="NTK5" s="713"/>
      <c r="NTL5" s="713"/>
      <c r="NTM5" s="713"/>
      <c r="NTN5" s="713"/>
      <c r="NTO5" s="713"/>
      <c r="NTP5" s="713"/>
      <c r="NTQ5" s="713"/>
      <c r="NTR5" s="713"/>
      <c r="NTS5" s="713"/>
      <c r="NTT5" s="713"/>
      <c r="NTU5" s="713"/>
      <c r="NTV5" s="713"/>
      <c r="NTW5" s="713"/>
      <c r="NTX5" s="713"/>
      <c r="NTY5" s="713"/>
      <c r="NTZ5" s="713"/>
      <c r="NUA5" s="713"/>
      <c r="NUB5" s="713"/>
      <c r="NUC5" s="713"/>
      <c r="NUD5" s="713"/>
      <c r="NUE5" s="713"/>
      <c r="NUF5" s="713"/>
      <c r="NUG5" s="713" t="s">
        <v>956</v>
      </c>
      <c r="NUH5" s="713"/>
      <c r="NUI5" s="713"/>
      <c r="NUJ5" s="713"/>
      <c r="NUK5" s="713"/>
      <c r="NUL5" s="713"/>
      <c r="NUM5" s="713"/>
      <c r="NUN5" s="713"/>
      <c r="NUO5" s="713"/>
      <c r="NUP5" s="713"/>
      <c r="NUQ5" s="713"/>
      <c r="NUR5" s="713"/>
      <c r="NUS5" s="713"/>
      <c r="NUT5" s="713"/>
      <c r="NUU5" s="713"/>
      <c r="NUV5" s="713"/>
      <c r="NUW5" s="713"/>
      <c r="NUX5" s="713"/>
      <c r="NUY5" s="713"/>
      <c r="NUZ5" s="713"/>
      <c r="NVA5" s="713"/>
      <c r="NVB5" s="713"/>
      <c r="NVC5" s="713"/>
      <c r="NVD5" s="713"/>
      <c r="NVE5" s="713"/>
      <c r="NVF5" s="713"/>
      <c r="NVG5" s="713"/>
      <c r="NVH5" s="713"/>
      <c r="NVI5" s="713"/>
      <c r="NVJ5" s="713"/>
      <c r="NVK5" s="713"/>
      <c r="NVL5" s="713"/>
      <c r="NVM5" s="713" t="s">
        <v>956</v>
      </c>
      <c r="NVN5" s="713"/>
      <c r="NVO5" s="713"/>
      <c r="NVP5" s="713"/>
      <c r="NVQ5" s="713"/>
      <c r="NVR5" s="713"/>
      <c r="NVS5" s="713"/>
      <c r="NVT5" s="713"/>
      <c r="NVU5" s="713"/>
      <c r="NVV5" s="713"/>
      <c r="NVW5" s="713"/>
      <c r="NVX5" s="713"/>
      <c r="NVY5" s="713"/>
      <c r="NVZ5" s="713"/>
      <c r="NWA5" s="713"/>
      <c r="NWB5" s="713"/>
      <c r="NWC5" s="713"/>
      <c r="NWD5" s="713"/>
      <c r="NWE5" s="713"/>
      <c r="NWF5" s="713"/>
      <c r="NWG5" s="713"/>
      <c r="NWH5" s="713"/>
      <c r="NWI5" s="713"/>
      <c r="NWJ5" s="713"/>
      <c r="NWK5" s="713"/>
      <c r="NWL5" s="713"/>
      <c r="NWM5" s="713"/>
      <c r="NWN5" s="713"/>
      <c r="NWO5" s="713"/>
      <c r="NWP5" s="713"/>
      <c r="NWQ5" s="713"/>
      <c r="NWR5" s="713"/>
      <c r="NWS5" s="713" t="s">
        <v>956</v>
      </c>
      <c r="NWT5" s="713"/>
      <c r="NWU5" s="713"/>
      <c r="NWV5" s="713"/>
      <c r="NWW5" s="713"/>
      <c r="NWX5" s="713"/>
      <c r="NWY5" s="713"/>
      <c r="NWZ5" s="713"/>
      <c r="NXA5" s="713"/>
      <c r="NXB5" s="713"/>
      <c r="NXC5" s="713"/>
      <c r="NXD5" s="713"/>
      <c r="NXE5" s="713"/>
      <c r="NXF5" s="713"/>
      <c r="NXG5" s="713"/>
      <c r="NXH5" s="713"/>
      <c r="NXI5" s="713"/>
      <c r="NXJ5" s="713"/>
      <c r="NXK5" s="713"/>
      <c r="NXL5" s="713"/>
      <c r="NXM5" s="713"/>
      <c r="NXN5" s="713"/>
      <c r="NXO5" s="713"/>
      <c r="NXP5" s="713"/>
      <c r="NXQ5" s="713"/>
      <c r="NXR5" s="713"/>
      <c r="NXS5" s="713"/>
      <c r="NXT5" s="713"/>
      <c r="NXU5" s="713"/>
      <c r="NXV5" s="713"/>
      <c r="NXW5" s="713"/>
      <c r="NXX5" s="713"/>
      <c r="NXY5" s="713" t="s">
        <v>956</v>
      </c>
      <c r="NXZ5" s="713"/>
      <c r="NYA5" s="713"/>
      <c r="NYB5" s="713"/>
      <c r="NYC5" s="713"/>
      <c r="NYD5" s="713"/>
      <c r="NYE5" s="713"/>
      <c r="NYF5" s="713"/>
      <c r="NYG5" s="713"/>
      <c r="NYH5" s="713"/>
      <c r="NYI5" s="713"/>
      <c r="NYJ5" s="713"/>
      <c r="NYK5" s="713"/>
      <c r="NYL5" s="713"/>
      <c r="NYM5" s="713"/>
      <c r="NYN5" s="713"/>
      <c r="NYO5" s="713"/>
      <c r="NYP5" s="713"/>
      <c r="NYQ5" s="713"/>
      <c r="NYR5" s="713"/>
      <c r="NYS5" s="713"/>
      <c r="NYT5" s="713"/>
      <c r="NYU5" s="713"/>
      <c r="NYV5" s="713"/>
      <c r="NYW5" s="713"/>
      <c r="NYX5" s="713"/>
      <c r="NYY5" s="713"/>
      <c r="NYZ5" s="713"/>
      <c r="NZA5" s="713"/>
      <c r="NZB5" s="713"/>
      <c r="NZC5" s="713"/>
      <c r="NZD5" s="713"/>
      <c r="NZE5" s="713" t="s">
        <v>956</v>
      </c>
      <c r="NZF5" s="713"/>
      <c r="NZG5" s="713"/>
      <c r="NZH5" s="713"/>
      <c r="NZI5" s="713"/>
      <c r="NZJ5" s="713"/>
      <c r="NZK5" s="713"/>
      <c r="NZL5" s="713"/>
      <c r="NZM5" s="713"/>
      <c r="NZN5" s="713"/>
      <c r="NZO5" s="713"/>
      <c r="NZP5" s="713"/>
      <c r="NZQ5" s="713"/>
      <c r="NZR5" s="713"/>
      <c r="NZS5" s="713"/>
      <c r="NZT5" s="713"/>
      <c r="NZU5" s="713"/>
      <c r="NZV5" s="713"/>
      <c r="NZW5" s="713"/>
      <c r="NZX5" s="713"/>
      <c r="NZY5" s="713"/>
      <c r="NZZ5" s="713"/>
      <c r="OAA5" s="713"/>
      <c r="OAB5" s="713"/>
      <c r="OAC5" s="713"/>
      <c r="OAD5" s="713"/>
      <c r="OAE5" s="713"/>
      <c r="OAF5" s="713"/>
      <c r="OAG5" s="713"/>
      <c r="OAH5" s="713"/>
      <c r="OAI5" s="713"/>
      <c r="OAJ5" s="713"/>
      <c r="OAK5" s="713" t="s">
        <v>956</v>
      </c>
      <c r="OAL5" s="713"/>
      <c r="OAM5" s="713"/>
      <c r="OAN5" s="713"/>
      <c r="OAO5" s="713"/>
      <c r="OAP5" s="713"/>
      <c r="OAQ5" s="713"/>
      <c r="OAR5" s="713"/>
      <c r="OAS5" s="713"/>
      <c r="OAT5" s="713"/>
      <c r="OAU5" s="713"/>
      <c r="OAV5" s="713"/>
      <c r="OAW5" s="713"/>
      <c r="OAX5" s="713"/>
      <c r="OAY5" s="713"/>
      <c r="OAZ5" s="713"/>
      <c r="OBA5" s="713"/>
      <c r="OBB5" s="713"/>
      <c r="OBC5" s="713"/>
      <c r="OBD5" s="713"/>
      <c r="OBE5" s="713"/>
      <c r="OBF5" s="713"/>
      <c r="OBG5" s="713"/>
      <c r="OBH5" s="713"/>
      <c r="OBI5" s="713"/>
      <c r="OBJ5" s="713"/>
      <c r="OBK5" s="713"/>
      <c r="OBL5" s="713"/>
      <c r="OBM5" s="713"/>
      <c r="OBN5" s="713"/>
      <c r="OBO5" s="713"/>
      <c r="OBP5" s="713"/>
      <c r="OBQ5" s="713" t="s">
        <v>956</v>
      </c>
      <c r="OBR5" s="713"/>
      <c r="OBS5" s="713"/>
      <c r="OBT5" s="713"/>
      <c r="OBU5" s="713"/>
      <c r="OBV5" s="713"/>
      <c r="OBW5" s="713"/>
      <c r="OBX5" s="713"/>
      <c r="OBY5" s="713"/>
      <c r="OBZ5" s="713"/>
      <c r="OCA5" s="713"/>
      <c r="OCB5" s="713"/>
      <c r="OCC5" s="713"/>
      <c r="OCD5" s="713"/>
      <c r="OCE5" s="713"/>
      <c r="OCF5" s="713"/>
      <c r="OCG5" s="713"/>
      <c r="OCH5" s="713"/>
      <c r="OCI5" s="713"/>
      <c r="OCJ5" s="713"/>
      <c r="OCK5" s="713"/>
      <c r="OCL5" s="713"/>
      <c r="OCM5" s="713"/>
      <c r="OCN5" s="713"/>
      <c r="OCO5" s="713"/>
      <c r="OCP5" s="713"/>
      <c r="OCQ5" s="713"/>
      <c r="OCR5" s="713"/>
      <c r="OCS5" s="713"/>
      <c r="OCT5" s="713"/>
      <c r="OCU5" s="713"/>
      <c r="OCV5" s="713"/>
      <c r="OCW5" s="713" t="s">
        <v>956</v>
      </c>
      <c r="OCX5" s="713"/>
      <c r="OCY5" s="713"/>
      <c r="OCZ5" s="713"/>
      <c r="ODA5" s="713"/>
      <c r="ODB5" s="713"/>
      <c r="ODC5" s="713"/>
      <c r="ODD5" s="713"/>
      <c r="ODE5" s="713"/>
      <c r="ODF5" s="713"/>
      <c r="ODG5" s="713"/>
      <c r="ODH5" s="713"/>
      <c r="ODI5" s="713"/>
      <c r="ODJ5" s="713"/>
      <c r="ODK5" s="713"/>
      <c r="ODL5" s="713"/>
      <c r="ODM5" s="713"/>
      <c r="ODN5" s="713"/>
      <c r="ODO5" s="713"/>
      <c r="ODP5" s="713"/>
      <c r="ODQ5" s="713"/>
      <c r="ODR5" s="713"/>
      <c r="ODS5" s="713"/>
      <c r="ODT5" s="713"/>
      <c r="ODU5" s="713"/>
      <c r="ODV5" s="713"/>
      <c r="ODW5" s="713"/>
      <c r="ODX5" s="713"/>
      <c r="ODY5" s="713"/>
      <c r="ODZ5" s="713"/>
      <c r="OEA5" s="713"/>
      <c r="OEB5" s="713"/>
      <c r="OEC5" s="713" t="s">
        <v>956</v>
      </c>
      <c r="OED5" s="713"/>
      <c r="OEE5" s="713"/>
      <c r="OEF5" s="713"/>
      <c r="OEG5" s="713"/>
      <c r="OEH5" s="713"/>
      <c r="OEI5" s="713"/>
      <c r="OEJ5" s="713"/>
      <c r="OEK5" s="713"/>
      <c r="OEL5" s="713"/>
      <c r="OEM5" s="713"/>
      <c r="OEN5" s="713"/>
      <c r="OEO5" s="713"/>
      <c r="OEP5" s="713"/>
      <c r="OEQ5" s="713"/>
      <c r="OER5" s="713"/>
      <c r="OES5" s="713"/>
      <c r="OET5" s="713"/>
      <c r="OEU5" s="713"/>
      <c r="OEV5" s="713"/>
      <c r="OEW5" s="713"/>
      <c r="OEX5" s="713"/>
      <c r="OEY5" s="713"/>
      <c r="OEZ5" s="713"/>
      <c r="OFA5" s="713"/>
      <c r="OFB5" s="713"/>
      <c r="OFC5" s="713"/>
      <c r="OFD5" s="713"/>
      <c r="OFE5" s="713"/>
      <c r="OFF5" s="713"/>
      <c r="OFG5" s="713"/>
      <c r="OFH5" s="713"/>
      <c r="OFI5" s="713" t="s">
        <v>956</v>
      </c>
      <c r="OFJ5" s="713"/>
      <c r="OFK5" s="713"/>
      <c r="OFL5" s="713"/>
      <c r="OFM5" s="713"/>
      <c r="OFN5" s="713"/>
      <c r="OFO5" s="713"/>
      <c r="OFP5" s="713"/>
      <c r="OFQ5" s="713"/>
      <c r="OFR5" s="713"/>
      <c r="OFS5" s="713"/>
      <c r="OFT5" s="713"/>
      <c r="OFU5" s="713"/>
      <c r="OFV5" s="713"/>
      <c r="OFW5" s="713"/>
      <c r="OFX5" s="713"/>
      <c r="OFY5" s="713"/>
      <c r="OFZ5" s="713"/>
      <c r="OGA5" s="713"/>
      <c r="OGB5" s="713"/>
      <c r="OGC5" s="713"/>
      <c r="OGD5" s="713"/>
      <c r="OGE5" s="713"/>
      <c r="OGF5" s="713"/>
      <c r="OGG5" s="713"/>
      <c r="OGH5" s="713"/>
      <c r="OGI5" s="713"/>
      <c r="OGJ5" s="713"/>
      <c r="OGK5" s="713"/>
      <c r="OGL5" s="713"/>
      <c r="OGM5" s="713"/>
      <c r="OGN5" s="713"/>
      <c r="OGO5" s="713" t="s">
        <v>956</v>
      </c>
      <c r="OGP5" s="713"/>
      <c r="OGQ5" s="713"/>
      <c r="OGR5" s="713"/>
      <c r="OGS5" s="713"/>
      <c r="OGT5" s="713"/>
      <c r="OGU5" s="713"/>
      <c r="OGV5" s="713"/>
      <c r="OGW5" s="713"/>
      <c r="OGX5" s="713"/>
      <c r="OGY5" s="713"/>
      <c r="OGZ5" s="713"/>
      <c r="OHA5" s="713"/>
      <c r="OHB5" s="713"/>
      <c r="OHC5" s="713"/>
      <c r="OHD5" s="713"/>
      <c r="OHE5" s="713"/>
      <c r="OHF5" s="713"/>
      <c r="OHG5" s="713"/>
      <c r="OHH5" s="713"/>
      <c r="OHI5" s="713"/>
      <c r="OHJ5" s="713"/>
      <c r="OHK5" s="713"/>
      <c r="OHL5" s="713"/>
      <c r="OHM5" s="713"/>
      <c r="OHN5" s="713"/>
      <c r="OHO5" s="713"/>
      <c r="OHP5" s="713"/>
      <c r="OHQ5" s="713"/>
      <c r="OHR5" s="713"/>
      <c r="OHS5" s="713"/>
      <c r="OHT5" s="713"/>
      <c r="OHU5" s="713" t="s">
        <v>956</v>
      </c>
      <c r="OHV5" s="713"/>
      <c r="OHW5" s="713"/>
      <c r="OHX5" s="713"/>
      <c r="OHY5" s="713"/>
      <c r="OHZ5" s="713"/>
      <c r="OIA5" s="713"/>
      <c r="OIB5" s="713"/>
      <c r="OIC5" s="713"/>
      <c r="OID5" s="713"/>
      <c r="OIE5" s="713"/>
      <c r="OIF5" s="713"/>
      <c r="OIG5" s="713"/>
      <c r="OIH5" s="713"/>
      <c r="OII5" s="713"/>
      <c r="OIJ5" s="713"/>
      <c r="OIK5" s="713"/>
      <c r="OIL5" s="713"/>
      <c r="OIM5" s="713"/>
      <c r="OIN5" s="713"/>
      <c r="OIO5" s="713"/>
      <c r="OIP5" s="713"/>
      <c r="OIQ5" s="713"/>
      <c r="OIR5" s="713"/>
      <c r="OIS5" s="713"/>
      <c r="OIT5" s="713"/>
      <c r="OIU5" s="713"/>
      <c r="OIV5" s="713"/>
      <c r="OIW5" s="713"/>
      <c r="OIX5" s="713"/>
      <c r="OIY5" s="713"/>
      <c r="OIZ5" s="713"/>
      <c r="OJA5" s="713" t="s">
        <v>956</v>
      </c>
      <c r="OJB5" s="713"/>
      <c r="OJC5" s="713"/>
      <c r="OJD5" s="713"/>
      <c r="OJE5" s="713"/>
      <c r="OJF5" s="713"/>
      <c r="OJG5" s="713"/>
      <c r="OJH5" s="713"/>
      <c r="OJI5" s="713"/>
      <c r="OJJ5" s="713"/>
      <c r="OJK5" s="713"/>
      <c r="OJL5" s="713"/>
      <c r="OJM5" s="713"/>
      <c r="OJN5" s="713"/>
      <c r="OJO5" s="713"/>
      <c r="OJP5" s="713"/>
      <c r="OJQ5" s="713"/>
      <c r="OJR5" s="713"/>
      <c r="OJS5" s="713"/>
      <c r="OJT5" s="713"/>
      <c r="OJU5" s="713"/>
      <c r="OJV5" s="713"/>
      <c r="OJW5" s="713"/>
      <c r="OJX5" s="713"/>
      <c r="OJY5" s="713"/>
      <c r="OJZ5" s="713"/>
      <c r="OKA5" s="713"/>
      <c r="OKB5" s="713"/>
      <c r="OKC5" s="713"/>
      <c r="OKD5" s="713"/>
      <c r="OKE5" s="713"/>
      <c r="OKF5" s="713"/>
      <c r="OKG5" s="713" t="s">
        <v>956</v>
      </c>
      <c r="OKH5" s="713"/>
      <c r="OKI5" s="713"/>
      <c r="OKJ5" s="713"/>
      <c r="OKK5" s="713"/>
      <c r="OKL5" s="713"/>
      <c r="OKM5" s="713"/>
      <c r="OKN5" s="713"/>
      <c r="OKO5" s="713"/>
      <c r="OKP5" s="713"/>
      <c r="OKQ5" s="713"/>
      <c r="OKR5" s="713"/>
      <c r="OKS5" s="713"/>
      <c r="OKT5" s="713"/>
      <c r="OKU5" s="713"/>
      <c r="OKV5" s="713"/>
      <c r="OKW5" s="713"/>
      <c r="OKX5" s="713"/>
      <c r="OKY5" s="713"/>
      <c r="OKZ5" s="713"/>
      <c r="OLA5" s="713"/>
      <c r="OLB5" s="713"/>
      <c r="OLC5" s="713"/>
      <c r="OLD5" s="713"/>
      <c r="OLE5" s="713"/>
      <c r="OLF5" s="713"/>
      <c r="OLG5" s="713"/>
      <c r="OLH5" s="713"/>
      <c r="OLI5" s="713"/>
      <c r="OLJ5" s="713"/>
      <c r="OLK5" s="713"/>
      <c r="OLL5" s="713"/>
      <c r="OLM5" s="713" t="s">
        <v>956</v>
      </c>
      <c r="OLN5" s="713"/>
      <c r="OLO5" s="713"/>
      <c r="OLP5" s="713"/>
      <c r="OLQ5" s="713"/>
      <c r="OLR5" s="713"/>
      <c r="OLS5" s="713"/>
      <c r="OLT5" s="713"/>
      <c r="OLU5" s="713"/>
      <c r="OLV5" s="713"/>
      <c r="OLW5" s="713"/>
      <c r="OLX5" s="713"/>
      <c r="OLY5" s="713"/>
      <c r="OLZ5" s="713"/>
      <c r="OMA5" s="713"/>
      <c r="OMB5" s="713"/>
      <c r="OMC5" s="713"/>
      <c r="OMD5" s="713"/>
      <c r="OME5" s="713"/>
      <c r="OMF5" s="713"/>
      <c r="OMG5" s="713"/>
      <c r="OMH5" s="713"/>
      <c r="OMI5" s="713"/>
      <c r="OMJ5" s="713"/>
      <c r="OMK5" s="713"/>
      <c r="OML5" s="713"/>
      <c r="OMM5" s="713"/>
      <c r="OMN5" s="713"/>
      <c r="OMO5" s="713"/>
      <c r="OMP5" s="713"/>
      <c r="OMQ5" s="713"/>
      <c r="OMR5" s="713"/>
      <c r="OMS5" s="713" t="s">
        <v>956</v>
      </c>
      <c r="OMT5" s="713"/>
      <c r="OMU5" s="713"/>
      <c r="OMV5" s="713"/>
      <c r="OMW5" s="713"/>
      <c r="OMX5" s="713"/>
      <c r="OMY5" s="713"/>
      <c r="OMZ5" s="713"/>
      <c r="ONA5" s="713"/>
      <c r="ONB5" s="713"/>
      <c r="ONC5" s="713"/>
      <c r="OND5" s="713"/>
      <c r="ONE5" s="713"/>
      <c r="ONF5" s="713"/>
      <c r="ONG5" s="713"/>
      <c r="ONH5" s="713"/>
      <c r="ONI5" s="713"/>
      <c r="ONJ5" s="713"/>
      <c r="ONK5" s="713"/>
      <c r="ONL5" s="713"/>
      <c r="ONM5" s="713"/>
      <c r="ONN5" s="713"/>
      <c r="ONO5" s="713"/>
      <c r="ONP5" s="713"/>
      <c r="ONQ5" s="713"/>
      <c r="ONR5" s="713"/>
      <c r="ONS5" s="713"/>
      <c r="ONT5" s="713"/>
      <c r="ONU5" s="713"/>
      <c r="ONV5" s="713"/>
      <c r="ONW5" s="713"/>
      <c r="ONX5" s="713"/>
      <c r="ONY5" s="713" t="s">
        <v>956</v>
      </c>
      <c r="ONZ5" s="713"/>
      <c r="OOA5" s="713"/>
      <c r="OOB5" s="713"/>
      <c r="OOC5" s="713"/>
      <c r="OOD5" s="713"/>
      <c r="OOE5" s="713"/>
      <c r="OOF5" s="713"/>
      <c r="OOG5" s="713"/>
      <c r="OOH5" s="713"/>
      <c r="OOI5" s="713"/>
      <c r="OOJ5" s="713"/>
      <c r="OOK5" s="713"/>
      <c r="OOL5" s="713"/>
      <c r="OOM5" s="713"/>
      <c r="OON5" s="713"/>
      <c r="OOO5" s="713"/>
      <c r="OOP5" s="713"/>
      <c r="OOQ5" s="713"/>
      <c r="OOR5" s="713"/>
      <c r="OOS5" s="713"/>
      <c r="OOT5" s="713"/>
      <c r="OOU5" s="713"/>
      <c r="OOV5" s="713"/>
      <c r="OOW5" s="713"/>
      <c r="OOX5" s="713"/>
      <c r="OOY5" s="713"/>
      <c r="OOZ5" s="713"/>
      <c r="OPA5" s="713"/>
      <c r="OPB5" s="713"/>
      <c r="OPC5" s="713"/>
      <c r="OPD5" s="713"/>
      <c r="OPE5" s="713" t="s">
        <v>956</v>
      </c>
      <c r="OPF5" s="713"/>
      <c r="OPG5" s="713"/>
      <c r="OPH5" s="713"/>
      <c r="OPI5" s="713"/>
      <c r="OPJ5" s="713"/>
      <c r="OPK5" s="713"/>
      <c r="OPL5" s="713"/>
      <c r="OPM5" s="713"/>
      <c r="OPN5" s="713"/>
      <c r="OPO5" s="713"/>
      <c r="OPP5" s="713"/>
      <c r="OPQ5" s="713"/>
      <c r="OPR5" s="713"/>
      <c r="OPS5" s="713"/>
      <c r="OPT5" s="713"/>
      <c r="OPU5" s="713"/>
      <c r="OPV5" s="713"/>
      <c r="OPW5" s="713"/>
      <c r="OPX5" s="713"/>
      <c r="OPY5" s="713"/>
      <c r="OPZ5" s="713"/>
      <c r="OQA5" s="713"/>
      <c r="OQB5" s="713"/>
      <c r="OQC5" s="713"/>
      <c r="OQD5" s="713"/>
      <c r="OQE5" s="713"/>
      <c r="OQF5" s="713"/>
      <c r="OQG5" s="713"/>
      <c r="OQH5" s="713"/>
      <c r="OQI5" s="713"/>
      <c r="OQJ5" s="713"/>
      <c r="OQK5" s="713" t="s">
        <v>956</v>
      </c>
      <c r="OQL5" s="713"/>
      <c r="OQM5" s="713"/>
      <c r="OQN5" s="713"/>
      <c r="OQO5" s="713"/>
      <c r="OQP5" s="713"/>
      <c r="OQQ5" s="713"/>
      <c r="OQR5" s="713"/>
      <c r="OQS5" s="713"/>
      <c r="OQT5" s="713"/>
      <c r="OQU5" s="713"/>
      <c r="OQV5" s="713"/>
      <c r="OQW5" s="713"/>
      <c r="OQX5" s="713"/>
      <c r="OQY5" s="713"/>
      <c r="OQZ5" s="713"/>
      <c r="ORA5" s="713"/>
      <c r="ORB5" s="713"/>
      <c r="ORC5" s="713"/>
      <c r="ORD5" s="713"/>
      <c r="ORE5" s="713"/>
      <c r="ORF5" s="713"/>
      <c r="ORG5" s="713"/>
      <c r="ORH5" s="713"/>
      <c r="ORI5" s="713"/>
      <c r="ORJ5" s="713"/>
      <c r="ORK5" s="713"/>
      <c r="ORL5" s="713"/>
      <c r="ORM5" s="713"/>
      <c r="ORN5" s="713"/>
      <c r="ORO5" s="713"/>
      <c r="ORP5" s="713"/>
      <c r="ORQ5" s="713" t="s">
        <v>956</v>
      </c>
      <c r="ORR5" s="713"/>
      <c r="ORS5" s="713"/>
      <c r="ORT5" s="713"/>
      <c r="ORU5" s="713"/>
      <c r="ORV5" s="713"/>
      <c r="ORW5" s="713"/>
      <c r="ORX5" s="713"/>
      <c r="ORY5" s="713"/>
      <c r="ORZ5" s="713"/>
      <c r="OSA5" s="713"/>
      <c r="OSB5" s="713"/>
      <c r="OSC5" s="713"/>
      <c r="OSD5" s="713"/>
      <c r="OSE5" s="713"/>
      <c r="OSF5" s="713"/>
      <c r="OSG5" s="713"/>
      <c r="OSH5" s="713"/>
      <c r="OSI5" s="713"/>
      <c r="OSJ5" s="713"/>
      <c r="OSK5" s="713"/>
      <c r="OSL5" s="713"/>
      <c r="OSM5" s="713"/>
      <c r="OSN5" s="713"/>
      <c r="OSO5" s="713"/>
      <c r="OSP5" s="713"/>
      <c r="OSQ5" s="713"/>
      <c r="OSR5" s="713"/>
      <c r="OSS5" s="713"/>
      <c r="OST5" s="713"/>
      <c r="OSU5" s="713"/>
      <c r="OSV5" s="713"/>
      <c r="OSW5" s="713" t="s">
        <v>956</v>
      </c>
      <c r="OSX5" s="713"/>
      <c r="OSY5" s="713"/>
      <c r="OSZ5" s="713"/>
      <c r="OTA5" s="713"/>
      <c r="OTB5" s="713"/>
      <c r="OTC5" s="713"/>
      <c r="OTD5" s="713"/>
      <c r="OTE5" s="713"/>
      <c r="OTF5" s="713"/>
      <c r="OTG5" s="713"/>
      <c r="OTH5" s="713"/>
      <c r="OTI5" s="713"/>
      <c r="OTJ5" s="713"/>
      <c r="OTK5" s="713"/>
      <c r="OTL5" s="713"/>
      <c r="OTM5" s="713"/>
      <c r="OTN5" s="713"/>
      <c r="OTO5" s="713"/>
      <c r="OTP5" s="713"/>
      <c r="OTQ5" s="713"/>
      <c r="OTR5" s="713"/>
      <c r="OTS5" s="713"/>
      <c r="OTT5" s="713"/>
      <c r="OTU5" s="713"/>
      <c r="OTV5" s="713"/>
      <c r="OTW5" s="713"/>
      <c r="OTX5" s="713"/>
      <c r="OTY5" s="713"/>
      <c r="OTZ5" s="713"/>
      <c r="OUA5" s="713"/>
      <c r="OUB5" s="713"/>
      <c r="OUC5" s="713" t="s">
        <v>956</v>
      </c>
      <c r="OUD5" s="713"/>
      <c r="OUE5" s="713"/>
      <c r="OUF5" s="713"/>
      <c r="OUG5" s="713"/>
      <c r="OUH5" s="713"/>
      <c r="OUI5" s="713"/>
      <c r="OUJ5" s="713"/>
      <c r="OUK5" s="713"/>
      <c r="OUL5" s="713"/>
      <c r="OUM5" s="713"/>
      <c r="OUN5" s="713"/>
      <c r="OUO5" s="713"/>
      <c r="OUP5" s="713"/>
      <c r="OUQ5" s="713"/>
      <c r="OUR5" s="713"/>
      <c r="OUS5" s="713"/>
      <c r="OUT5" s="713"/>
      <c r="OUU5" s="713"/>
      <c r="OUV5" s="713"/>
      <c r="OUW5" s="713"/>
      <c r="OUX5" s="713"/>
      <c r="OUY5" s="713"/>
      <c r="OUZ5" s="713"/>
      <c r="OVA5" s="713"/>
      <c r="OVB5" s="713"/>
      <c r="OVC5" s="713"/>
      <c r="OVD5" s="713"/>
      <c r="OVE5" s="713"/>
      <c r="OVF5" s="713"/>
      <c r="OVG5" s="713"/>
      <c r="OVH5" s="713"/>
      <c r="OVI5" s="713" t="s">
        <v>956</v>
      </c>
      <c r="OVJ5" s="713"/>
      <c r="OVK5" s="713"/>
      <c r="OVL5" s="713"/>
      <c r="OVM5" s="713"/>
      <c r="OVN5" s="713"/>
      <c r="OVO5" s="713"/>
      <c r="OVP5" s="713"/>
      <c r="OVQ5" s="713"/>
      <c r="OVR5" s="713"/>
      <c r="OVS5" s="713"/>
      <c r="OVT5" s="713"/>
      <c r="OVU5" s="713"/>
      <c r="OVV5" s="713"/>
      <c r="OVW5" s="713"/>
      <c r="OVX5" s="713"/>
      <c r="OVY5" s="713"/>
      <c r="OVZ5" s="713"/>
      <c r="OWA5" s="713"/>
      <c r="OWB5" s="713"/>
      <c r="OWC5" s="713"/>
      <c r="OWD5" s="713"/>
      <c r="OWE5" s="713"/>
      <c r="OWF5" s="713"/>
      <c r="OWG5" s="713"/>
      <c r="OWH5" s="713"/>
      <c r="OWI5" s="713"/>
      <c r="OWJ5" s="713"/>
      <c r="OWK5" s="713"/>
      <c r="OWL5" s="713"/>
      <c r="OWM5" s="713"/>
      <c r="OWN5" s="713"/>
      <c r="OWO5" s="713" t="s">
        <v>956</v>
      </c>
      <c r="OWP5" s="713"/>
      <c r="OWQ5" s="713"/>
      <c r="OWR5" s="713"/>
      <c r="OWS5" s="713"/>
      <c r="OWT5" s="713"/>
      <c r="OWU5" s="713"/>
      <c r="OWV5" s="713"/>
      <c r="OWW5" s="713"/>
      <c r="OWX5" s="713"/>
      <c r="OWY5" s="713"/>
      <c r="OWZ5" s="713"/>
      <c r="OXA5" s="713"/>
      <c r="OXB5" s="713"/>
      <c r="OXC5" s="713"/>
      <c r="OXD5" s="713"/>
      <c r="OXE5" s="713"/>
      <c r="OXF5" s="713"/>
      <c r="OXG5" s="713"/>
      <c r="OXH5" s="713"/>
      <c r="OXI5" s="713"/>
      <c r="OXJ5" s="713"/>
      <c r="OXK5" s="713"/>
      <c r="OXL5" s="713"/>
      <c r="OXM5" s="713"/>
      <c r="OXN5" s="713"/>
      <c r="OXO5" s="713"/>
      <c r="OXP5" s="713"/>
      <c r="OXQ5" s="713"/>
      <c r="OXR5" s="713"/>
      <c r="OXS5" s="713"/>
      <c r="OXT5" s="713"/>
      <c r="OXU5" s="713" t="s">
        <v>956</v>
      </c>
      <c r="OXV5" s="713"/>
      <c r="OXW5" s="713"/>
      <c r="OXX5" s="713"/>
      <c r="OXY5" s="713"/>
      <c r="OXZ5" s="713"/>
      <c r="OYA5" s="713"/>
      <c r="OYB5" s="713"/>
      <c r="OYC5" s="713"/>
      <c r="OYD5" s="713"/>
      <c r="OYE5" s="713"/>
      <c r="OYF5" s="713"/>
      <c r="OYG5" s="713"/>
      <c r="OYH5" s="713"/>
      <c r="OYI5" s="713"/>
      <c r="OYJ5" s="713"/>
      <c r="OYK5" s="713"/>
      <c r="OYL5" s="713"/>
      <c r="OYM5" s="713"/>
      <c r="OYN5" s="713"/>
      <c r="OYO5" s="713"/>
      <c r="OYP5" s="713"/>
      <c r="OYQ5" s="713"/>
      <c r="OYR5" s="713"/>
      <c r="OYS5" s="713"/>
      <c r="OYT5" s="713"/>
      <c r="OYU5" s="713"/>
      <c r="OYV5" s="713"/>
      <c r="OYW5" s="713"/>
      <c r="OYX5" s="713"/>
      <c r="OYY5" s="713"/>
      <c r="OYZ5" s="713"/>
      <c r="OZA5" s="713" t="s">
        <v>956</v>
      </c>
      <c r="OZB5" s="713"/>
      <c r="OZC5" s="713"/>
      <c r="OZD5" s="713"/>
      <c r="OZE5" s="713"/>
      <c r="OZF5" s="713"/>
      <c r="OZG5" s="713"/>
      <c r="OZH5" s="713"/>
      <c r="OZI5" s="713"/>
      <c r="OZJ5" s="713"/>
      <c r="OZK5" s="713"/>
      <c r="OZL5" s="713"/>
      <c r="OZM5" s="713"/>
      <c r="OZN5" s="713"/>
      <c r="OZO5" s="713"/>
      <c r="OZP5" s="713"/>
      <c r="OZQ5" s="713"/>
      <c r="OZR5" s="713"/>
      <c r="OZS5" s="713"/>
      <c r="OZT5" s="713"/>
      <c r="OZU5" s="713"/>
      <c r="OZV5" s="713"/>
      <c r="OZW5" s="713"/>
      <c r="OZX5" s="713"/>
      <c r="OZY5" s="713"/>
      <c r="OZZ5" s="713"/>
      <c r="PAA5" s="713"/>
      <c r="PAB5" s="713"/>
      <c r="PAC5" s="713"/>
      <c r="PAD5" s="713"/>
      <c r="PAE5" s="713"/>
      <c r="PAF5" s="713"/>
      <c r="PAG5" s="713" t="s">
        <v>956</v>
      </c>
      <c r="PAH5" s="713"/>
      <c r="PAI5" s="713"/>
      <c r="PAJ5" s="713"/>
      <c r="PAK5" s="713"/>
      <c r="PAL5" s="713"/>
      <c r="PAM5" s="713"/>
      <c r="PAN5" s="713"/>
      <c r="PAO5" s="713"/>
      <c r="PAP5" s="713"/>
      <c r="PAQ5" s="713"/>
      <c r="PAR5" s="713"/>
      <c r="PAS5" s="713"/>
      <c r="PAT5" s="713"/>
      <c r="PAU5" s="713"/>
      <c r="PAV5" s="713"/>
      <c r="PAW5" s="713"/>
      <c r="PAX5" s="713"/>
      <c r="PAY5" s="713"/>
      <c r="PAZ5" s="713"/>
      <c r="PBA5" s="713"/>
      <c r="PBB5" s="713"/>
      <c r="PBC5" s="713"/>
      <c r="PBD5" s="713"/>
      <c r="PBE5" s="713"/>
      <c r="PBF5" s="713"/>
      <c r="PBG5" s="713"/>
      <c r="PBH5" s="713"/>
      <c r="PBI5" s="713"/>
      <c r="PBJ5" s="713"/>
      <c r="PBK5" s="713"/>
      <c r="PBL5" s="713"/>
      <c r="PBM5" s="713" t="s">
        <v>956</v>
      </c>
      <c r="PBN5" s="713"/>
      <c r="PBO5" s="713"/>
      <c r="PBP5" s="713"/>
      <c r="PBQ5" s="713"/>
      <c r="PBR5" s="713"/>
      <c r="PBS5" s="713"/>
      <c r="PBT5" s="713"/>
      <c r="PBU5" s="713"/>
      <c r="PBV5" s="713"/>
      <c r="PBW5" s="713"/>
      <c r="PBX5" s="713"/>
      <c r="PBY5" s="713"/>
      <c r="PBZ5" s="713"/>
      <c r="PCA5" s="713"/>
      <c r="PCB5" s="713"/>
      <c r="PCC5" s="713"/>
      <c r="PCD5" s="713"/>
      <c r="PCE5" s="713"/>
      <c r="PCF5" s="713"/>
      <c r="PCG5" s="713"/>
      <c r="PCH5" s="713"/>
      <c r="PCI5" s="713"/>
      <c r="PCJ5" s="713"/>
      <c r="PCK5" s="713"/>
      <c r="PCL5" s="713"/>
      <c r="PCM5" s="713"/>
      <c r="PCN5" s="713"/>
      <c r="PCO5" s="713"/>
      <c r="PCP5" s="713"/>
      <c r="PCQ5" s="713"/>
      <c r="PCR5" s="713"/>
      <c r="PCS5" s="713" t="s">
        <v>956</v>
      </c>
      <c r="PCT5" s="713"/>
      <c r="PCU5" s="713"/>
      <c r="PCV5" s="713"/>
      <c r="PCW5" s="713"/>
      <c r="PCX5" s="713"/>
      <c r="PCY5" s="713"/>
      <c r="PCZ5" s="713"/>
      <c r="PDA5" s="713"/>
      <c r="PDB5" s="713"/>
      <c r="PDC5" s="713"/>
      <c r="PDD5" s="713"/>
      <c r="PDE5" s="713"/>
      <c r="PDF5" s="713"/>
      <c r="PDG5" s="713"/>
      <c r="PDH5" s="713"/>
      <c r="PDI5" s="713"/>
      <c r="PDJ5" s="713"/>
      <c r="PDK5" s="713"/>
      <c r="PDL5" s="713"/>
      <c r="PDM5" s="713"/>
      <c r="PDN5" s="713"/>
      <c r="PDO5" s="713"/>
      <c r="PDP5" s="713"/>
      <c r="PDQ5" s="713"/>
      <c r="PDR5" s="713"/>
      <c r="PDS5" s="713"/>
      <c r="PDT5" s="713"/>
      <c r="PDU5" s="713"/>
      <c r="PDV5" s="713"/>
      <c r="PDW5" s="713"/>
      <c r="PDX5" s="713"/>
      <c r="PDY5" s="713" t="s">
        <v>956</v>
      </c>
      <c r="PDZ5" s="713"/>
      <c r="PEA5" s="713"/>
      <c r="PEB5" s="713"/>
      <c r="PEC5" s="713"/>
      <c r="PED5" s="713"/>
      <c r="PEE5" s="713"/>
      <c r="PEF5" s="713"/>
      <c r="PEG5" s="713"/>
      <c r="PEH5" s="713"/>
      <c r="PEI5" s="713"/>
      <c r="PEJ5" s="713"/>
      <c r="PEK5" s="713"/>
      <c r="PEL5" s="713"/>
      <c r="PEM5" s="713"/>
      <c r="PEN5" s="713"/>
      <c r="PEO5" s="713"/>
      <c r="PEP5" s="713"/>
      <c r="PEQ5" s="713"/>
      <c r="PER5" s="713"/>
      <c r="PES5" s="713"/>
      <c r="PET5" s="713"/>
      <c r="PEU5" s="713"/>
      <c r="PEV5" s="713"/>
      <c r="PEW5" s="713"/>
      <c r="PEX5" s="713"/>
      <c r="PEY5" s="713"/>
      <c r="PEZ5" s="713"/>
      <c r="PFA5" s="713"/>
      <c r="PFB5" s="713"/>
      <c r="PFC5" s="713"/>
      <c r="PFD5" s="713"/>
      <c r="PFE5" s="713" t="s">
        <v>956</v>
      </c>
      <c r="PFF5" s="713"/>
      <c r="PFG5" s="713"/>
      <c r="PFH5" s="713"/>
      <c r="PFI5" s="713"/>
      <c r="PFJ5" s="713"/>
      <c r="PFK5" s="713"/>
      <c r="PFL5" s="713"/>
      <c r="PFM5" s="713"/>
      <c r="PFN5" s="713"/>
      <c r="PFO5" s="713"/>
      <c r="PFP5" s="713"/>
      <c r="PFQ5" s="713"/>
      <c r="PFR5" s="713"/>
      <c r="PFS5" s="713"/>
      <c r="PFT5" s="713"/>
      <c r="PFU5" s="713"/>
      <c r="PFV5" s="713"/>
      <c r="PFW5" s="713"/>
      <c r="PFX5" s="713"/>
      <c r="PFY5" s="713"/>
      <c r="PFZ5" s="713"/>
      <c r="PGA5" s="713"/>
      <c r="PGB5" s="713"/>
      <c r="PGC5" s="713"/>
      <c r="PGD5" s="713"/>
      <c r="PGE5" s="713"/>
      <c r="PGF5" s="713"/>
      <c r="PGG5" s="713"/>
      <c r="PGH5" s="713"/>
      <c r="PGI5" s="713"/>
      <c r="PGJ5" s="713"/>
      <c r="PGK5" s="713" t="s">
        <v>956</v>
      </c>
      <c r="PGL5" s="713"/>
      <c r="PGM5" s="713"/>
      <c r="PGN5" s="713"/>
      <c r="PGO5" s="713"/>
      <c r="PGP5" s="713"/>
      <c r="PGQ5" s="713"/>
      <c r="PGR5" s="713"/>
      <c r="PGS5" s="713"/>
      <c r="PGT5" s="713"/>
      <c r="PGU5" s="713"/>
      <c r="PGV5" s="713"/>
      <c r="PGW5" s="713"/>
      <c r="PGX5" s="713"/>
      <c r="PGY5" s="713"/>
      <c r="PGZ5" s="713"/>
      <c r="PHA5" s="713"/>
      <c r="PHB5" s="713"/>
      <c r="PHC5" s="713"/>
      <c r="PHD5" s="713"/>
      <c r="PHE5" s="713"/>
      <c r="PHF5" s="713"/>
      <c r="PHG5" s="713"/>
      <c r="PHH5" s="713"/>
      <c r="PHI5" s="713"/>
      <c r="PHJ5" s="713"/>
      <c r="PHK5" s="713"/>
      <c r="PHL5" s="713"/>
      <c r="PHM5" s="713"/>
      <c r="PHN5" s="713"/>
      <c r="PHO5" s="713"/>
      <c r="PHP5" s="713"/>
      <c r="PHQ5" s="713" t="s">
        <v>956</v>
      </c>
      <c r="PHR5" s="713"/>
      <c r="PHS5" s="713"/>
      <c r="PHT5" s="713"/>
      <c r="PHU5" s="713"/>
      <c r="PHV5" s="713"/>
      <c r="PHW5" s="713"/>
      <c r="PHX5" s="713"/>
      <c r="PHY5" s="713"/>
      <c r="PHZ5" s="713"/>
      <c r="PIA5" s="713"/>
      <c r="PIB5" s="713"/>
      <c r="PIC5" s="713"/>
      <c r="PID5" s="713"/>
      <c r="PIE5" s="713"/>
      <c r="PIF5" s="713"/>
      <c r="PIG5" s="713"/>
      <c r="PIH5" s="713"/>
      <c r="PII5" s="713"/>
      <c r="PIJ5" s="713"/>
      <c r="PIK5" s="713"/>
      <c r="PIL5" s="713"/>
      <c r="PIM5" s="713"/>
      <c r="PIN5" s="713"/>
      <c r="PIO5" s="713"/>
      <c r="PIP5" s="713"/>
      <c r="PIQ5" s="713"/>
      <c r="PIR5" s="713"/>
      <c r="PIS5" s="713"/>
      <c r="PIT5" s="713"/>
      <c r="PIU5" s="713"/>
      <c r="PIV5" s="713"/>
      <c r="PIW5" s="713" t="s">
        <v>956</v>
      </c>
      <c r="PIX5" s="713"/>
      <c r="PIY5" s="713"/>
      <c r="PIZ5" s="713"/>
      <c r="PJA5" s="713"/>
      <c r="PJB5" s="713"/>
      <c r="PJC5" s="713"/>
      <c r="PJD5" s="713"/>
      <c r="PJE5" s="713"/>
      <c r="PJF5" s="713"/>
      <c r="PJG5" s="713"/>
      <c r="PJH5" s="713"/>
      <c r="PJI5" s="713"/>
      <c r="PJJ5" s="713"/>
      <c r="PJK5" s="713"/>
      <c r="PJL5" s="713"/>
      <c r="PJM5" s="713"/>
      <c r="PJN5" s="713"/>
      <c r="PJO5" s="713"/>
      <c r="PJP5" s="713"/>
      <c r="PJQ5" s="713"/>
      <c r="PJR5" s="713"/>
      <c r="PJS5" s="713"/>
      <c r="PJT5" s="713"/>
      <c r="PJU5" s="713"/>
      <c r="PJV5" s="713"/>
      <c r="PJW5" s="713"/>
      <c r="PJX5" s="713"/>
      <c r="PJY5" s="713"/>
      <c r="PJZ5" s="713"/>
      <c r="PKA5" s="713"/>
      <c r="PKB5" s="713"/>
      <c r="PKC5" s="713" t="s">
        <v>956</v>
      </c>
      <c r="PKD5" s="713"/>
      <c r="PKE5" s="713"/>
      <c r="PKF5" s="713"/>
      <c r="PKG5" s="713"/>
      <c r="PKH5" s="713"/>
      <c r="PKI5" s="713"/>
      <c r="PKJ5" s="713"/>
      <c r="PKK5" s="713"/>
      <c r="PKL5" s="713"/>
      <c r="PKM5" s="713"/>
      <c r="PKN5" s="713"/>
      <c r="PKO5" s="713"/>
      <c r="PKP5" s="713"/>
      <c r="PKQ5" s="713"/>
      <c r="PKR5" s="713"/>
      <c r="PKS5" s="713"/>
      <c r="PKT5" s="713"/>
      <c r="PKU5" s="713"/>
      <c r="PKV5" s="713"/>
      <c r="PKW5" s="713"/>
      <c r="PKX5" s="713"/>
      <c r="PKY5" s="713"/>
      <c r="PKZ5" s="713"/>
      <c r="PLA5" s="713"/>
      <c r="PLB5" s="713"/>
      <c r="PLC5" s="713"/>
      <c r="PLD5" s="713"/>
      <c r="PLE5" s="713"/>
      <c r="PLF5" s="713"/>
      <c r="PLG5" s="713"/>
      <c r="PLH5" s="713"/>
      <c r="PLI5" s="713" t="s">
        <v>956</v>
      </c>
      <c r="PLJ5" s="713"/>
      <c r="PLK5" s="713"/>
      <c r="PLL5" s="713"/>
      <c r="PLM5" s="713"/>
      <c r="PLN5" s="713"/>
      <c r="PLO5" s="713"/>
      <c r="PLP5" s="713"/>
      <c r="PLQ5" s="713"/>
      <c r="PLR5" s="713"/>
      <c r="PLS5" s="713"/>
      <c r="PLT5" s="713"/>
      <c r="PLU5" s="713"/>
      <c r="PLV5" s="713"/>
      <c r="PLW5" s="713"/>
      <c r="PLX5" s="713"/>
      <c r="PLY5" s="713"/>
      <c r="PLZ5" s="713"/>
      <c r="PMA5" s="713"/>
      <c r="PMB5" s="713"/>
      <c r="PMC5" s="713"/>
      <c r="PMD5" s="713"/>
      <c r="PME5" s="713"/>
      <c r="PMF5" s="713"/>
      <c r="PMG5" s="713"/>
      <c r="PMH5" s="713"/>
      <c r="PMI5" s="713"/>
      <c r="PMJ5" s="713"/>
      <c r="PMK5" s="713"/>
      <c r="PML5" s="713"/>
      <c r="PMM5" s="713"/>
      <c r="PMN5" s="713"/>
      <c r="PMO5" s="713" t="s">
        <v>956</v>
      </c>
      <c r="PMP5" s="713"/>
      <c r="PMQ5" s="713"/>
      <c r="PMR5" s="713"/>
      <c r="PMS5" s="713"/>
      <c r="PMT5" s="713"/>
      <c r="PMU5" s="713"/>
      <c r="PMV5" s="713"/>
      <c r="PMW5" s="713"/>
      <c r="PMX5" s="713"/>
      <c r="PMY5" s="713"/>
      <c r="PMZ5" s="713"/>
      <c r="PNA5" s="713"/>
      <c r="PNB5" s="713"/>
      <c r="PNC5" s="713"/>
      <c r="PND5" s="713"/>
      <c r="PNE5" s="713"/>
      <c r="PNF5" s="713"/>
      <c r="PNG5" s="713"/>
      <c r="PNH5" s="713"/>
      <c r="PNI5" s="713"/>
      <c r="PNJ5" s="713"/>
      <c r="PNK5" s="713"/>
      <c r="PNL5" s="713"/>
      <c r="PNM5" s="713"/>
      <c r="PNN5" s="713"/>
      <c r="PNO5" s="713"/>
      <c r="PNP5" s="713"/>
      <c r="PNQ5" s="713"/>
      <c r="PNR5" s="713"/>
      <c r="PNS5" s="713"/>
      <c r="PNT5" s="713"/>
      <c r="PNU5" s="713" t="s">
        <v>956</v>
      </c>
      <c r="PNV5" s="713"/>
      <c r="PNW5" s="713"/>
      <c r="PNX5" s="713"/>
      <c r="PNY5" s="713"/>
      <c r="PNZ5" s="713"/>
      <c r="POA5" s="713"/>
      <c r="POB5" s="713"/>
      <c r="POC5" s="713"/>
      <c r="POD5" s="713"/>
      <c r="POE5" s="713"/>
      <c r="POF5" s="713"/>
      <c r="POG5" s="713"/>
      <c r="POH5" s="713"/>
      <c r="POI5" s="713"/>
      <c r="POJ5" s="713"/>
      <c r="POK5" s="713"/>
      <c r="POL5" s="713"/>
      <c r="POM5" s="713"/>
      <c r="PON5" s="713"/>
      <c r="POO5" s="713"/>
      <c r="POP5" s="713"/>
      <c r="POQ5" s="713"/>
      <c r="POR5" s="713"/>
      <c r="POS5" s="713"/>
      <c r="POT5" s="713"/>
      <c r="POU5" s="713"/>
      <c r="POV5" s="713"/>
      <c r="POW5" s="713"/>
      <c r="POX5" s="713"/>
      <c r="POY5" s="713"/>
      <c r="POZ5" s="713"/>
      <c r="PPA5" s="713" t="s">
        <v>956</v>
      </c>
      <c r="PPB5" s="713"/>
      <c r="PPC5" s="713"/>
      <c r="PPD5" s="713"/>
      <c r="PPE5" s="713"/>
      <c r="PPF5" s="713"/>
      <c r="PPG5" s="713"/>
      <c r="PPH5" s="713"/>
      <c r="PPI5" s="713"/>
      <c r="PPJ5" s="713"/>
      <c r="PPK5" s="713"/>
      <c r="PPL5" s="713"/>
      <c r="PPM5" s="713"/>
      <c r="PPN5" s="713"/>
      <c r="PPO5" s="713"/>
      <c r="PPP5" s="713"/>
      <c r="PPQ5" s="713"/>
      <c r="PPR5" s="713"/>
      <c r="PPS5" s="713"/>
      <c r="PPT5" s="713"/>
      <c r="PPU5" s="713"/>
      <c r="PPV5" s="713"/>
      <c r="PPW5" s="713"/>
      <c r="PPX5" s="713"/>
      <c r="PPY5" s="713"/>
      <c r="PPZ5" s="713"/>
      <c r="PQA5" s="713"/>
      <c r="PQB5" s="713"/>
      <c r="PQC5" s="713"/>
      <c r="PQD5" s="713"/>
      <c r="PQE5" s="713"/>
      <c r="PQF5" s="713"/>
      <c r="PQG5" s="713" t="s">
        <v>956</v>
      </c>
      <c r="PQH5" s="713"/>
      <c r="PQI5" s="713"/>
      <c r="PQJ5" s="713"/>
      <c r="PQK5" s="713"/>
      <c r="PQL5" s="713"/>
      <c r="PQM5" s="713"/>
      <c r="PQN5" s="713"/>
      <c r="PQO5" s="713"/>
      <c r="PQP5" s="713"/>
      <c r="PQQ5" s="713"/>
      <c r="PQR5" s="713"/>
      <c r="PQS5" s="713"/>
      <c r="PQT5" s="713"/>
      <c r="PQU5" s="713"/>
      <c r="PQV5" s="713"/>
      <c r="PQW5" s="713"/>
      <c r="PQX5" s="713"/>
      <c r="PQY5" s="713"/>
      <c r="PQZ5" s="713"/>
      <c r="PRA5" s="713"/>
      <c r="PRB5" s="713"/>
      <c r="PRC5" s="713"/>
      <c r="PRD5" s="713"/>
      <c r="PRE5" s="713"/>
      <c r="PRF5" s="713"/>
      <c r="PRG5" s="713"/>
      <c r="PRH5" s="713"/>
      <c r="PRI5" s="713"/>
      <c r="PRJ5" s="713"/>
      <c r="PRK5" s="713"/>
      <c r="PRL5" s="713"/>
      <c r="PRM5" s="713" t="s">
        <v>956</v>
      </c>
      <c r="PRN5" s="713"/>
      <c r="PRO5" s="713"/>
      <c r="PRP5" s="713"/>
      <c r="PRQ5" s="713"/>
      <c r="PRR5" s="713"/>
      <c r="PRS5" s="713"/>
      <c r="PRT5" s="713"/>
      <c r="PRU5" s="713"/>
      <c r="PRV5" s="713"/>
      <c r="PRW5" s="713"/>
      <c r="PRX5" s="713"/>
      <c r="PRY5" s="713"/>
      <c r="PRZ5" s="713"/>
      <c r="PSA5" s="713"/>
      <c r="PSB5" s="713"/>
      <c r="PSC5" s="713"/>
      <c r="PSD5" s="713"/>
      <c r="PSE5" s="713"/>
      <c r="PSF5" s="713"/>
      <c r="PSG5" s="713"/>
      <c r="PSH5" s="713"/>
      <c r="PSI5" s="713"/>
      <c r="PSJ5" s="713"/>
      <c r="PSK5" s="713"/>
      <c r="PSL5" s="713"/>
      <c r="PSM5" s="713"/>
      <c r="PSN5" s="713"/>
      <c r="PSO5" s="713"/>
      <c r="PSP5" s="713"/>
      <c r="PSQ5" s="713"/>
      <c r="PSR5" s="713"/>
      <c r="PSS5" s="713" t="s">
        <v>956</v>
      </c>
      <c r="PST5" s="713"/>
      <c r="PSU5" s="713"/>
      <c r="PSV5" s="713"/>
      <c r="PSW5" s="713"/>
      <c r="PSX5" s="713"/>
      <c r="PSY5" s="713"/>
      <c r="PSZ5" s="713"/>
      <c r="PTA5" s="713"/>
      <c r="PTB5" s="713"/>
      <c r="PTC5" s="713"/>
      <c r="PTD5" s="713"/>
      <c r="PTE5" s="713"/>
      <c r="PTF5" s="713"/>
      <c r="PTG5" s="713"/>
      <c r="PTH5" s="713"/>
      <c r="PTI5" s="713"/>
      <c r="PTJ5" s="713"/>
      <c r="PTK5" s="713"/>
      <c r="PTL5" s="713"/>
      <c r="PTM5" s="713"/>
      <c r="PTN5" s="713"/>
      <c r="PTO5" s="713"/>
      <c r="PTP5" s="713"/>
      <c r="PTQ5" s="713"/>
      <c r="PTR5" s="713"/>
      <c r="PTS5" s="713"/>
      <c r="PTT5" s="713"/>
      <c r="PTU5" s="713"/>
      <c r="PTV5" s="713"/>
      <c r="PTW5" s="713"/>
      <c r="PTX5" s="713"/>
      <c r="PTY5" s="713" t="s">
        <v>956</v>
      </c>
      <c r="PTZ5" s="713"/>
      <c r="PUA5" s="713"/>
      <c r="PUB5" s="713"/>
      <c r="PUC5" s="713"/>
      <c r="PUD5" s="713"/>
      <c r="PUE5" s="713"/>
      <c r="PUF5" s="713"/>
      <c r="PUG5" s="713"/>
      <c r="PUH5" s="713"/>
      <c r="PUI5" s="713"/>
      <c r="PUJ5" s="713"/>
      <c r="PUK5" s="713"/>
      <c r="PUL5" s="713"/>
      <c r="PUM5" s="713"/>
      <c r="PUN5" s="713"/>
      <c r="PUO5" s="713"/>
      <c r="PUP5" s="713"/>
      <c r="PUQ5" s="713"/>
      <c r="PUR5" s="713"/>
      <c r="PUS5" s="713"/>
      <c r="PUT5" s="713"/>
      <c r="PUU5" s="713"/>
      <c r="PUV5" s="713"/>
      <c r="PUW5" s="713"/>
      <c r="PUX5" s="713"/>
      <c r="PUY5" s="713"/>
      <c r="PUZ5" s="713"/>
      <c r="PVA5" s="713"/>
      <c r="PVB5" s="713"/>
      <c r="PVC5" s="713"/>
      <c r="PVD5" s="713"/>
      <c r="PVE5" s="713" t="s">
        <v>956</v>
      </c>
      <c r="PVF5" s="713"/>
      <c r="PVG5" s="713"/>
      <c r="PVH5" s="713"/>
      <c r="PVI5" s="713"/>
      <c r="PVJ5" s="713"/>
      <c r="PVK5" s="713"/>
      <c r="PVL5" s="713"/>
      <c r="PVM5" s="713"/>
      <c r="PVN5" s="713"/>
      <c r="PVO5" s="713"/>
      <c r="PVP5" s="713"/>
      <c r="PVQ5" s="713"/>
      <c r="PVR5" s="713"/>
      <c r="PVS5" s="713"/>
      <c r="PVT5" s="713"/>
      <c r="PVU5" s="713"/>
      <c r="PVV5" s="713"/>
      <c r="PVW5" s="713"/>
      <c r="PVX5" s="713"/>
      <c r="PVY5" s="713"/>
      <c r="PVZ5" s="713"/>
      <c r="PWA5" s="713"/>
      <c r="PWB5" s="713"/>
      <c r="PWC5" s="713"/>
      <c r="PWD5" s="713"/>
      <c r="PWE5" s="713"/>
      <c r="PWF5" s="713"/>
      <c r="PWG5" s="713"/>
      <c r="PWH5" s="713"/>
      <c r="PWI5" s="713"/>
      <c r="PWJ5" s="713"/>
      <c r="PWK5" s="713" t="s">
        <v>956</v>
      </c>
      <c r="PWL5" s="713"/>
      <c r="PWM5" s="713"/>
      <c r="PWN5" s="713"/>
      <c r="PWO5" s="713"/>
      <c r="PWP5" s="713"/>
      <c r="PWQ5" s="713"/>
      <c r="PWR5" s="713"/>
      <c r="PWS5" s="713"/>
      <c r="PWT5" s="713"/>
      <c r="PWU5" s="713"/>
      <c r="PWV5" s="713"/>
      <c r="PWW5" s="713"/>
      <c r="PWX5" s="713"/>
      <c r="PWY5" s="713"/>
      <c r="PWZ5" s="713"/>
      <c r="PXA5" s="713"/>
      <c r="PXB5" s="713"/>
      <c r="PXC5" s="713"/>
      <c r="PXD5" s="713"/>
      <c r="PXE5" s="713"/>
      <c r="PXF5" s="713"/>
      <c r="PXG5" s="713"/>
      <c r="PXH5" s="713"/>
      <c r="PXI5" s="713"/>
      <c r="PXJ5" s="713"/>
      <c r="PXK5" s="713"/>
      <c r="PXL5" s="713"/>
      <c r="PXM5" s="713"/>
      <c r="PXN5" s="713"/>
      <c r="PXO5" s="713"/>
      <c r="PXP5" s="713"/>
      <c r="PXQ5" s="713" t="s">
        <v>956</v>
      </c>
      <c r="PXR5" s="713"/>
      <c r="PXS5" s="713"/>
      <c r="PXT5" s="713"/>
      <c r="PXU5" s="713"/>
      <c r="PXV5" s="713"/>
      <c r="PXW5" s="713"/>
      <c r="PXX5" s="713"/>
      <c r="PXY5" s="713"/>
      <c r="PXZ5" s="713"/>
      <c r="PYA5" s="713"/>
      <c r="PYB5" s="713"/>
      <c r="PYC5" s="713"/>
      <c r="PYD5" s="713"/>
      <c r="PYE5" s="713"/>
      <c r="PYF5" s="713"/>
      <c r="PYG5" s="713"/>
      <c r="PYH5" s="713"/>
      <c r="PYI5" s="713"/>
      <c r="PYJ5" s="713"/>
      <c r="PYK5" s="713"/>
      <c r="PYL5" s="713"/>
      <c r="PYM5" s="713"/>
      <c r="PYN5" s="713"/>
      <c r="PYO5" s="713"/>
      <c r="PYP5" s="713"/>
      <c r="PYQ5" s="713"/>
      <c r="PYR5" s="713"/>
      <c r="PYS5" s="713"/>
      <c r="PYT5" s="713"/>
      <c r="PYU5" s="713"/>
      <c r="PYV5" s="713"/>
      <c r="PYW5" s="713" t="s">
        <v>956</v>
      </c>
      <c r="PYX5" s="713"/>
      <c r="PYY5" s="713"/>
      <c r="PYZ5" s="713"/>
      <c r="PZA5" s="713"/>
      <c r="PZB5" s="713"/>
      <c r="PZC5" s="713"/>
      <c r="PZD5" s="713"/>
      <c r="PZE5" s="713"/>
      <c r="PZF5" s="713"/>
      <c r="PZG5" s="713"/>
      <c r="PZH5" s="713"/>
      <c r="PZI5" s="713"/>
      <c r="PZJ5" s="713"/>
      <c r="PZK5" s="713"/>
      <c r="PZL5" s="713"/>
      <c r="PZM5" s="713"/>
      <c r="PZN5" s="713"/>
      <c r="PZO5" s="713"/>
      <c r="PZP5" s="713"/>
      <c r="PZQ5" s="713"/>
      <c r="PZR5" s="713"/>
      <c r="PZS5" s="713"/>
      <c r="PZT5" s="713"/>
      <c r="PZU5" s="713"/>
      <c r="PZV5" s="713"/>
      <c r="PZW5" s="713"/>
      <c r="PZX5" s="713"/>
      <c r="PZY5" s="713"/>
      <c r="PZZ5" s="713"/>
      <c r="QAA5" s="713"/>
      <c r="QAB5" s="713"/>
      <c r="QAC5" s="713" t="s">
        <v>956</v>
      </c>
      <c r="QAD5" s="713"/>
      <c r="QAE5" s="713"/>
      <c r="QAF5" s="713"/>
      <c r="QAG5" s="713"/>
      <c r="QAH5" s="713"/>
      <c r="QAI5" s="713"/>
      <c r="QAJ5" s="713"/>
      <c r="QAK5" s="713"/>
      <c r="QAL5" s="713"/>
      <c r="QAM5" s="713"/>
      <c r="QAN5" s="713"/>
      <c r="QAO5" s="713"/>
      <c r="QAP5" s="713"/>
      <c r="QAQ5" s="713"/>
      <c r="QAR5" s="713"/>
      <c r="QAS5" s="713"/>
      <c r="QAT5" s="713"/>
      <c r="QAU5" s="713"/>
      <c r="QAV5" s="713"/>
      <c r="QAW5" s="713"/>
      <c r="QAX5" s="713"/>
      <c r="QAY5" s="713"/>
      <c r="QAZ5" s="713"/>
      <c r="QBA5" s="713"/>
      <c r="QBB5" s="713"/>
      <c r="QBC5" s="713"/>
      <c r="QBD5" s="713"/>
      <c r="QBE5" s="713"/>
      <c r="QBF5" s="713"/>
      <c r="QBG5" s="713"/>
      <c r="QBH5" s="713"/>
      <c r="QBI5" s="713" t="s">
        <v>956</v>
      </c>
      <c r="QBJ5" s="713"/>
      <c r="QBK5" s="713"/>
      <c r="QBL5" s="713"/>
      <c r="QBM5" s="713"/>
      <c r="QBN5" s="713"/>
      <c r="QBO5" s="713"/>
      <c r="QBP5" s="713"/>
      <c r="QBQ5" s="713"/>
      <c r="QBR5" s="713"/>
      <c r="QBS5" s="713"/>
      <c r="QBT5" s="713"/>
      <c r="QBU5" s="713"/>
      <c r="QBV5" s="713"/>
      <c r="QBW5" s="713"/>
      <c r="QBX5" s="713"/>
      <c r="QBY5" s="713"/>
      <c r="QBZ5" s="713"/>
      <c r="QCA5" s="713"/>
      <c r="QCB5" s="713"/>
      <c r="QCC5" s="713"/>
      <c r="QCD5" s="713"/>
      <c r="QCE5" s="713"/>
      <c r="QCF5" s="713"/>
      <c r="QCG5" s="713"/>
      <c r="QCH5" s="713"/>
      <c r="QCI5" s="713"/>
      <c r="QCJ5" s="713"/>
      <c r="QCK5" s="713"/>
      <c r="QCL5" s="713"/>
      <c r="QCM5" s="713"/>
      <c r="QCN5" s="713"/>
      <c r="QCO5" s="713" t="s">
        <v>956</v>
      </c>
      <c r="QCP5" s="713"/>
      <c r="QCQ5" s="713"/>
      <c r="QCR5" s="713"/>
      <c r="QCS5" s="713"/>
      <c r="QCT5" s="713"/>
      <c r="QCU5" s="713"/>
      <c r="QCV5" s="713"/>
      <c r="QCW5" s="713"/>
      <c r="QCX5" s="713"/>
      <c r="QCY5" s="713"/>
      <c r="QCZ5" s="713"/>
      <c r="QDA5" s="713"/>
      <c r="QDB5" s="713"/>
      <c r="QDC5" s="713"/>
      <c r="QDD5" s="713"/>
      <c r="QDE5" s="713"/>
      <c r="QDF5" s="713"/>
      <c r="QDG5" s="713"/>
      <c r="QDH5" s="713"/>
      <c r="QDI5" s="713"/>
      <c r="QDJ5" s="713"/>
      <c r="QDK5" s="713"/>
      <c r="QDL5" s="713"/>
      <c r="QDM5" s="713"/>
      <c r="QDN5" s="713"/>
      <c r="QDO5" s="713"/>
      <c r="QDP5" s="713"/>
      <c r="QDQ5" s="713"/>
      <c r="QDR5" s="713"/>
      <c r="QDS5" s="713"/>
      <c r="QDT5" s="713"/>
      <c r="QDU5" s="713" t="s">
        <v>956</v>
      </c>
      <c r="QDV5" s="713"/>
      <c r="QDW5" s="713"/>
      <c r="QDX5" s="713"/>
      <c r="QDY5" s="713"/>
      <c r="QDZ5" s="713"/>
      <c r="QEA5" s="713"/>
      <c r="QEB5" s="713"/>
      <c r="QEC5" s="713"/>
      <c r="QED5" s="713"/>
      <c r="QEE5" s="713"/>
      <c r="QEF5" s="713"/>
      <c r="QEG5" s="713"/>
      <c r="QEH5" s="713"/>
      <c r="QEI5" s="713"/>
      <c r="QEJ5" s="713"/>
      <c r="QEK5" s="713"/>
      <c r="QEL5" s="713"/>
      <c r="QEM5" s="713"/>
      <c r="QEN5" s="713"/>
      <c r="QEO5" s="713"/>
      <c r="QEP5" s="713"/>
      <c r="QEQ5" s="713"/>
      <c r="QER5" s="713"/>
      <c r="QES5" s="713"/>
      <c r="QET5" s="713"/>
      <c r="QEU5" s="713"/>
      <c r="QEV5" s="713"/>
      <c r="QEW5" s="713"/>
      <c r="QEX5" s="713"/>
      <c r="QEY5" s="713"/>
      <c r="QEZ5" s="713"/>
      <c r="QFA5" s="713" t="s">
        <v>956</v>
      </c>
      <c r="QFB5" s="713"/>
      <c r="QFC5" s="713"/>
      <c r="QFD5" s="713"/>
      <c r="QFE5" s="713"/>
      <c r="QFF5" s="713"/>
      <c r="QFG5" s="713"/>
      <c r="QFH5" s="713"/>
      <c r="QFI5" s="713"/>
      <c r="QFJ5" s="713"/>
      <c r="QFK5" s="713"/>
      <c r="QFL5" s="713"/>
      <c r="QFM5" s="713"/>
      <c r="QFN5" s="713"/>
      <c r="QFO5" s="713"/>
      <c r="QFP5" s="713"/>
      <c r="QFQ5" s="713"/>
      <c r="QFR5" s="713"/>
      <c r="QFS5" s="713"/>
      <c r="QFT5" s="713"/>
      <c r="QFU5" s="713"/>
      <c r="QFV5" s="713"/>
      <c r="QFW5" s="713"/>
      <c r="QFX5" s="713"/>
      <c r="QFY5" s="713"/>
      <c r="QFZ5" s="713"/>
      <c r="QGA5" s="713"/>
      <c r="QGB5" s="713"/>
      <c r="QGC5" s="713"/>
      <c r="QGD5" s="713"/>
      <c r="QGE5" s="713"/>
      <c r="QGF5" s="713"/>
      <c r="QGG5" s="713" t="s">
        <v>956</v>
      </c>
      <c r="QGH5" s="713"/>
      <c r="QGI5" s="713"/>
      <c r="QGJ5" s="713"/>
      <c r="QGK5" s="713"/>
      <c r="QGL5" s="713"/>
      <c r="QGM5" s="713"/>
      <c r="QGN5" s="713"/>
      <c r="QGO5" s="713"/>
      <c r="QGP5" s="713"/>
      <c r="QGQ5" s="713"/>
      <c r="QGR5" s="713"/>
      <c r="QGS5" s="713"/>
      <c r="QGT5" s="713"/>
      <c r="QGU5" s="713"/>
      <c r="QGV5" s="713"/>
      <c r="QGW5" s="713"/>
      <c r="QGX5" s="713"/>
      <c r="QGY5" s="713"/>
      <c r="QGZ5" s="713"/>
      <c r="QHA5" s="713"/>
      <c r="QHB5" s="713"/>
      <c r="QHC5" s="713"/>
      <c r="QHD5" s="713"/>
      <c r="QHE5" s="713"/>
      <c r="QHF5" s="713"/>
      <c r="QHG5" s="713"/>
      <c r="QHH5" s="713"/>
      <c r="QHI5" s="713"/>
      <c r="QHJ5" s="713"/>
      <c r="QHK5" s="713"/>
      <c r="QHL5" s="713"/>
      <c r="QHM5" s="713" t="s">
        <v>956</v>
      </c>
      <c r="QHN5" s="713"/>
      <c r="QHO5" s="713"/>
      <c r="QHP5" s="713"/>
      <c r="QHQ5" s="713"/>
      <c r="QHR5" s="713"/>
      <c r="QHS5" s="713"/>
      <c r="QHT5" s="713"/>
      <c r="QHU5" s="713"/>
      <c r="QHV5" s="713"/>
      <c r="QHW5" s="713"/>
      <c r="QHX5" s="713"/>
      <c r="QHY5" s="713"/>
      <c r="QHZ5" s="713"/>
      <c r="QIA5" s="713"/>
      <c r="QIB5" s="713"/>
      <c r="QIC5" s="713"/>
      <c r="QID5" s="713"/>
      <c r="QIE5" s="713"/>
      <c r="QIF5" s="713"/>
      <c r="QIG5" s="713"/>
      <c r="QIH5" s="713"/>
      <c r="QII5" s="713"/>
      <c r="QIJ5" s="713"/>
      <c r="QIK5" s="713"/>
      <c r="QIL5" s="713"/>
      <c r="QIM5" s="713"/>
      <c r="QIN5" s="713"/>
      <c r="QIO5" s="713"/>
      <c r="QIP5" s="713"/>
      <c r="QIQ5" s="713"/>
      <c r="QIR5" s="713"/>
      <c r="QIS5" s="713" t="s">
        <v>956</v>
      </c>
      <c r="QIT5" s="713"/>
      <c r="QIU5" s="713"/>
      <c r="QIV5" s="713"/>
      <c r="QIW5" s="713"/>
      <c r="QIX5" s="713"/>
      <c r="QIY5" s="713"/>
      <c r="QIZ5" s="713"/>
      <c r="QJA5" s="713"/>
      <c r="QJB5" s="713"/>
      <c r="QJC5" s="713"/>
      <c r="QJD5" s="713"/>
      <c r="QJE5" s="713"/>
      <c r="QJF5" s="713"/>
      <c r="QJG5" s="713"/>
      <c r="QJH5" s="713"/>
      <c r="QJI5" s="713"/>
      <c r="QJJ5" s="713"/>
      <c r="QJK5" s="713"/>
      <c r="QJL5" s="713"/>
      <c r="QJM5" s="713"/>
      <c r="QJN5" s="713"/>
      <c r="QJO5" s="713"/>
      <c r="QJP5" s="713"/>
      <c r="QJQ5" s="713"/>
      <c r="QJR5" s="713"/>
      <c r="QJS5" s="713"/>
      <c r="QJT5" s="713"/>
      <c r="QJU5" s="713"/>
      <c r="QJV5" s="713"/>
      <c r="QJW5" s="713"/>
      <c r="QJX5" s="713"/>
      <c r="QJY5" s="713" t="s">
        <v>956</v>
      </c>
      <c r="QJZ5" s="713"/>
      <c r="QKA5" s="713"/>
      <c r="QKB5" s="713"/>
      <c r="QKC5" s="713"/>
      <c r="QKD5" s="713"/>
      <c r="QKE5" s="713"/>
      <c r="QKF5" s="713"/>
      <c r="QKG5" s="713"/>
      <c r="QKH5" s="713"/>
      <c r="QKI5" s="713"/>
      <c r="QKJ5" s="713"/>
      <c r="QKK5" s="713"/>
      <c r="QKL5" s="713"/>
      <c r="QKM5" s="713"/>
      <c r="QKN5" s="713"/>
      <c r="QKO5" s="713"/>
      <c r="QKP5" s="713"/>
      <c r="QKQ5" s="713"/>
      <c r="QKR5" s="713"/>
      <c r="QKS5" s="713"/>
      <c r="QKT5" s="713"/>
      <c r="QKU5" s="713"/>
      <c r="QKV5" s="713"/>
      <c r="QKW5" s="713"/>
      <c r="QKX5" s="713"/>
      <c r="QKY5" s="713"/>
      <c r="QKZ5" s="713"/>
      <c r="QLA5" s="713"/>
      <c r="QLB5" s="713"/>
      <c r="QLC5" s="713"/>
      <c r="QLD5" s="713"/>
      <c r="QLE5" s="713" t="s">
        <v>956</v>
      </c>
      <c r="QLF5" s="713"/>
      <c r="QLG5" s="713"/>
      <c r="QLH5" s="713"/>
      <c r="QLI5" s="713"/>
      <c r="QLJ5" s="713"/>
      <c r="QLK5" s="713"/>
      <c r="QLL5" s="713"/>
      <c r="QLM5" s="713"/>
      <c r="QLN5" s="713"/>
      <c r="QLO5" s="713"/>
      <c r="QLP5" s="713"/>
      <c r="QLQ5" s="713"/>
      <c r="QLR5" s="713"/>
      <c r="QLS5" s="713"/>
      <c r="QLT5" s="713"/>
      <c r="QLU5" s="713"/>
      <c r="QLV5" s="713"/>
      <c r="QLW5" s="713"/>
      <c r="QLX5" s="713"/>
      <c r="QLY5" s="713"/>
      <c r="QLZ5" s="713"/>
      <c r="QMA5" s="713"/>
      <c r="QMB5" s="713"/>
      <c r="QMC5" s="713"/>
      <c r="QMD5" s="713"/>
      <c r="QME5" s="713"/>
      <c r="QMF5" s="713"/>
      <c r="QMG5" s="713"/>
      <c r="QMH5" s="713"/>
      <c r="QMI5" s="713"/>
      <c r="QMJ5" s="713"/>
      <c r="QMK5" s="713" t="s">
        <v>956</v>
      </c>
      <c r="QML5" s="713"/>
      <c r="QMM5" s="713"/>
      <c r="QMN5" s="713"/>
      <c r="QMO5" s="713"/>
      <c r="QMP5" s="713"/>
      <c r="QMQ5" s="713"/>
      <c r="QMR5" s="713"/>
      <c r="QMS5" s="713"/>
      <c r="QMT5" s="713"/>
      <c r="QMU5" s="713"/>
      <c r="QMV5" s="713"/>
      <c r="QMW5" s="713"/>
      <c r="QMX5" s="713"/>
      <c r="QMY5" s="713"/>
      <c r="QMZ5" s="713"/>
      <c r="QNA5" s="713"/>
      <c r="QNB5" s="713"/>
      <c r="QNC5" s="713"/>
      <c r="QND5" s="713"/>
      <c r="QNE5" s="713"/>
      <c r="QNF5" s="713"/>
      <c r="QNG5" s="713"/>
      <c r="QNH5" s="713"/>
      <c r="QNI5" s="713"/>
      <c r="QNJ5" s="713"/>
      <c r="QNK5" s="713"/>
      <c r="QNL5" s="713"/>
      <c r="QNM5" s="713"/>
      <c r="QNN5" s="713"/>
      <c r="QNO5" s="713"/>
      <c r="QNP5" s="713"/>
      <c r="QNQ5" s="713" t="s">
        <v>956</v>
      </c>
      <c r="QNR5" s="713"/>
      <c r="QNS5" s="713"/>
      <c r="QNT5" s="713"/>
      <c r="QNU5" s="713"/>
      <c r="QNV5" s="713"/>
      <c r="QNW5" s="713"/>
      <c r="QNX5" s="713"/>
      <c r="QNY5" s="713"/>
      <c r="QNZ5" s="713"/>
      <c r="QOA5" s="713"/>
      <c r="QOB5" s="713"/>
      <c r="QOC5" s="713"/>
      <c r="QOD5" s="713"/>
      <c r="QOE5" s="713"/>
      <c r="QOF5" s="713"/>
      <c r="QOG5" s="713"/>
      <c r="QOH5" s="713"/>
      <c r="QOI5" s="713"/>
      <c r="QOJ5" s="713"/>
      <c r="QOK5" s="713"/>
      <c r="QOL5" s="713"/>
      <c r="QOM5" s="713"/>
      <c r="QON5" s="713"/>
      <c r="QOO5" s="713"/>
      <c r="QOP5" s="713"/>
      <c r="QOQ5" s="713"/>
      <c r="QOR5" s="713"/>
      <c r="QOS5" s="713"/>
      <c r="QOT5" s="713"/>
      <c r="QOU5" s="713"/>
      <c r="QOV5" s="713"/>
      <c r="QOW5" s="713" t="s">
        <v>956</v>
      </c>
      <c r="QOX5" s="713"/>
      <c r="QOY5" s="713"/>
      <c r="QOZ5" s="713"/>
      <c r="QPA5" s="713"/>
      <c r="QPB5" s="713"/>
      <c r="QPC5" s="713"/>
      <c r="QPD5" s="713"/>
      <c r="QPE5" s="713"/>
      <c r="QPF5" s="713"/>
      <c r="QPG5" s="713"/>
      <c r="QPH5" s="713"/>
      <c r="QPI5" s="713"/>
      <c r="QPJ5" s="713"/>
      <c r="QPK5" s="713"/>
      <c r="QPL5" s="713"/>
      <c r="QPM5" s="713"/>
      <c r="QPN5" s="713"/>
      <c r="QPO5" s="713"/>
      <c r="QPP5" s="713"/>
      <c r="QPQ5" s="713"/>
      <c r="QPR5" s="713"/>
      <c r="QPS5" s="713"/>
      <c r="QPT5" s="713"/>
      <c r="QPU5" s="713"/>
      <c r="QPV5" s="713"/>
      <c r="QPW5" s="713"/>
      <c r="QPX5" s="713"/>
      <c r="QPY5" s="713"/>
      <c r="QPZ5" s="713"/>
      <c r="QQA5" s="713"/>
      <c r="QQB5" s="713"/>
      <c r="QQC5" s="713" t="s">
        <v>956</v>
      </c>
      <c r="QQD5" s="713"/>
      <c r="QQE5" s="713"/>
      <c r="QQF5" s="713"/>
      <c r="QQG5" s="713"/>
      <c r="QQH5" s="713"/>
      <c r="QQI5" s="713"/>
      <c r="QQJ5" s="713"/>
      <c r="QQK5" s="713"/>
      <c r="QQL5" s="713"/>
      <c r="QQM5" s="713"/>
      <c r="QQN5" s="713"/>
      <c r="QQO5" s="713"/>
      <c r="QQP5" s="713"/>
      <c r="QQQ5" s="713"/>
      <c r="QQR5" s="713"/>
      <c r="QQS5" s="713"/>
      <c r="QQT5" s="713"/>
      <c r="QQU5" s="713"/>
      <c r="QQV5" s="713"/>
      <c r="QQW5" s="713"/>
      <c r="QQX5" s="713"/>
      <c r="QQY5" s="713"/>
      <c r="QQZ5" s="713"/>
      <c r="QRA5" s="713"/>
      <c r="QRB5" s="713"/>
      <c r="QRC5" s="713"/>
      <c r="QRD5" s="713"/>
      <c r="QRE5" s="713"/>
      <c r="QRF5" s="713"/>
      <c r="QRG5" s="713"/>
      <c r="QRH5" s="713"/>
      <c r="QRI5" s="713" t="s">
        <v>956</v>
      </c>
      <c r="QRJ5" s="713"/>
      <c r="QRK5" s="713"/>
      <c r="QRL5" s="713"/>
      <c r="QRM5" s="713"/>
      <c r="QRN5" s="713"/>
      <c r="QRO5" s="713"/>
      <c r="QRP5" s="713"/>
      <c r="QRQ5" s="713"/>
      <c r="QRR5" s="713"/>
      <c r="QRS5" s="713"/>
      <c r="QRT5" s="713"/>
      <c r="QRU5" s="713"/>
      <c r="QRV5" s="713"/>
      <c r="QRW5" s="713"/>
      <c r="QRX5" s="713"/>
      <c r="QRY5" s="713"/>
      <c r="QRZ5" s="713"/>
      <c r="QSA5" s="713"/>
      <c r="QSB5" s="713"/>
      <c r="QSC5" s="713"/>
      <c r="QSD5" s="713"/>
      <c r="QSE5" s="713"/>
      <c r="QSF5" s="713"/>
      <c r="QSG5" s="713"/>
      <c r="QSH5" s="713"/>
      <c r="QSI5" s="713"/>
      <c r="QSJ5" s="713"/>
      <c r="QSK5" s="713"/>
      <c r="QSL5" s="713"/>
      <c r="QSM5" s="713"/>
      <c r="QSN5" s="713"/>
      <c r="QSO5" s="713" t="s">
        <v>956</v>
      </c>
      <c r="QSP5" s="713"/>
      <c r="QSQ5" s="713"/>
      <c r="QSR5" s="713"/>
      <c r="QSS5" s="713"/>
      <c r="QST5" s="713"/>
      <c r="QSU5" s="713"/>
      <c r="QSV5" s="713"/>
      <c r="QSW5" s="713"/>
      <c r="QSX5" s="713"/>
      <c r="QSY5" s="713"/>
      <c r="QSZ5" s="713"/>
      <c r="QTA5" s="713"/>
      <c r="QTB5" s="713"/>
      <c r="QTC5" s="713"/>
      <c r="QTD5" s="713"/>
      <c r="QTE5" s="713"/>
      <c r="QTF5" s="713"/>
      <c r="QTG5" s="713"/>
      <c r="QTH5" s="713"/>
      <c r="QTI5" s="713"/>
      <c r="QTJ5" s="713"/>
      <c r="QTK5" s="713"/>
      <c r="QTL5" s="713"/>
      <c r="QTM5" s="713"/>
      <c r="QTN5" s="713"/>
      <c r="QTO5" s="713"/>
      <c r="QTP5" s="713"/>
      <c r="QTQ5" s="713"/>
      <c r="QTR5" s="713"/>
      <c r="QTS5" s="713"/>
      <c r="QTT5" s="713"/>
      <c r="QTU5" s="713" t="s">
        <v>956</v>
      </c>
      <c r="QTV5" s="713"/>
      <c r="QTW5" s="713"/>
      <c r="QTX5" s="713"/>
      <c r="QTY5" s="713"/>
      <c r="QTZ5" s="713"/>
      <c r="QUA5" s="713"/>
      <c r="QUB5" s="713"/>
      <c r="QUC5" s="713"/>
      <c r="QUD5" s="713"/>
      <c r="QUE5" s="713"/>
      <c r="QUF5" s="713"/>
      <c r="QUG5" s="713"/>
      <c r="QUH5" s="713"/>
      <c r="QUI5" s="713"/>
      <c r="QUJ5" s="713"/>
      <c r="QUK5" s="713"/>
      <c r="QUL5" s="713"/>
      <c r="QUM5" s="713"/>
      <c r="QUN5" s="713"/>
      <c r="QUO5" s="713"/>
      <c r="QUP5" s="713"/>
      <c r="QUQ5" s="713"/>
      <c r="QUR5" s="713"/>
      <c r="QUS5" s="713"/>
      <c r="QUT5" s="713"/>
      <c r="QUU5" s="713"/>
      <c r="QUV5" s="713"/>
      <c r="QUW5" s="713"/>
      <c r="QUX5" s="713"/>
      <c r="QUY5" s="713"/>
      <c r="QUZ5" s="713"/>
      <c r="QVA5" s="713" t="s">
        <v>956</v>
      </c>
      <c r="QVB5" s="713"/>
      <c r="QVC5" s="713"/>
      <c r="QVD5" s="713"/>
      <c r="QVE5" s="713"/>
      <c r="QVF5" s="713"/>
      <c r="QVG5" s="713"/>
      <c r="QVH5" s="713"/>
      <c r="QVI5" s="713"/>
      <c r="QVJ5" s="713"/>
      <c r="QVK5" s="713"/>
      <c r="QVL5" s="713"/>
      <c r="QVM5" s="713"/>
      <c r="QVN5" s="713"/>
      <c r="QVO5" s="713"/>
      <c r="QVP5" s="713"/>
      <c r="QVQ5" s="713"/>
      <c r="QVR5" s="713"/>
      <c r="QVS5" s="713"/>
      <c r="QVT5" s="713"/>
      <c r="QVU5" s="713"/>
      <c r="QVV5" s="713"/>
      <c r="QVW5" s="713"/>
      <c r="QVX5" s="713"/>
      <c r="QVY5" s="713"/>
      <c r="QVZ5" s="713"/>
      <c r="QWA5" s="713"/>
      <c r="QWB5" s="713"/>
      <c r="QWC5" s="713"/>
      <c r="QWD5" s="713"/>
      <c r="QWE5" s="713"/>
      <c r="QWF5" s="713"/>
      <c r="QWG5" s="713" t="s">
        <v>956</v>
      </c>
      <c r="QWH5" s="713"/>
      <c r="QWI5" s="713"/>
      <c r="QWJ5" s="713"/>
      <c r="QWK5" s="713"/>
      <c r="QWL5" s="713"/>
      <c r="QWM5" s="713"/>
      <c r="QWN5" s="713"/>
      <c r="QWO5" s="713"/>
      <c r="QWP5" s="713"/>
      <c r="QWQ5" s="713"/>
      <c r="QWR5" s="713"/>
      <c r="QWS5" s="713"/>
      <c r="QWT5" s="713"/>
      <c r="QWU5" s="713"/>
      <c r="QWV5" s="713"/>
      <c r="QWW5" s="713"/>
      <c r="QWX5" s="713"/>
      <c r="QWY5" s="713"/>
      <c r="QWZ5" s="713"/>
      <c r="QXA5" s="713"/>
      <c r="QXB5" s="713"/>
      <c r="QXC5" s="713"/>
      <c r="QXD5" s="713"/>
      <c r="QXE5" s="713"/>
      <c r="QXF5" s="713"/>
      <c r="QXG5" s="713"/>
      <c r="QXH5" s="713"/>
      <c r="QXI5" s="713"/>
      <c r="QXJ5" s="713"/>
      <c r="QXK5" s="713"/>
      <c r="QXL5" s="713"/>
      <c r="QXM5" s="713" t="s">
        <v>956</v>
      </c>
      <c r="QXN5" s="713"/>
      <c r="QXO5" s="713"/>
      <c r="QXP5" s="713"/>
      <c r="QXQ5" s="713"/>
      <c r="QXR5" s="713"/>
      <c r="QXS5" s="713"/>
      <c r="QXT5" s="713"/>
      <c r="QXU5" s="713"/>
      <c r="QXV5" s="713"/>
      <c r="QXW5" s="713"/>
      <c r="QXX5" s="713"/>
      <c r="QXY5" s="713"/>
      <c r="QXZ5" s="713"/>
      <c r="QYA5" s="713"/>
      <c r="QYB5" s="713"/>
      <c r="QYC5" s="713"/>
      <c r="QYD5" s="713"/>
      <c r="QYE5" s="713"/>
      <c r="QYF5" s="713"/>
      <c r="QYG5" s="713"/>
      <c r="QYH5" s="713"/>
      <c r="QYI5" s="713"/>
      <c r="QYJ5" s="713"/>
      <c r="QYK5" s="713"/>
      <c r="QYL5" s="713"/>
      <c r="QYM5" s="713"/>
      <c r="QYN5" s="713"/>
      <c r="QYO5" s="713"/>
      <c r="QYP5" s="713"/>
      <c r="QYQ5" s="713"/>
      <c r="QYR5" s="713"/>
      <c r="QYS5" s="713" t="s">
        <v>956</v>
      </c>
      <c r="QYT5" s="713"/>
      <c r="QYU5" s="713"/>
      <c r="QYV5" s="713"/>
      <c r="QYW5" s="713"/>
      <c r="QYX5" s="713"/>
      <c r="QYY5" s="713"/>
      <c r="QYZ5" s="713"/>
      <c r="QZA5" s="713"/>
      <c r="QZB5" s="713"/>
      <c r="QZC5" s="713"/>
      <c r="QZD5" s="713"/>
      <c r="QZE5" s="713"/>
      <c r="QZF5" s="713"/>
      <c r="QZG5" s="713"/>
      <c r="QZH5" s="713"/>
      <c r="QZI5" s="713"/>
      <c r="QZJ5" s="713"/>
      <c r="QZK5" s="713"/>
      <c r="QZL5" s="713"/>
      <c r="QZM5" s="713"/>
      <c r="QZN5" s="713"/>
      <c r="QZO5" s="713"/>
      <c r="QZP5" s="713"/>
      <c r="QZQ5" s="713"/>
      <c r="QZR5" s="713"/>
      <c r="QZS5" s="713"/>
      <c r="QZT5" s="713"/>
      <c r="QZU5" s="713"/>
      <c r="QZV5" s="713"/>
      <c r="QZW5" s="713"/>
      <c r="QZX5" s="713"/>
      <c r="QZY5" s="713" t="s">
        <v>956</v>
      </c>
      <c r="QZZ5" s="713"/>
      <c r="RAA5" s="713"/>
      <c r="RAB5" s="713"/>
      <c r="RAC5" s="713"/>
      <c r="RAD5" s="713"/>
      <c r="RAE5" s="713"/>
      <c r="RAF5" s="713"/>
      <c r="RAG5" s="713"/>
      <c r="RAH5" s="713"/>
      <c r="RAI5" s="713"/>
      <c r="RAJ5" s="713"/>
      <c r="RAK5" s="713"/>
      <c r="RAL5" s="713"/>
      <c r="RAM5" s="713"/>
      <c r="RAN5" s="713"/>
      <c r="RAO5" s="713"/>
      <c r="RAP5" s="713"/>
      <c r="RAQ5" s="713"/>
      <c r="RAR5" s="713"/>
      <c r="RAS5" s="713"/>
      <c r="RAT5" s="713"/>
      <c r="RAU5" s="713"/>
      <c r="RAV5" s="713"/>
      <c r="RAW5" s="713"/>
      <c r="RAX5" s="713"/>
      <c r="RAY5" s="713"/>
      <c r="RAZ5" s="713"/>
      <c r="RBA5" s="713"/>
      <c r="RBB5" s="713"/>
      <c r="RBC5" s="713"/>
      <c r="RBD5" s="713"/>
      <c r="RBE5" s="713" t="s">
        <v>956</v>
      </c>
      <c r="RBF5" s="713"/>
      <c r="RBG5" s="713"/>
      <c r="RBH5" s="713"/>
      <c r="RBI5" s="713"/>
      <c r="RBJ5" s="713"/>
      <c r="RBK5" s="713"/>
      <c r="RBL5" s="713"/>
      <c r="RBM5" s="713"/>
      <c r="RBN5" s="713"/>
      <c r="RBO5" s="713"/>
      <c r="RBP5" s="713"/>
      <c r="RBQ5" s="713"/>
      <c r="RBR5" s="713"/>
      <c r="RBS5" s="713"/>
      <c r="RBT5" s="713"/>
      <c r="RBU5" s="713"/>
      <c r="RBV5" s="713"/>
      <c r="RBW5" s="713"/>
      <c r="RBX5" s="713"/>
      <c r="RBY5" s="713"/>
      <c r="RBZ5" s="713"/>
      <c r="RCA5" s="713"/>
      <c r="RCB5" s="713"/>
      <c r="RCC5" s="713"/>
      <c r="RCD5" s="713"/>
      <c r="RCE5" s="713"/>
      <c r="RCF5" s="713"/>
      <c r="RCG5" s="713"/>
      <c r="RCH5" s="713"/>
      <c r="RCI5" s="713"/>
      <c r="RCJ5" s="713"/>
      <c r="RCK5" s="713" t="s">
        <v>956</v>
      </c>
      <c r="RCL5" s="713"/>
      <c r="RCM5" s="713"/>
      <c r="RCN5" s="713"/>
      <c r="RCO5" s="713"/>
      <c r="RCP5" s="713"/>
      <c r="RCQ5" s="713"/>
      <c r="RCR5" s="713"/>
      <c r="RCS5" s="713"/>
      <c r="RCT5" s="713"/>
      <c r="RCU5" s="713"/>
      <c r="RCV5" s="713"/>
      <c r="RCW5" s="713"/>
      <c r="RCX5" s="713"/>
      <c r="RCY5" s="713"/>
      <c r="RCZ5" s="713"/>
      <c r="RDA5" s="713"/>
      <c r="RDB5" s="713"/>
      <c r="RDC5" s="713"/>
      <c r="RDD5" s="713"/>
      <c r="RDE5" s="713"/>
      <c r="RDF5" s="713"/>
      <c r="RDG5" s="713"/>
      <c r="RDH5" s="713"/>
      <c r="RDI5" s="713"/>
      <c r="RDJ5" s="713"/>
      <c r="RDK5" s="713"/>
      <c r="RDL5" s="713"/>
      <c r="RDM5" s="713"/>
      <c r="RDN5" s="713"/>
      <c r="RDO5" s="713"/>
      <c r="RDP5" s="713"/>
      <c r="RDQ5" s="713" t="s">
        <v>956</v>
      </c>
      <c r="RDR5" s="713"/>
      <c r="RDS5" s="713"/>
      <c r="RDT5" s="713"/>
      <c r="RDU5" s="713"/>
      <c r="RDV5" s="713"/>
      <c r="RDW5" s="713"/>
      <c r="RDX5" s="713"/>
      <c r="RDY5" s="713"/>
      <c r="RDZ5" s="713"/>
      <c r="REA5" s="713"/>
      <c r="REB5" s="713"/>
      <c r="REC5" s="713"/>
      <c r="RED5" s="713"/>
      <c r="REE5" s="713"/>
      <c r="REF5" s="713"/>
      <c r="REG5" s="713"/>
      <c r="REH5" s="713"/>
      <c r="REI5" s="713"/>
      <c r="REJ5" s="713"/>
      <c r="REK5" s="713"/>
      <c r="REL5" s="713"/>
      <c r="REM5" s="713"/>
      <c r="REN5" s="713"/>
      <c r="REO5" s="713"/>
      <c r="REP5" s="713"/>
      <c r="REQ5" s="713"/>
      <c r="RER5" s="713"/>
      <c r="RES5" s="713"/>
      <c r="RET5" s="713"/>
      <c r="REU5" s="713"/>
      <c r="REV5" s="713"/>
      <c r="REW5" s="713" t="s">
        <v>956</v>
      </c>
      <c r="REX5" s="713"/>
      <c r="REY5" s="713"/>
      <c r="REZ5" s="713"/>
      <c r="RFA5" s="713"/>
      <c r="RFB5" s="713"/>
      <c r="RFC5" s="713"/>
      <c r="RFD5" s="713"/>
      <c r="RFE5" s="713"/>
      <c r="RFF5" s="713"/>
      <c r="RFG5" s="713"/>
      <c r="RFH5" s="713"/>
      <c r="RFI5" s="713"/>
      <c r="RFJ5" s="713"/>
      <c r="RFK5" s="713"/>
      <c r="RFL5" s="713"/>
      <c r="RFM5" s="713"/>
      <c r="RFN5" s="713"/>
      <c r="RFO5" s="713"/>
      <c r="RFP5" s="713"/>
      <c r="RFQ5" s="713"/>
      <c r="RFR5" s="713"/>
      <c r="RFS5" s="713"/>
      <c r="RFT5" s="713"/>
      <c r="RFU5" s="713"/>
      <c r="RFV5" s="713"/>
      <c r="RFW5" s="713"/>
      <c r="RFX5" s="713"/>
      <c r="RFY5" s="713"/>
      <c r="RFZ5" s="713"/>
      <c r="RGA5" s="713"/>
      <c r="RGB5" s="713"/>
      <c r="RGC5" s="713" t="s">
        <v>956</v>
      </c>
      <c r="RGD5" s="713"/>
      <c r="RGE5" s="713"/>
      <c r="RGF5" s="713"/>
      <c r="RGG5" s="713"/>
      <c r="RGH5" s="713"/>
      <c r="RGI5" s="713"/>
      <c r="RGJ5" s="713"/>
      <c r="RGK5" s="713"/>
      <c r="RGL5" s="713"/>
      <c r="RGM5" s="713"/>
      <c r="RGN5" s="713"/>
      <c r="RGO5" s="713"/>
      <c r="RGP5" s="713"/>
      <c r="RGQ5" s="713"/>
      <c r="RGR5" s="713"/>
      <c r="RGS5" s="713"/>
      <c r="RGT5" s="713"/>
      <c r="RGU5" s="713"/>
      <c r="RGV5" s="713"/>
      <c r="RGW5" s="713"/>
      <c r="RGX5" s="713"/>
      <c r="RGY5" s="713"/>
      <c r="RGZ5" s="713"/>
      <c r="RHA5" s="713"/>
      <c r="RHB5" s="713"/>
      <c r="RHC5" s="713"/>
      <c r="RHD5" s="713"/>
      <c r="RHE5" s="713"/>
      <c r="RHF5" s="713"/>
      <c r="RHG5" s="713"/>
      <c r="RHH5" s="713"/>
      <c r="RHI5" s="713" t="s">
        <v>956</v>
      </c>
      <c r="RHJ5" s="713"/>
      <c r="RHK5" s="713"/>
      <c r="RHL5" s="713"/>
      <c r="RHM5" s="713"/>
      <c r="RHN5" s="713"/>
      <c r="RHO5" s="713"/>
      <c r="RHP5" s="713"/>
      <c r="RHQ5" s="713"/>
      <c r="RHR5" s="713"/>
      <c r="RHS5" s="713"/>
      <c r="RHT5" s="713"/>
      <c r="RHU5" s="713"/>
      <c r="RHV5" s="713"/>
      <c r="RHW5" s="713"/>
      <c r="RHX5" s="713"/>
      <c r="RHY5" s="713"/>
      <c r="RHZ5" s="713"/>
      <c r="RIA5" s="713"/>
      <c r="RIB5" s="713"/>
      <c r="RIC5" s="713"/>
      <c r="RID5" s="713"/>
      <c r="RIE5" s="713"/>
      <c r="RIF5" s="713"/>
      <c r="RIG5" s="713"/>
      <c r="RIH5" s="713"/>
      <c r="RII5" s="713"/>
      <c r="RIJ5" s="713"/>
      <c r="RIK5" s="713"/>
      <c r="RIL5" s="713"/>
      <c r="RIM5" s="713"/>
      <c r="RIN5" s="713"/>
      <c r="RIO5" s="713" t="s">
        <v>956</v>
      </c>
      <c r="RIP5" s="713"/>
      <c r="RIQ5" s="713"/>
      <c r="RIR5" s="713"/>
      <c r="RIS5" s="713"/>
      <c r="RIT5" s="713"/>
      <c r="RIU5" s="713"/>
      <c r="RIV5" s="713"/>
      <c r="RIW5" s="713"/>
      <c r="RIX5" s="713"/>
      <c r="RIY5" s="713"/>
      <c r="RIZ5" s="713"/>
      <c r="RJA5" s="713"/>
      <c r="RJB5" s="713"/>
      <c r="RJC5" s="713"/>
      <c r="RJD5" s="713"/>
      <c r="RJE5" s="713"/>
      <c r="RJF5" s="713"/>
      <c r="RJG5" s="713"/>
      <c r="RJH5" s="713"/>
      <c r="RJI5" s="713"/>
      <c r="RJJ5" s="713"/>
      <c r="RJK5" s="713"/>
      <c r="RJL5" s="713"/>
      <c r="RJM5" s="713"/>
      <c r="RJN5" s="713"/>
      <c r="RJO5" s="713"/>
      <c r="RJP5" s="713"/>
      <c r="RJQ5" s="713"/>
      <c r="RJR5" s="713"/>
      <c r="RJS5" s="713"/>
      <c r="RJT5" s="713"/>
      <c r="RJU5" s="713" t="s">
        <v>956</v>
      </c>
      <c r="RJV5" s="713"/>
      <c r="RJW5" s="713"/>
      <c r="RJX5" s="713"/>
      <c r="RJY5" s="713"/>
      <c r="RJZ5" s="713"/>
      <c r="RKA5" s="713"/>
      <c r="RKB5" s="713"/>
      <c r="RKC5" s="713"/>
      <c r="RKD5" s="713"/>
      <c r="RKE5" s="713"/>
      <c r="RKF5" s="713"/>
      <c r="RKG5" s="713"/>
      <c r="RKH5" s="713"/>
      <c r="RKI5" s="713"/>
      <c r="RKJ5" s="713"/>
      <c r="RKK5" s="713"/>
      <c r="RKL5" s="713"/>
      <c r="RKM5" s="713"/>
      <c r="RKN5" s="713"/>
      <c r="RKO5" s="713"/>
      <c r="RKP5" s="713"/>
      <c r="RKQ5" s="713"/>
      <c r="RKR5" s="713"/>
      <c r="RKS5" s="713"/>
      <c r="RKT5" s="713"/>
      <c r="RKU5" s="713"/>
      <c r="RKV5" s="713"/>
      <c r="RKW5" s="713"/>
      <c r="RKX5" s="713"/>
      <c r="RKY5" s="713"/>
      <c r="RKZ5" s="713"/>
      <c r="RLA5" s="713" t="s">
        <v>956</v>
      </c>
      <c r="RLB5" s="713"/>
      <c r="RLC5" s="713"/>
      <c r="RLD5" s="713"/>
      <c r="RLE5" s="713"/>
      <c r="RLF5" s="713"/>
      <c r="RLG5" s="713"/>
      <c r="RLH5" s="713"/>
      <c r="RLI5" s="713"/>
      <c r="RLJ5" s="713"/>
      <c r="RLK5" s="713"/>
      <c r="RLL5" s="713"/>
      <c r="RLM5" s="713"/>
      <c r="RLN5" s="713"/>
      <c r="RLO5" s="713"/>
      <c r="RLP5" s="713"/>
      <c r="RLQ5" s="713"/>
      <c r="RLR5" s="713"/>
      <c r="RLS5" s="713"/>
      <c r="RLT5" s="713"/>
      <c r="RLU5" s="713"/>
      <c r="RLV5" s="713"/>
      <c r="RLW5" s="713"/>
      <c r="RLX5" s="713"/>
      <c r="RLY5" s="713"/>
      <c r="RLZ5" s="713"/>
      <c r="RMA5" s="713"/>
      <c r="RMB5" s="713"/>
      <c r="RMC5" s="713"/>
      <c r="RMD5" s="713"/>
      <c r="RME5" s="713"/>
      <c r="RMF5" s="713"/>
      <c r="RMG5" s="713" t="s">
        <v>956</v>
      </c>
      <c r="RMH5" s="713"/>
      <c r="RMI5" s="713"/>
      <c r="RMJ5" s="713"/>
      <c r="RMK5" s="713"/>
      <c r="RML5" s="713"/>
      <c r="RMM5" s="713"/>
      <c r="RMN5" s="713"/>
      <c r="RMO5" s="713"/>
      <c r="RMP5" s="713"/>
      <c r="RMQ5" s="713"/>
      <c r="RMR5" s="713"/>
      <c r="RMS5" s="713"/>
      <c r="RMT5" s="713"/>
      <c r="RMU5" s="713"/>
      <c r="RMV5" s="713"/>
      <c r="RMW5" s="713"/>
      <c r="RMX5" s="713"/>
      <c r="RMY5" s="713"/>
      <c r="RMZ5" s="713"/>
      <c r="RNA5" s="713"/>
      <c r="RNB5" s="713"/>
      <c r="RNC5" s="713"/>
      <c r="RND5" s="713"/>
      <c r="RNE5" s="713"/>
      <c r="RNF5" s="713"/>
      <c r="RNG5" s="713"/>
      <c r="RNH5" s="713"/>
      <c r="RNI5" s="713"/>
      <c r="RNJ5" s="713"/>
      <c r="RNK5" s="713"/>
      <c r="RNL5" s="713"/>
      <c r="RNM5" s="713" t="s">
        <v>956</v>
      </c>
      <c r="RNN5" s="713"/>
      <c r="RNO5" s="713"/>
      <c r="RNP5" s="713"/>
      <c r="RNQ5" s="713"/>
      <c r="RNR5" s="713"/>
      <c r="RNS5" s="713"/>
      <c r="RNT5" s="713"/>
      <c r="RNU5" s="713"/>
      <c r="RNV5" s="713"/>
      <c r="RNW5" s="713"/>
      <c r="RNX5" s="713"/>
      <c r="RNY5" s="713"/>
      <c r="RNZ5" s="713"/>
      <c r="ROA5" s="713"/>
      <c r="ROB5" s="713"/>
      <c r="ROC5" s="713"/>
      <c r="ROD5" s="713"/>
      <c r="ROE5" s="713"/>
      <c r="ROF5" s="713"/>
      <c r="ROG5" s="713"/>
      <c r="ROH5" s="713"/>
      <c r="ROI5" s="713"/>
      <c r="ROJ5" s="713"/>
      <c r="ROK5" s="713"/>
      <c r="ROL5" s="713"/>
      <c r="ROM5" s="713"/>
      <c r="RON5" s="713"/>
      <c r="ROO5" s="713"/>
      <c r="ROP5" s="713"/>
      <c r="ROQ5" s="713"/>
      <c r="ROR5" s="713"/>
      <c r="ROS5" s="713" t="s">
        <v>956</v>
      </c>
      <c r="ROT5" s="713"/>
      <c r="ROU5" s="713"/>
      <c r="ROV5" s="713"/>
      <c r="ROW5" s="713"/>
      <c r="ROX5" s="713"/>
      <c r="ROY5" s="713"/>
      <c r="ROZ5" s="713"/>
      <c r="RPA5" s="713"/>
      <c r="RPB5" s="713"/>
      <c r="RPC5" s="713"/>
      <c r="RPD5" s="713"/>
      <c r="RPE5" s="713"/>
      <c r="RPF5" s="713"/>
      <c r="RPG5" s="713"/>
      <c r="RPH5" s="713"/>
      <c r="RPI5" s="713"/>
      <c r="RPJ5" s="713"/>
      <c r="RPK5" s="713"/>
      <c r="RPL5" s="713"/>
      <c r="RPM5" s="713"/>
      <c r="RPN5" s="713"/>
      <c r="RPO5" s="713"/>
      <c r="RPP5" s="713"/>
      <c r="RPQ5" s="713"/>
      <c r="RPR5" s="713"/>
      <c r="RPS5" s="713"/>
      <c r="RPT5" s="713"/>
      <c r="RPU5" s="713"/>
      <c r="RPV5" s="713"/>
      <c r="RPW5" s="713"/>
      <c r="RPX5" s="713"/>
      <c r="RPY5" s="713" t="s">
        <v>956</v>
      </c>
      <c r="RPZ5" s="713"/>
      <c r="RQA5" s="713"/>
      <c r="RQB5" s="713"/>
      <c r="RQC5" s="713"/>
      <c r="RQD5" s="713"/>
      <c r="RQE5" s="713"/>
      <c r="RQF5" s="713"/>
      <c r="RQG5" s="713"/>
      <c r="RQH5" s="713"/>
      <c r="RQI5" s="713"/>
      <c r="RQJ5" s="713"/>
      <c r="RQK5" s="713"/>
      <c r="RQL5" s="713"/>
      <c r="RQM5" s="713"/>
      <c r="RQN5" s="713"/>
      <c r="RQO5" s="713"/>
      <c r="RQP5" s="713"/>
      <c r="RQQ5" s="713"/>
      <c r="RQR5" s="713"/>
      <c r="RQS5" s="713"/>
      <c r="RQT5" s="713"/>
      <c r="RQU5" s="713"/>
      <c r="RQV5" s="713"/>
      <c r="RQW5" s="713"/>
      <c r="RQX5" s="713"/>
      <c r="RQY5" s="713"/>
      <c r="RQZ5" s="713"/>
      <c r="RRA5" s="713"/>
      <c r="RRB5" s="713"/>
      <c r="RRC5" s="713"/>
      <c r="RRD5" s="713"/>
      <c r="RRE5" s="713" t="s">
        <v>956</v>
      </c>
      <c r="RRF5" s="713"/>
      <c r="RRG5" s="713"/>
      <c r="RRH5" s="713"/>
      <c r="RRI5" s="713"/>
      <c r="RRJ5" s="713"/>
      <c r="RRK5" s="713"/>
      <c r="RRL5" s="713"/>
      <c r="RRM5" s="713"/>
      <c r="RRN5" s="713"/>
      <c r="RRO5" s="713"/>
      <c r="RRP5" s="713"/>
      <c r="RRQ5" s="713"/>
      <c r="RRR5" s="713"/>
      <c r="RRS5" s="713"/>
      <c r="RRT5" s="713"/>
      <c r="RRU5" s="713"/>
      <c r="RRV5" s="713"/>
      <c r="RRW5" s="713"/>
      <c r="RRX5" s="713"/>
      <c r="RRY5" s="713"/>
      <c r="RRZ5" s="713"/>
      <c r="RSA5" s="713"/>
      <c r="RSB5" s="713"/>
      <c r="RSC5" s="713"/>
      <c r="RSD5" s="713"/>
      <c r="RSE5" s="713"/>
      <c r="RSF5" s="713"/>
      <c r="RSG5" s="713"/>
      <c r="RSH5" s="713"/>
      <c r="RSI5" s="713"/>
      <c r="RSJ5" s="713"/>
      <c r="RSK5" s="713" t="s">
        <v>956</v>
      </c>
      <c r="RSL5" s="713"/>
      <c r="RSM5" s="713"/>
      <c r="RSN5" s="713"/>
      <c r="RSO5" s="713"/>
      <c r="RSP5" s="713"/>
      <c r="RSQ5" s="713"/>
      <c r="RSR5" s="713"/>
      <c r="RSS5" s="713"/>
      <c r="RST5" s="713"/>
      <c r="RSU5" s="713"/>
      <c r="RSV5" s="713"/>
      <c r="RSW5" s="713"/>
      <c r="RSX5" s="713"/>
      <c r="RSY5" s="713"/>
      <c r="RSZ5" s="713"/>
      <c r="RTA5" s="713"/>
      <c r="RTB5" s="713"/>
      <c r="RTC5" s="713"/>
      <c r="RTD5" s="713"/>
      <c r="RTE5" s="713"/>
      <c r="RTF5" s="713"/>
      <c r="RTG5" s="713"/>
      <c r="RTH5" s="713"/>
      <c r="RTI5" s="713"/>
      <c r="RTJ5" s="713"/>
      <c r="RTK5" s="713"/>
      <c r="RTL5" s="713"/>
      <c r="RTM5" s="713"/>
      <c r="RTN5" s="713"/>
      <c r="RTO5" s="713"/>
      <c r="RTP5" s="713"/>
      <c r="RTQ5" s="713" t="s">
        <v>956</v>
      </c>
      <c r="RTR5" s="713"/>
      <c r="RTS5" s="713"/>
      <c r="RTT5" s="713"/>
      <c r="RTU5" s="713"/>
      <c r="RTV5" s="713"/>
      <c r="RTW5" s="713"/>
      <c r="RTX5" s="713"/>
      <c r="RTY5" s="713"/>
      <c r="RTZ5" s="713"/>
      <c r="RUA5" s="713"/>
      <c r="RUB5" s="713"/>
      <c r="RUC5" s="713"/>
      <c r="RUD5" s="713"/>
      <c r="RUE5" s="713"/>
      <c r="RUF5" s="713"/>
      <c r="RUG5" s="713"/>
      <c r="RUH5" s="713"/>
      <c r="RUI5" s="713"/>
      <c r="RUJ5" s="713"/>
      <c r="RUK5" s="713"/>
      <c r="RUL5" s="713"/>
      <c r="RUM5" s="713"/>
      <c r="RUN5" s="713"/>
      <c r="RUO5" s="713"/>
      <c r="RUP5" s="713"/>
      <c r="RUQ5" s="713"/>
      <c r="RUR5" s="713"/>
      <c r="RUS5" s="713"/>
      <c r="RUT5" s="713"/>
      <c r="RUU5" s="713"/>
      <c r="RUV5" s="713"/>
      <c r="RUW5" s="713" t="s">
        <v>956</v>
      </c>
      <c r="RUX5" s="713"/>
      <c r="RUY5" s="713"/>
      <c r="RUZ5" s="713"/>
      <c r="RVA5" s="713"/>
      <c r="RVB5" s="713"/>
      <c r="RVC5" s="713"/>
      <c r="RVD5" s="713"/>
      <c r="RVE5" s="713"/>
      <c r="RVF5" s="713"/>
      <c r="RVG5" s="713"/>
      <c r="RVH5" s="713"/>
      <c r="RVI5" s="713"/>
      <c r="RVJ5" s="713"/>
      <c r="RVK5" s="713"/>
      <c r="RVL5" s="713"/>
      <c r="RVM5" s="713"/>
      <c r="RVN5" s="713"/>
      <c r="RVO5" s="713"/>
      <c r="RVP5" s="713"/>
      <c r="RVQ5" s="713"/>
      <c r="RVR5" s="713"/>
      <c r="RVS5" s="713"/>
      <c r="RVT5" s="713"/>
      <c r="RVU5" s="713"/>
      <c r="RVV5" s="713"/>
      <c r="RVW5" s="713"/>
      <c r="RVX5" s="713"/>
      <c r="RVY5" s="713"/>
      <c r="RVZ5" s="713"/>
      <c r="RWA5" s="713"/>
      <c r="RWB5" s="713"/>
      <c r="RWC5" s="713" t="s">
        <v>956</v>
      </c>
      <c r="RWD5" s="713"/>
      <c r="RWE5" s="713"/>
      <c r="RWF5" s="713"/>
      <c r="RWG5" s="713"/>
      <c r="RWH5" s="713"/>
      <c r="RWI5" s="713"/>
      <c r="RWJ5" s="713"/>
      <c r="RWK5" s="713"/>
      <c r="RWL5" s="713"/>
      <c r="RWM5" s="713"/>
      <c r="RWN5" s="713"/>
      <c r="RWO5" s="713"/>
      <c r="RWP5" s="713"/>
      <c r="RWQ5" s="713"/>
      <c r="RWR5" s="713"/>
      <c r="RWS5" s="713"/>
      <c r="RWT5" s="713"/>
      <c r="RWU5" s="713"/>
      <c r="RWV5" s="713"/>
      <c r="RWW5" s="713"/>
      <c r="RWX5" s="713"/>
      <c r="RWY5" s="713"/>
      <c r="RWZ5" s="713"/>
      <c r="RXA5" s="713"/>
      <c r="RXB5" s="713"/>
      <c r="RXC5" s="713"/>
      <c r="RXD5" s="713"/>
      <c r="RXE5" s="713"/>
      <c r="RXF5" s="713"/>
      <c r="RXG5" s="713"/>
      <c r="RXH5" s="713"/>
      <c r="RXI5" s="713" t="s">
        <v>956</v>
      </c>
      <c r="RXJ5" s="713"/>
      <c r="RXK5" s="713"/>
      <c r="RXL5" s="713"/>
      <c r="RXM5" s="713"/>
      <c r="RXN5" s="713"/>
      <c r="RXO5" s="713"/>
      <c r="RXP5" s="713"/>
      <c r="RXQ5" s="713"/>
      <c r="RXR5" s="713"/>
      <c r="RXS5" s="713"/>
      <c r="RXT5" s="713"/>
      <c r="RXU5" s="713"/>
      <c r="RXV5" s="713"/>
      <c r="RXW5" s="713"/>
      <c r="RXX5" s="713"/>
      <c r="RXY5" s="713"/>
      <c r="RXZ5" s="713"/>
      <c r="RYA5" s="713"/>
      <c r="RYB5" s="713"/>
      <c r="RYC5" s="713"/>
      <c r="RYD5" s="713"/>
      <c r="RYE5" s="713"/>
      <c r="RYF5" s="713"/>
      <c r="RYG5" s="713"/>
      <c r="RYH5" s="713"/>
      <c r="RYI5" s="713"/>
      <c r="RYJ5" s="713"/>
      <c r="RYK5" s="713"/>
      <c r="RYL5" s="713"/>
      <c r="RYM5" s="713"/>
      <c r="RYN5" s="713"/>
      <c r="RYO5" s="713" t="s">
        <v>956</v>
      </c>
      <c r="RYP5" s="713"/>
      <c r="RYQ5" s="713"/>
      <c r="RYR5" s="713"/>
      <c r="RYS5" s="713"/>
      <c r="RYT5" s="713"/>
      <c r="RYU5" s="713"/>
      <c r="RYV5" s="713"/>
      <c r="RYW5" s="713"/>
      <c r="RYX5" s="713"/>
      <c r="RYY5" s="713"/>
      <c r="RYZ5" s="713"/>
      <c r="RZA5" s="713"/>
      <c r="RZB5" s="713"/>
      <c r="RZC5" s="713"/>
      <c r="RZD5" s="713"/>
      <c r="RZE5" s="713"/>
      <c r="RZF5" s="713"/>
      <c r="RZG5" s="713"/>
      <c r="RZH5" s="713"/>
      <c r="RZI5" s="713"/>
      <c r="RZJ5" s="713"/>
      <c r="RZK5" s="713"/>
      <c r="RZL5" s="713"/>
      <c r="RZM5" s="713"/>
      <c r="RZN5" s="713"/>
      <c r="RZO5" s="713"/>
      <c r="RZP5" s="713"/>
      <c r="RZQ5" s="713"/>
      <c r="RZR5" s="713"/>
      <c r="RZS5" s="713"/>
      <c r="RZT5" s="713"/>
      <c r="RZU5" s="713" t="s">
        <v>956</v>
      </c>
      <c r="RZV5" s="713"/>
      <c r="RZW5" s="713"/>
      <c r="RZX5" s="713"/>
      <c r="RZY5" s="713"/>
      <c r="RZZ5" s="713"/>
      <c r="SAA5" s="713"/>
      <c r="SAB5" s="713"/>
      <c r="SAC5" s="713"/>
      <c r="SAD5" s="713"/>
      <c r="SAE5" s="713"/>
      <c r="SAF5" s="713"/>
      <c r="SAG5" s="713"/>
      <c r="SAH5" s="713"/>
      <c r="SAI5" s="713"/>
      <c r="SAJ5" s="713"/>
      <c r="SAK5" s="713"/>
      <c r="SAL5" s="713"/>
      <c r="SAM5" s="713"/>
      <c r="SAN5" s="713"/>
      <c r="SAO5" s="713"/>
      <c r="SAP5" s="713"/>
      <c r="SAQ5" s="713"/>
      <c r="SAR5" s="713"/>
      <c r="SAS5" s="713"/>
      <c r="SAT5" s="713"/>
      <c r="SAU5" s="713"/>
      <c r="SAV5" s="713"/>
      <c r="SAW5" s="713"/>
      <c r="SAX5" s="713"/>
      <c r="SAY5" s="713"/>
      <c r="SAZ5" s="713"/>
      <c r="SBA5" s="713" t="s">
        <v>956</v>
      </c>
      <c r="SBB5" s="713"/>
      <c r="SBC5" s="713"/>
      <c r="SBD5" s="713"/>
      <c r="SBE5" s="713"/>
      <c r="SBF5" s="713"/>
      <c r="SBG5" s="713"/>
      <c r="SBH5" s="713"/>
      <c r="SBI5" s="713"/>
      <c r="SBJ5" s="713"/>
      <c r="SBK5" s="713"/>
      <c r="SBL5" s="713"/>
      <c r="SBM5" s="713"/>
      <c r="SBN5" s="713"/>
      <c r="SBO5" s="713"/>
      <c r="SBP5" s="713"/>
      <c r="SBQ5" s="713"/>
      <c r="SBR5" s="713"/>
      <c r="SBS5" s="713"/>
      <c r="SBT5" s="713"/>
      <c r="SBU5" s="713"/>
      <c r="SBV5" s="713"/>
      <c r="SBW5" s="713"/>
      <c r="SBX5" s="713"/>
      <c r="SBY5" s="713"/>
      <c r="SBZ5" s="713"/>
      <c r="SCA5" s="713"/>
      <c r="SCB5" s="713"/>
      <c r="SCC5" s="713"/>
      <c r="SCD5" s="713"/>
      <c r="SCE5" s="713"/>
      <c r="SCF5" s="713"/>
      <c r="SCG5" s="713" t="s">
        <v>956</v>
      </c>
      <c r="SCH5" s="713"/>
      <c r="SCI5" s="713"/>
      <c r="SCJ5" s="713"/>
      <c r="SCK5" s="713"/>
      <c r="SCL5" s="713"/>
      <c r="SCM5" s="713"/>
      <c r="SCN5" s="713"/>
      <c r="SCO5" s="713"/>
      <c r="SCP5" s="713"/>
      <c r="SCQ5" s="713"/>
      <c r="SCR5" s="713"/>
      <c r="SCS5" s="713"/>
      <c r="SCT5" s="713"/>
      <c r="SCU5" s="713"/>
      <c r="SCV5" s="713"/>
      <c r="SCW5" s="713"/>
      <c r="SCX5" s="713"/>
      <c r="SCY5" s="713"/>
      <c r="SCZ5" s="713"/>
      <c r="SDA5" s="713"/>
      <c r="SDB5" s="713"/>
      <c r="SDC5" s="713"/>
      <c r="SDD5" s="713"/>
      <c r="SDE5" s="713"/>
      <c r="SDF5" s="713"/>
      <c r="SDG5" s="713"/>
      <c r="SDH5" s="713"/>
      <c r="SDI5" s="713"/>
      <c r="SDJ5" s="713"/>
      <c r="SDK5" s="713"/>
      <c r="SDL5" s="713"/>
      <c r="SDM5" s="713" t="s">
        <v>956</v>
      </c>
      <c r="SDN5" s="713"/>
      <c r="SDO5" s="713"/>
      <c r="SDP5" s="713"/>
      <c r="SDQ5" s="713"/>
      <c r="SDR5" s="713"/>
      <c r="SDS5" s="713"/>
      <c r="SDT5" s="713"/>
      <c r="SDU5" s="713"/>
      <c r="SDV5" s="713"/>
      <c r="SDW5" s="713"/>
      <c r="SDX5" s="713"/>
      <c r="SDY5" s="713"/>
      <c r="SDZ5" s="713"/>
      <c r="SEA5" s="713"/>
      <c r="SEB5" s="713"/>
      <c r="SEC5" s="713"/>
      <c r="SED5" s="713"/>
      <c r="SEE5" s="713"/>
      <c r="SEF5" s="713"/>
      <c r="SEG5" s="713"/>
      <c r="SEH5" s="713"/>
      <c r="SEI5" s="713"/>
      <c r="SEJ5" s="713"/>
      <c r="SEK5" s="713"/>
      <c r="SEL5" s="713"/>
      <c r="SEM5" s="713"/>
      <c r="SEN5" s="713"/>
      <c r="SEO5" s="713"/>
      <c r="SEP5" s="713"/>
      <c r="SEQ5" s="713"/>
      <c r="SER5" s="713"/>
      <c r="SES5" s="713" t="s">
        <v>956</v>
      </c>
      <c r="SET5" s="713"/>
      <c r="SEU5" s="713"/>
      <c r="SEV5" s="713"/>
      <c r="SEW5" s="713"/>
      <c r="SEX5" s="713"/>
      <c r="SEY5" s="713"/>
      <c r="SEZ5" s="713"/>
      <c r="SFA5" s="713"/>
      <c r="SFB5" s="713"/>
      <c r="SFC5" s="713"/>
      <c r="SFD5" s="713"/>
      <c r="SFE5" s="713"/>
      <c r="SFF5" s="713"/>
      <c r="SFG5" s="713"/>
      <c r="SFH5" s="713"/>
      <c r="SFI5" s="713"/>
      <c r="SFJ5" s="713"/>
      <c r="SFK5" s="713"/>
      <c r="SFL5" s="713"/>
      <c r="SFM5" s="713"/>
      <c r="SFN5" s="713"/>
      <c r="SFO5" s="713"/>
      <c r="SFP5" s="713"/>
      <c r="SFQ5" s="713"/>
      <c r="SFR5" s="713"/>
      <c r="SFS5" s="713"/>
      <c r="SFT5" s="713"/>
      <c r="SFU5" s="713"/>
      <c r="SFV5" s="713"/>
      <c r="SFW5" s="713"/>
      <c r="SFX5" s="713"/>
      <c r="SFY5" s="713" t="s">
        <v>956</v>
      </c>
      <c r="SFZ5" s="713"/>
      <c r="SGA5" s="713"/>
      <c r="SGB5" s="713"/>
      <c r="SGC5" s="713"/>
      <c r="SGD5" s="713"/>
      <c r="SGE5" s="713"/>
      <c r="SGF5" s="713"/>
      <c r="SGG5" s="713"/>
      <c r="SGH5" s="713"/>
      <c r="SGI5" s="713"/>
      <c r="SGJ5" s="713"/>
      <c r="SGK5" s="713"/>
      <c r="SGL5" s="713"/>
      <c r="SGM5" s="713"/>
      <c r="SGN5" s="713"/>
      <c r="SGO5" s="713"/>
      <c r="SGP5" s="713"/>
      <c r="SGQ5" s="713"/>
      <c r="SGR5" s="713"/>
      <c r="SGS5" s="713"/>
      <c r="SGT5" s="713"/>
      <c r="SGU5" s="713"/>
      <c r="SGV5" s="713"/>
      <c r="SGW5" s="713"/>
      <c r="SGX5" s="713"/>
      <c r="SGY5" s="713"/>
      <c r="SGZ5" s="713"/>
      <c r="SHA5" s="713"/>
      <c r="SHB5" s="713"/>
      <c r="SHC5" s="713"/>
      <c r="SHD5" s="713"/>
      <c r="SHE5" s="713" t="s">
        <v>956</v>
      </c>
      <c r="SHF5" s="713"/>
      <c r="SHG5" s="713"/>
      <c r="SHH5" s="713"/>
      <c r="SHI5" s="713"/>
      <c r="SHJ5" s="713"/>
      <c r="SHK5" s="713"/>
      <c r="SHL5" s="713"/>
      <c r="SHM5" s="713"/>
      <c r="SHN5" s="713"/>
      <c r="SHO5" s="713"/>
      <c r="SHP5" s="713"/>
      <c r="SHQ5" s="713"/>
      <c r="SHR5" s="713"/>
      <c r="SHS5" s="713"/>
      <c r="SHT5" s="713"/>
      <c r="SHU5" s="713"/>
      <c r="SHV5" s="713"/>
      <c r="SHW5" s="713"/>
      <c r="SHX5" s="713"/>
      <c r="SHY5" s="713"/>
      <c r="SHZ5" s="713"/>
      <c r="SIA5" s="713"/>
      <c r="SIB5" s="713"/>
      <c r="SIC5" s="713"/>
      <c r="SID5" s="713"/>
      <c r="SIE5" s="713"/>
      <c r="SIF5" s="713"/>
      <c r="SIG5" s="713"/>
      <c r="SIH5" s="713"/>
      <c r="SII5" s="713"/>
      <c r="SIJ5" s="713"/>
      <c r="SIK5" s="713" t="s">
        <v>956</v>
      </c>
      <c r="SIL5" s="713"/>
      <c r="SIM5" s="713"/>
      <c r="SIN5" s="713"/>
      <c r="SIO5" s="713"/>
      <c r="SIP5" s="713"/>
      <c r="SIQ5" s="713"/>
      <c r="SIR5" s="713"/>
      <c r="SIS5" s="713"/>
      <c r="SIT5" s="713"/>
      <c r="SIU5" s="713"/>
      <c r="SIV5" s="713"/>
      <c r="SIW5" s="713"/>
      <c r="SIX5" s="713"/>
      <c r="SIY5" s="713"/>
      <c r="SIZ5" s="713"/>
      <c r="SJA5" s="713"/>
      <c r="SJB5" s="713"/>
      <c r="SJC5" s="713"/>
      <c r="SJD5" s="713"/>
      <c r="SJE5" s="713"/>
      <c r="SJF5" s="713"/>
      <c r="SJG5" s="713"/>
      <c r="SJH5" s="713"/>
      <c r="SJI5" s="713"/>
      <c r="SJJ5" s="713"/>
      <c r="SJK5" s="713"/>
      <c r="SJL5" s="713"/>
      <c r="SJM5" s="713"/>
      <c r="SJN5" s="713"/>
      <c r="SJO5" s="713"/>
      <c r="SJP5" s="713"/>
      <c r="SJQ5" s="713" t="s">
        <v>956</v>
      </c>
      <c r="SJR5" s="713"/>
      <c r="SJS5" s="713"/>
      <c r="SJT5" s="713"/>
      <c r="SJU5" s="713"/>
      <c r="SJV5" s="713"/>
      <c r="SJW5" s="713"/>
      <c r="SJX5" s="713"/>
      <c r="SJY5" s="713"/>
      <c r="SJZ5" s="713"/>
      <c r="SKA5" s="713"/>
      <c r="SKB5" s="713"/>
      <c r="SKC5" s="713"/>
      <c r="SKD5" s="713"/>
      <c r="SKE5" s="713"/>
      <c r="SKF5" s="713"/>
      <c r="SKG5" s="713"/>
      <c r="SKH5" s="713"/>
      <c r="SKI5" s="713"/>
      <c r="SKJ5" s="713"/>
      <c r="SKK5" s="713"/>
      <c r="SKL5" s="713"/>
      <c r="SKM5" s="713"/>
      <c r="SKN5" s="713"/>
      <c r="SKO5" s="713"/>
      <c r="SKP5" s="713"/>
      <c r="SKQ5" s="713"/>
      <c r="SKR5" s="713"/>
      <c r="SKS5" s="713"/>
      <c r="SKT5" s="713"/>
      <c r="SKU5" s="713"/>
      <c r="SKV5" s="713"/>
      <c r="SKW5" s="713" t="s">
        <v>956</v>
      </c>
      <c r="SKX5" s="713"/>
      <c r="SKY5" s="713"/>
      <c r="SKZ5" s="713"/>
      <c r="SLA5" s="713"/>
      <c r="SLB5" s="713"/>
      <c r="SLC5" s="713"/>
      <c r="SLD5" s="713"/>
      <c r="SLE5" s="713"/>
      <c r="SLF5" s="713"/>
      <c r="SLG5" s="713"/>
      <c r="SLH5" s="713"/>
      <c r="SLI5" s="713"/>
      <c r="SLJ5" s="713"/>
      <c r="SLK5" s="713"/>
      <c r="SLL5" s="713"/>
      <c r="SLM5" s="713"/>
      <c r="SLN5" s="713"/>
      <c r="SLO5" s="713"/>
      <c r="SLP5" s="713"/>
      <c r="SLQ5" s="713"/>
      <c r="SLR5" s="713"/>
      <c r="SLS5" s="713"/>
      <c r="SLT5" s="713"/>
      <c r="SLU5" s="713"/>
      <c r="SLV5" s="713"/>
      <c r="SLW5" s="713"/>
      <c r="SLX5" s="713"/>
      <c r="SLY5" s="713"/>
      <c r="SLZ5" s="713"/>
      <c r="SMA5" s="713"/>
      <c r="SMB5" s="713"/>
      <c r="SMC5" s="713" t="s">
        <v>956</v>
      </c>
      <c r="SMD5" s="713"/>
      <c r="SME5" s="713"/>
      <c r="SMF5" s="713"/>
      <c r="SMG5" s="713"/>
      <c r="SMH5" s="713"/>
      <c r="SMI5" s="713"/>
      <c r="SMJ5" s="713"/>
      <c r="SMK5" s="713"/>
      <c r="SML5" s="713"/>
      <c r="SMM5" s="713"/>
      <c r="SMN5" s="713"/>
      <c r="SMO5" s="713"/>
      <c r="SMP5" s="713"/>
      <c r="SMQ5" s="713"/>
      <c r="SMR5" s="713"/>
      <c r="SMS5" s="713"/>
      <c r="SMT5" s="713"/>
      <c r="SMU5" s="713"/>
      <c r="SMV5" s="713"/>
      <c r="SMW5" s="713"/>
      <c r="SMX5" s="713"/>
      <c r="SMY5" s="713"/>
      <c r="SMZ5" s="713"/>
      <c r="SNA5" s="713"/>
      <c r="SNB5" s="713"/>
      <c r="SNC5" s="713"/>
      <c r="SND5" s="713"/>
      <c r="SNE5" s="713"/>
      <c r="SNF5" s="713"/>
      <c r="SNG5" s="713"/>
      <c r="SNH5" s="713"/>
      <c r="SNI5" s="713" t="s">
        <v>956</v>
      </c>
      <c r="SNJ5" s="713"/>
      <c r="SNK5" s="713"/>
      <c r="SNL5" s="713"/>
      <c r="SNM5" s="713"/>
      <c r="SNN5" s="713"/>
      <c r="SNO5" s="713"/>
      <c r="SNP5" s="713"/>
      <c r="SNQ5" s="713"/>
      <c r="SNR5" s="713"/>
      <c r="SNS5" s="713"/>
      <c r="SNT5" s="713"/>
      <c r="SNU5" s="713"/>
      <c r="SNV5" s="713"/>
      <c r="SNW5" s="713"/>
      <c r="SNX5" s="713"/>
      <c r="SNY5" s="713"/>
      <c r="SNZ5" s="713"/>
      <c r="SOA5" s="713"/>
      <c r="SOB5" s="713"/>
      <c r="SOC5" s="713"/>
      <c r="SOD5" s="713"/>
      <c r="SOE5" s="713"/>
      <c r="SOF5" s="713"/>
      <c r="SOG5" s="713"/>
      <c r="SOH5" s="713"/>
      <c r="SOI5" s="713"/>
      <c r="SOJ5" s="713"/>
      <c r="SOK5" s="713"/>
      <c r="SOL5" s="713"/>
      <c r="SOM5" s="713"/>
      <c r="SON5" s="713"/>
      <c r="SOO5" s="713" t="s">
        <v>956</v>
      </c>
      <c r="SOP5" s="713"/>
      <c r="SOQ5" s="713"/>
      <c r="SOR5" s="713"/>
      <c r="SOS5" s="713"/>
      <c r="SOT5" s="713"/>
      <c r="SOU5" s="713"/>
      <c r="SOV5" s="713"/>
      <c r="SOW5" s="713"/>
      <c r="SOX5" s="713"/>
      <c r="SOY5" s="713"/>
      <c r="SOZ5" s="713"/>
      <c r="SPA5" s="713"/>
      <c r="SPB5" s="713"/>
      <c r="SPC5" s="713"/>
      <c r="SPD5" s="713"/>
      <c r="SPE5" s="713"/>
      <c r="SPF5" s="713"/>
      <c r="SPG5" s="713"/>
      <c r="SPH5" s="713"/>
      <c r="SPI5" s="713"/>
      <c r="SPJ5" s="713"/>
      <c r="SPK5" s="713"/>
      <c r="SPL5" s="713"/>
      <c r="SPM5" s="713"/>
      <c r="SPN5" s="713"/>
      <c r="SPO5" s="713"/>
      <c r="SPP5" s="713"/>
      <c r="SPQ5" s="713"/>
      <c r="SPR5" s="713"/>
      <c r="SPS5" s="713"/>
      <c r="SPT5" s="713"/>
      <c r="SPU5" s="713" t="s">
        <v>956</v>
      </c>
      <c r="SPV5" s="713"/>
      <c r="SPW5" s="713"/>
      <c r="SPX5" s="713"/>
      <c r="SPY5" s="713"/>
      <c r="SPZ5" s="713"/>
      <c r="SQA5" s="713"/>
      <c r="SQB5" s="713"/>
      <c r="SQC5" s="713"/>
      <c r="SQD5" s="713"/>
      <c r="SQE5" s="713"/>
      <c r="SQF5" s="713"/>
      <c r="SQG5" s="713"/>
      <c r="SQH5" s="713"/>
      <c r="SQI5" s="713"/>
      <c r="SQJ5" s="713"/>
      <c r="SQK5" s="713"/>
      <c r="SQL5" s="713"/>
      <c r="SQM5" s="713"/>
      <c r="SQN5" s="713"/>
      <c r="SQO5" s="713"/>
      <c r="SQP5" s="713"/>
      <c r="SQQ5" s="713"/>
      <c r="SQR5" s="713"/>
      <c r="SQS5" s="713"/>
      <c r="SQT5" s="713"/>
      <c r="SQU5" s="713"/>
      <c r="SQV5" s="713"/>
      <c r="SQW5" s="713"/>
      <c r="SQX5" s="713"/>
      <c r="SQY5" s="713"/>
      <c r="SQZ5" s="713"/>
      <c r="SRA5" s="713" t="s">
        <v>956</v>
      </c>
      <c r="SRB5" s="713"/>
      <c r="SRC5" s="713"/>
      <c r="SRD5" s="713"/>
      <c r="SRE5" s="713"/>
      <c r="SRF5" s="713"/>
      <c r="SRG5" s="713"/>
      <c r="SRH5" s="713"/>
      <c r="SRI5" s="713"/>
      <c r="SRJ5" s="713"/>
      <c r="SRK5" s="713"/>
      <c r="SRL5" s="713"/>
      <c r="SRM5" s="713"/>
      <c r="SRN5" s="713"/>
      <c r="SRO5" s="713"/>
      <c r="SRP5" s="713"/>
      <c r="SRQ5" s="713"/>
      <c r="SRR5" s="713"/>
      <c r="SRS5" s="713"/>
      <c r="SRT5" s="713"/>
      <c r="SRU5" s="713"/>
      <c r="SRV5" s="713"/>
      <c r="SRW5" s="713"/>
      <c r="SRX5" s="713"/>
      <c r="SRY5" s="713"/>
      <c r="SRZ5" s="713"/>
      <c r="SSA5" s="713"/>
      <c r="SSB5" s="713"/>
      <c r="SSC5" s="713"/>
      <c r="SSD5" s="713"/>
      <c r="SSE5" s="713"/>
      <c r="SSF5" s="713"/>
      <c r="SSG5" s="713" t="s">
        <v>956</v>
      </c>
      <c r="SSH5" s="713"/>
      <c r="SSI5" s="713"/>
      <c r="SSJ5" s="713"/>
      <c r="SSK5" s="713"/>
      <c r="SSL5" s="713"/>
      <c r="SSM5" s="713"/>
      <c r="SSN5" s="713"/>
      <c r="SSO5" s="713"/>
      <c r="SSP5" s="713"/>
      <c r="SSQ5" s="713"/>
      <c r="SSR5" s="713"/>
      <c r="SSS5" s="713"/>
      <c r="SST5" s="713"/>
      <c r="SSU5" s="713"/>
      <c r="SSV5" s="713"/>
      <c r="SSW5" s="713"/>
      <c r="SSX5" s="713"/>
      <c r="SSY5" s="713"/>
      <c r="SSZ5" s="713"/>
      <c r="STA5" s="713"/>
      <c r="STB5" s="713"/>
      <c r="STC5" s="713"/>
      <c r="STD5" s="713"/>
      <c r="STE5" s="713"/>
      <c r="STF5" s="713"/>
      <c r="STG5" s="713"/>
      <c r="STH5" s="713"/>
      <c r="STI5" s="713"/>
      <c r="STJ5" s="713"/>
      <c r="STK5" s="713"/>
      <c r="STL5" s="713"/>
      <c r="STM5" s="713" t="s">
        <v>956</v>
      </c>
      <c r="STN5" s="713"/>
      <c r="STO5" s="713"/>
      <c r="STP5" s="713"/>
      <c r="STQ5" s="713"/>
      <c r="STR5" s="713"/>
      <c r="STS5" s="713"/>
      <c r="STT5" s="713"/>
      <c r="STU5" s="713"/>
      <c r="STV5" s="713"/>
      <c r="STW5" s="713"/>
      <c r="STX5" s="713"/>
      <c r="STY5" s="713"/>
      <c r="STZ5" s="713"/>
      <c r="SUA5" s="713"/>
      <c r="SUB5" s="713"/>
      <c r="SUC5" s="713"/>
      <c r="SUD5" s="713"/>
      <c r="SUE5" s="713"/>
      <c r="SUF5" s="713"/>
      <c r="SUG5" s="713"/>
      <c r="SUH5" s="713"/>
      <c r="SUI5" s="713"/>
      <c r="SUJ5" s="713"/>
      <c r="SUK5" s="713"/>
      <c r="SUL5" s="713"/>
      <c r="SUM5" s="713"/>
      <c r="SUN5" s="713"/>
      <c r="SUO5" s="713"/>
      <c r="SUP5" s="713"/>
      <c r="SUQ5" s="713"/>
      <c r="SUR5" s="713"/>
      <c r="SUS5" s="713" t="s">
        <v>956</v>
      </c>
      <c r="SUT5" s="713"/>
      <c r="SUU5" s="713"/>
      <c r="SUV5" s="713"/>
      <c r="SUW5" s="713"/>
      <c r="SUX5" s="713"/>
      <c r="SUY5" s="713"/>
      <c r="SUZ5" s="713"/>
      <c r="SVA5" s="713"/>
      <c r="SVB5" s="713"/>
      <c r="SVC5" s="713"/>
      <c r="SVD5" s="713"/>
      <c r="SVE5" s="713"/>
      <c r="SVF5" s="713"/>
      <c r="SVG5" s="713"/>
      <c r="SVH5" s="713"/>
      <c r="SVI5" s="713"/>
      <c r="SVJ5" s="713"/>
      <c r="SVK5" s="713"/>
      <c r="SVL5" s="713"/>
      <c r="SVM5" s="713"/>
      <c r="SVN5" s="713"/>
      <c r="SVO5" s="713"/>
      <c r="SVP5" s="713"/>
      <c r="SVQ5" s="713"/>
      <c r="SVR5" s="713"/>
      <c r="SVS5" s="713"/>
      <c r="SVT5" s="713"/>
      <c r="SVU5" s="713"/>
      <c r="SVV5" s="713"/>
      <c r="SVW5" s="713"/>
      <c r="SVX5" s="713"/>
      <c r="SVY5" s="713" t="s">
        <v>956</v>
      </c>
      <c r="SVZ5" s="713"/>
      <c r="SWA5" s="713"/>
      <c r="SWB5" s="713"/>
      <c r="SWC5" s="713"/>
      <c r="SWD5" s="713"/>
      <c r="SWE5" s="713"/>
      <c r="SWF5" s="713"/>
      <c r="SWG5" s="713"/>
      <c r="SWH5" s="713"/>
      <c r="SWI5" s="713"/>
      <c r="SWJ5" s="713"/>
      <c r="SWK5" s="713"/>
      <c r="SWL5" s="713"/>
      <c r="SWM5" s="713"/>
      <c r="SWN5" s="713"/>
      <c r="SWO5" s="713"/>
      <c r="SWP5" s="713"/>
      <c r="SWQ5" s="713"/>
      <c r="SWR5" s="713"/>
      <c r="SWS5" s="713"/>
      <c r="SWT5" s="713"/>
      <c r="SWU5" s="713"/>
      <c r="SWV5" s="713"/>
      <c r="SWW5" s="713"/>
      <c r="SWX5" s="713"/>
      <c r="SWY5" s="713"/>
      <c r="SWZ5" s="713"/>
      <c r="SXA5" s="713"/>
      <c r="SXB5" s="713"/>
      <c r="SXC5" s="713"/>
      <c r="SXD5" s="713"/>
      <c r="SXE5" s="713" t="s">
        <v>956</v>
      </c>
      <c r="SXF5" s="713"/>
      <c r="SXG5" s="713"/>
      <c r="SXH5" s="713"/>
      <c r="SXI5" s="713"/>
      <c r="SXJ5" s="713"/>
      <c r="SXK5" s="713"/>
      <c r="SXL5" s="713"/>
      <c r="SXM5" s="713"/>
      <c r="SXN5" s="713"/>
      <c r="SXO5" s="713"/>
      <c r="SXP5" s="713"/>
      <c r="SXQ5" s="713"/>
      <c r="SXR5" s="713"/>
      <c r="SXS5" s="713"/>
      <c r="SXT5" s="713"/>
      <c r="SXU5" s="713"/>
      <c r="SXV5" s="713"/>
      <c r="SXW5" s="713"/>
      <c r="SXX5" s="713"/>
      <c r="SXY5" s="713"/>
      <c r="SXZ5" s="713"/>
      <c r="SYA5" s="713"/>
      <c r="SYB5" s="713"/>
      <c r="SYC5" s="713"/>
      <c r="SYD5" s="713"/>
      <c r="SYE5" s="713"/>
      <c r="SYF5" s="713"/>
      <c r="SYG5" s="713"/>
      <c r="SYH5" s="713"/>
      <c r="SYI5" s="713"/>
      <c r="SYJ5" s="713"/>
      <c r="SYK5" s="713" t="s">
        <v>956</v>
      </c>
      <c r="SYL5" s="713"/>
      <c r="SYM5" s="713"/>
      <c r="SYN5" s="713"/>
      <c r="SYO5" s="713"/>
      <c r="SYP5" s="713"/>
      <c r="SYQ5" s="713"/>
      <c r="SYR5" s="713"/>
      <c r="SYS5" s="713"/>
      <c r="SYT5" s="713"/>
      <c r="SYU5" s="713"/>
      <c r="SYV5" s="713"/>
      <c r="SYW5" s="713"/>
      <c r="SYX5" s="713"/>
      <c r="SYY5" s="713"/>
      <c r="SYZ5" s="713"/>
      <c r="SZA5" s="713"/>
      <c r="SZB5" s="713"/>
      <c r="SZC5" s="713"/>
      <c r="SZD5" s="713"/>
      <c r="SZE5" s="713"/>
      <c r="SZF5" s="713"/>
      <c r="SZG5" s="713"/>
      <c r="SZH5" s="713"/>
      <c r="SZI5" s="713"/>
      <c r="SZJ5" s="713"/>
      <c r="SZK5" s="713"/>
      <c r="SZL5" s="713"/>
      <c r="SZM5" s="713"/>
      <c r="SZN5" s="713"/>
      <c r="SZO5" s="713"/>
      <c r="SZP5" s="713"/>
      <c r="SZQ5" s="713" t="s">
        <v>956</v>
      </c>
      <c r="SZR5" s="713"/>
      <c r="SZS5" s="713"/>
      <c r="SZT5" s="713"/>
      <c r="SZU5" s="713"/>
      <c r="SZV5" s="713"/>
      <c r="SZW5" s="713"/>
      <c r="SZX5" s="713"/>
      <c r="SZY5" s="713"/>
      <c r="SZZ5" s="713"/>
      <c r="TAA5" s="713"/>
      <c r="TAB5" s="713"/>
      <c r="TAC5" s="713"/>
      <c r="TAD5" s="713"/>
      <c r="TAE5" s="713"/>
      <c r="TAF5" s="713"/>
      <c r="TAG5" s="713"/>
      <c r="TAH5" s="713"/>
      <c r="TAI5" s="713"/>
      <c r="TAJ5" s="713"/>
      <c r="TAK5" s="713"/>
      <c r="TAL5" s="713"/>
      <c r="TAM5" s="713"/>
      <c r="TAN5" s="713"/>
      <c r="TAO5" s="713"/>
      <c r="TAP5" s="713"/>
      <c r="TAQ5" s="713"/>
      <c r="TAR5" s="713"/>
      <c r="TAS5" s="713"/>
      <c r="TAT5" s="713"/>
      <c r="TAU5" s="713"/>
      <c r="TAV5" s="713"/>
      <c r="TAW5" s="713" t="s">
        <v>956</v>
      </c>
      <c r="TAX5" s="713"/>
      <c r="TAY5" s="713"/>
      <c r="TAZ5" s="713"/>
      <c r="TBA5" s="713"/>
      <c r="TBB5" s="713"/>
      <c r="TBC5" s="713"/>
      <c r="TBD5" s="713"/>
      <c r="TBE5" s="713"/>
      <c r="TBF5" s="713"/>
      <c r="TBG5" s="713"/>
      <c r="TBH5" s="713"/>
      <c r="TBI5" s="713"/>
      <c r="TBJ5" s="713"/>
      <c r="TBK5" s="713"/>
      <c r="TBL5" s="713"/>
      <c r="TBM5" s="713"/>
      <c r="TBN5" s="713"/>
      <c r="TBO5" s="713"/>
      <c r="TBP5" s="713"/>
      <c r="TBQ5" s="713"/>
      <c r="TBR5" s="713"/>
      <c r="TBS5" s="713"/>
      <c r="TBT5" s="713"/>
      <c r="TBU5" s="713"/>
      <c r="TBV5" s="713"/>
      <c r="TBW5" s="713"/>
      <c r="TBX5" s="713"/>
      <c r="TBY5" s="713"/>
      <c r="TBZ5" s="713"/>
      <c r="TCA5" s="713"/>
      <c r="TCB5" s="713"/>
      <c r="TCC5" s="713" t="s">
        <v>956</v>
      </c>
      <c r="TCD5" s="713"/>
      <c r="TCE5" s="713"/>
      <c r="TCF5" s="713"/>
      <c r="TCG5" s="713"/>
      <c r="TCH5" s="713"/>
      <c r="TCI5" s="713"/>
      <c r="TCJ5" s="713"/>
      <c r="TCK5" s="713"/>
      <c r="TCL5" s="713"/>
      <c r="TCM5" s="713"/>
      <c r="TCN5" s="713"/>
      <c r="TCO5" s="713"/>
      <c r="TCP5" s="713"/>
      <c r="TCQ5" s="713"/>
      <c r="TCR5" s="713"/>
      <c r="TCS5" s="713"/>
      <c r="TCT5" s="713"/>
      <c r="TCU5" s="713"/>
      <c r="TCV5" s="713"/>
      <c r="TCW5" s="713"/>
      <c r="TCX5" s="713"/>
      <c r="TCY5" s="713"/>
      <c r="TCZ5" s="713"/>
      <c r="TDA5" s="713"/>
      <c r="TDB5" s="713"/>
      <c r="TDC5" s="713"/>
      <c r="TDD5" s="713"/>
      <c r="TDE5" s="713"/>
      <c r="TDF5" s="713"/>
      <c r="TDG5" s="713"/>
      <c r="TDH5" s="713"/>
      <c r="TDI5" s="713" t="s">
        <v>956</v>
      </c>
      <c r="TDJ5" s="713"/>
      <c r="TDK5" s="713"/>
      <c r="TDL5" s="713"/>
      <c r="TDM5" s="713"/>
      <c r="TDN5" s="713"/>
      <c r="TDO5" s="713"/>
      <c r="TDP5" s="713"/>
      <c r="TDQ5" s="713"/>
      <c r="TDR5" s="713"/>
      <c r="TDS5" s="713"/>
      <c r="TDT5" s="713"/>
      <c r="TDU5" s="713"/>
      <c r="TDV5" s="713"/>
      <c r="TDW5" s="713"/>
      <c r="TDX5" s="713"/>
      <c r="TDY5" s="713"/>
      <c r="TDZ5" s="713"/>
      <c r="TEA5" s="713"/>
      <c r="TEB5" s="713"/>
      <c r="TEC5" s="713"/>
      <c r="TED5" s="713"/>
      <c r="TEE5" s="713"/>
      <c r="TEF5" s="713"/>
      <c r="TEG5" s="713"/>
      <c r="TEH5" s="713"/>
      <c r="TEI5" s="713"/>
      <c r="TEJ5" s="713"/>
      <c r="TEK5" s="713"/>
      <c r="TEL5" s="713"/>
      <c r="TEM5" s="713"/>
      <c r="TEN5" s="713"/>
      <c r="TEO5" s="713" t="s">
        <v>956</v>
      </c>
      <c r="TEP5" s="713"/>
      <c r="TEQ5" s="713"/>
      <c r="TER5" s="713"/>
      <c r="TES5" s="713"/>
      <c r="TET5" s="713"/>
      <c r="TEU5" s="713"/>
      <c r="TEV5" s="713"/>
      <c r="TEW5" s="713"/>
      <c r="TEX5" s="713"/>
      <c r="TEY5" s="713"/>
      <c r="TEZ5" s="713"/>
      <c r="TFA5" s="713"/>
      <c r="TFB5" s="713"/>
      <c r="TFC5" s="713"/>
      <c r="TFD5" s="713"/>
      <c r="TFE5" s="713"/>
      <c r="TFF5" s="713"/>
      <c r="TFG5" s="713"/>
      <c r="TFH5" s="713"/>
      <c r="TFI5" s="713"/>
      <c r="TFJ5" s="713"/>
      <c r="TFK5" s="713"/>
      <c r="TFL5" s="713"/>
      <c r="TFM5" s="713"/>
      <c r="TFN5" s="713"/>
      <c r="TFO5" s="713"/>
      <c r="TFP5" s="713"/>
      <c r="TFQ5" s="713"/>
      <c r="TFR5" s="713"/>
      <c r="TFS5" s="713"/>
      <c r="TFT5" s="713"/>
      <c r="TFU5" s="713" t="s">
        <v>956</v>
      </c>
      <c r="TFV5" s="713"/>
      <c r="TFW5" s="713"/>
      <c r="TFX5" s="713"/>
      <c r="TFY5" s="713"/>
      <c r="TFZ5" s="713"/>
      <c r="TGA5" s="713"/>
      <c r="TGB5" s="713"/>
      <c r="TGC5" s="713"/>
      <c r="TGD5" s="713"/>
      <c r="TGE5" s="713"/>
      <c r="TGF5" s="713"/>
      <c r="TGG5" s="713"/>
      <c r="TGH5" s="713"/>
      <c r="TGI5" s="713"/>
      <c r="TGJ5" s="713"/>
      <c r="TGK5" s="713"/>
      <c r="TGL5" s="713"/>
      <c r="TGM5" s="713"/>
      <c r="TGN5" s="713"/>
      <c r="TGO5" s="713"/>
      <c r="TGP5" s="713"/>
      <c r="TGQ5" s="713"/>
      <c r="TGR5" s="713"/>
      <c r="TGS5" s="713"/>
      <c r="TGT5" s="713"/>
      <c r="TGU5" s="713"/>
      <c r="TGV5" s="713"/>
      <c r="TGW5" s="713"/>
      <c r="TGX5" s="713"/>
      <c r="TGY5" s="713"/>
      <c r="TGZ5" s="713"/>
      <c r="THA5" s="713" t="s">
        <v>956</v>
      </c>
      <c r="THB5" s="713"/>
      <c r="THC5" s="713"/>
      <c r="THD5" s="713"/>
      <c r="THE5" s="713"/>
      <c r="THF5" s="713"/>
      <c r="THG5" s="713"/>
      <c r="THH5" s="713"/>
      <c r="THI5" s="713"/>
      <c r="THJ5" s="713"/>
      <c r="THK5" s="713"/>
      <c r="THL5" s="713"/>
      <c r="THM5" s="713"/>
      <c r="THN5" s="713"/>
      <c r="THO5" s="713"/>
      <c r="THP5" s="713"/>
      <c r="THQ5" s="713"/>
      <c r="THR5" s="713"/>
      <c r="THS5" s="713"/>
      <c r="THT5" s="713"/>
      <c r="THU5" s="713"/>
      <c r="THV5" s="713"/>
      <c r="THW5" s="713"/>
      <c r="THX5" s="713"/>
      <c r="THY5" s="713"/>
      <c r="THZ5" s="713"/>
      <c r="TIA5" s="713"/>
      <c r="TIB5" s="713"/>
      <c r="TIC5" s="713"/>
      <c r="TID5" s="713"/>
      <c r="TIE5" s="713"/>
      <c r="TIF5" s="713"/>
      <c r="TIG5" s="713" t="s">
        <v>956</v>
      </c>
      <c r="TIH5" s="713"/>
      <c r="TII5" s="713"/>
      <c r="TIJ5" s="713"/>
      <c r="TIK5" s="713"/>
      <c r="TIL5" s="713"/>
      <c r="TIM5" s="713"/>
      <c r="TIN5" s="713"/>
      <c r="TIO5" s="713"/>
      <c r="TIP5" s="713"/>
      <c r="TIQ5" s="713"/>
      <c r="TIR5" s="713"/>
      <c r="TIS5" s="713"/>
      <c r="TIT5" s="713"/>
      <c r="TIU5" s="713"/>
      <c r="TIV5" s="713"/>
      <c r="TIW5" s="713"/>
      <c r="TIX5" s="713"/>
      <c r="TIY5" s="713"/>
      <c r="TIZ5" s="713"/>
      <c r="TJA5" s="713"/>
      <c r="TJB5" s="713"/>
      <c r="TJC5" s="713"/>
      <c r="TJD5" s="713"/>
      <c r="TJE5" s="713"/>
      <c r="TJF5" s="713"/>
      <c r="TJG5" s="713"/>
      <c r="TJH5" s="713"/>
      <c r="TJI5" s="713"/>
      <c r="TJJ5" s="713"/>
      <c r="TJK5" s="713"/>
      <c r="TJL5" s="713"/>
      <c r="TJM5" s="713" t="s">
        <v>956</v>
      </c>
      <c r="TJN5" s="713"/>
      <c r="TJO5" s="713"/>
      <c r="TJP5" s="713"/>
      <c r="TJQ5" s="713"/>
      <c r="TJR5" s="713"/>
      <c r="TJS5" s="713"/>
      <c r="TJT5" s="713"/>
      <c r="TJU5" s="713"/>
      <c r="TJV5" s="713"/>
      <c r="TJW5" s="713"/>
      <c r="TJX5" s="713"/>
      <c r="TJY5" s="713"/>
      <c r="TJZ5" s="713"/>
      <c r="TKA5" s="713"/>
      <c r="TKB5" s="713"/>
      <c r="TKC5" s="713"/>
      <c r="TKD5" s="713"/>
      <c r="TKE5" s="713"/>
      <c r="TKF5" s="713"/>
      <c r="TKG5" s="713"/>
      <c r="TKH5" s="713"/>
      <c r="TKI5" s="713"/>
      <c r="TKJ5" s="713"/>
      <c r="TKK5" s="713"/>
      <c r="TKL5" s="713"/>
      <c r="TKM5" s="713"/>
      <c r="TKN5" s="713"/>
      <c r="TKO5" s="713"/>
      <c r="TKP5" s="713"/>
      <c r="TKQ5" s="713"/>
      <c r="TKR5" s="713"/>
      <c r="TKS5" s="713" t="s">
        <v>956</v>
      </c>
      <c r="TKT5" s="713"/>
      <c r="TKU5" s="713"/>
      <c r="TKV5" s="713"/>
      <c r="TKW5" s="713"/>
      <c r="TKX5" s="713"/>
      <c r="TKY5" s="713"/>
      <c r="TKZ5" s="713"/>
      <c r="TLA5" s="713"/>
      <c r="TLB5" s="713"/>
      <c r="TLC5" s="713"/>
      <c r="TLD5" s="713"/>
      <c r="TLE5" s="713"/>
      <c r="TLF5" s="713"/>
      <c r="TLG5" s="713"/>
      <c r="TLH5" s="713"/>
      <c r="TLI5" s="713"/>
      <c r="TLJ5" s="713"/>
      <c r="TLK5" s="713"/>
      <c r="TLL5" s="713"/>
      <c r="TLM5" s="713"/>
      <c r="TLN5" s="713"/>
      <c r="TLO5" s="713"/>
      <c r="TLP5" s="713"/>
      <c r="TLQ5" s="713"/>
      <c r="TLR5" s="713"/>
      <c r="TLS5" s="713"/>
      <c r="TLT5" s="713"/>
      <c r="TLU5" s="713"/>
      <c r="TLV5" s="713"/>
      <c r="TLW5" s="713"/>
      <c r="TLX5" s="713"/>
      <c r="TLY5" s="713" t="s">
        <v>956</v>
      </c>
      <c r="TLZ5" s="713"/>
      <c r="TMA5" s="713"/>
      <c r="TMB5" s="713"/>
      <c r="TMC5" s="713"/>
      <c r="TMD5" s="713"/>
      <c r="TME5" s="713"/>
      <c r="TMF5" s="713"/>
      <c r="TMG5" s="713"/>
      <c r="TMH5" s="713"/>
      <c r="TMI5" s="713"/>
      <c r="TMJ5" s="713"/>
      <c r="TMK5" s="713"/>
      <c r="TML5" s="713"/>
      <c r="TMM5" s="713"/>
      <c r="TMN5" s="713"/>
      <c r="TMO5" s="713"/>
      <c r="TMP5" s="713"/>
      <c r="TMQ5" s="713"/>
      <c r="TMR5" s="713"/>
      <c r="TMS5" s="713"/>
      <c r="TMT5" s="713"/>
      <c r="TMU5" s="713"/>
      <c r="TMV5" s="713"/>
      <c r="TMW5" s="713"/>
      <c r="TMX5" s="713"/>
      <c r="TMY5" s="713"/>
      <c r="TMZ5" s="713"/>
      <c r="TNA5" s="713"/>
      <c r="TNB5" s="713"/>
      <c r="TNC5" s="713"/>
      <c r="TND5" s="713"/>
      <c r="TNE5" s="713" t="s">
        <v>956</v>
      </c>
      <c r="TNF5" s="713"/>
      <c r="TNG5" s="713"/>
      <c r="TNH5" s="713"/>
      <c r="TNI5" s="713"/>
      <c r="TNJ5" s="713"/>
      <c r="TNK5" s="713"/>
      <c r="TNL5" s="713"/>
      <c r="TNM5" s="713"/>
      <c r="TNN5" s="713"/>
      <c r="TNO5" s="713"/>
      <c r="TNP5" s="713"/>
      <c r="TNQ5" s="713"/>
      <c r="TNR5" s="713"/>
      <c r="TNS5" s="713"/>
      <c r="TNT5" s="713"/>
      <c r="TNU5" s="713"/>
      <c r="TNV5" s="713"/>
      <c r="TNW5" s="713"/>
      <c r="TNX5" s="713"/>
      <c r="TNY5" s="713"/>
      <c r="TNZ5" s="713"/>
      <c r="TOA5" s="713"/>
      <c r="TOB5" s="713"/>
      <c r="TOC5" s="713"/>
      <c r="TOD5" s="713"/>
      <c r="TOE5" s="713"/>
      <c r="TOF5" s="713"/>
      <c r="TOG5" s="713"/>
      <c r="TOH5" s="713"/>
      <c r="TOI5" s="713"/>
      <c r="TOJ5" s="713"/>
      <c r="TOK5" s="713" t="s">
        <v>956</v>
      </c>
      <c r="TOL5" s="713"/>
      <c r="TOM5" s="713"/>
      <c r="TON5" s="713"/>
      <c r="TOO5" s="713"/>
      <c r="TOP5" s="713"/>
      <c r="TOQ5" s="713"/>
      <c r="TOR5" s="713"/>
      <c r="TOS5" s="713"/>
      <c r="TOT5" s="713"/>
      <c r="TOU5" s="713"/>
      <c r="TOV5" s="713"/>
      <c r="TOW5" s="713"/>
      <c r="TOX5" s="713"/>
      <c r="TOY5" s="713"/>
      <c r="TOZ5" s="713"/>
      <c r="TPA5" s="713"/>
      <c r="TPB5" s="713"/>
      <c r="TPC5" s="713"/>
      <c r="TPD5" s="713"/>
      <c r="TPE5" s="713"/>
      <c r="TPF5" s="713"/>
      <c r="TPG5" s="713"/>
      <c r="TPH5" s="713"/>
      <c r="TPI5" s="713"/>
      <c r="TPJ5" s="713"/>
      <c r="TPK5" s="713"/>
      <c r="TPL5" s="713"/>
      <c r="TPM5" s="713"/>
      <c r="TPN5" s="713"/>
      <c r="TPO5" s="713"/>
      <c r="TPP5" s="713"/>
      <c r="TPQ5" s="713" t="s">
        <v>956</v>
      </c>
      <c r="TPR5" s="713"/>
      <c r="TPS5" s="713"/>
      <c r="TPT5" s="713"/>
      <c r="TPU5" s="713"/>
      <c r="TPV5" s="713"/>
      <c r="TPW5" s="713"/>
      <c r="TPX5" s="713"/>
      <c r="TPY5" s="713"/>
      <c r="TPZ5" s="713"/>
      <c r="TQA5" s="713"/>
      <c r="TQB5" s="713"/>
      <c r="TQC5" s="713"/>
      <c r="TQD5" s="713"/>
      <c r="TQE5" s="713"/>
      <c r="TQF5" s="713"/>
      <c r="TQG5" s="713"/>
      <c r="TQH5" s="713"/>
      <c r="TQI5" s="713"/>
      <c r="TQJ5" s="713"/>
      <c r="TQK5" s="713"/>
      <c r="TQL5" s="713"/>
      <c r="TQM5" s="713"/>
      <c r="TQN5" s="713"/>
      <c r="TQO5" s="713"/>
      <c r="TQP5" s="713"/>
      <c r="TQQ5" s="713"/>
      <c r="TQR5" s="713"/>
      <c r="TQS5" s="713"/>
      <c r="TQT5" s="713"/>
      <c r="TQU5" s="713"/>
      <c r="TQV5" s="713"/>
      <c r="TQW5" s="713" t="s">
        <v>956</v>
      </c>
      <c r="TQX5" s="713"/>
      <c r="TQY5" s="713"/>
      <c r="TQZ5" s="713"/>
      <c r="TRA5" s="713"/>
      <c r="TRB5" s="713"/>
      <c r="TRC5" s="713"/>
      <c r="TRD5" s="713"/>
      <c r="TRE5" s="713"/>
      <c r="TRF5" s="713"/>
      <c r="TRG5" s="713"/>
      <c r="TRH5" s="713"/>
      <c r="TRI5" s="713"/>
      <c r="TRJ5" s="713"/>
      <c r="TRK5" s="713"/>
      <c r="TRL5" s="713"/>
      <c r="TRM5" s="713"/>
      <c r="TRN5" s="713"/>
      <c r="TRO5" s="713"/>
      <c r="TRP5" s="713"/>
      <c r="TRQ5" s="713"/>
      <c r="TRR5" s="713"/>
      <c r="TRS5" s="713"/>
      <c r="TRT5" s="713"/>
      <c r="TRU5" s="713"/>
      <c r="TRV5" s="713"/>
      <c r="TRW5" s="713"/>
      <c r="TRX5" s="713"/>
      <c r="TRY5" s="713"/>
      <c r="TRZ5" s="713"/>
      <c r="TSA5" s="713"/>
      <c r="TSB5" s="713"/>
      <c r="TSC5" s="713" t="s">
        <v>956</v>
      </c>
      <c r="TSD5" s="713"/>
      <c r="TSE5" s="713"/>
      <c r="TSF5" s="713"/>
      <c r="TSG5" s="713"/>
      <c r="TSH5" s="713"/>
      <c r="TSI5" s="713"/>
      <c r="TSJ5" s="713"/>
      <c r="TSK5" s="713"/>
      <c r="TSL5" s="713"/>
      <c r="TSM5" s="713"/>
      <c r="TSN5" s="713"/>
      <c r="TSO5" s="713"/>
      <c r="TSP5" s="713"/>
      <c r="TSQ5" s="713"/>
      <c r="TSR5" s="713"/>
      <c r="TSS5" s="713"/>
      <c r="TST5" s="713"/>
      <c r="TSU5" s="713"/>
      <c r="TSV5" s="713"/>
      <c r="TSW5" s="713"/>
      <c r="TSX5" s="713"/>
      <c r="TSY5" s="713"/>
      <c r="TSZ5" s="713"/>
      <c r="TTA5" s="713"/>
      <c r="TTB5" s="713"/>
      <c r="TTC5" s="713"/>
      <c r="TTD5" s="713"/>
      <c r="TTE5" s="713"/>
      <c r="TTF5" s="713"/>
      <c r="TTG5" s="713"/>
      <c r="TTH5" s="713"/>
      <c r="TTI5" s="713" t="s">
        <v>956</v>
      </c>
      <c r="TTJ5" s="713"/>
      <c r="TTK5" s="713"/>
      <c r="TTL5" s="713"/>
      <c r="TTM5" s="713"/>
      <c r="TTN5" s="713"/>
      <c r="TTO5" s="713"/>
      <c r="TTP5" s="713"/>
      <c r="TTQ5" s="713"/>
      <c r="TTR5" s="713"/>
      <c r="TTS5" s="713"/>
      <c r="TTT5" s="713"/>
      <c r="TTU5" s="713"/>
      <c r="TTV5" s="713"/>
      <c r="TTW5" s="713"/>
      <c r="TTX5" s="713"/>
      <c r="TTY5" s="713"/>
      <c r="TTZ5" s="713"/>
      <c r="TUA5" s="713"/>
      <c r="TUB5" s="713"/>
      <c r="TUC5" s="713"/>
      <c r="TUD5" s="713"/>
      <c r="TUE5" s="713"/>
      <c r="TUF5" s="713"/>
      <c r="TUG5" s="713"/>
      <c r="TUH5" s="713"/>
      <c r="TUI5" s="713"/>
      <c r="TUJ5" s="713"/>
      <c r="TUK5" s="713"/>
      <c r="TUL5" s="713"/>
      <c r="TUM5" s="713"/>
      <c r="TUN5" s="713"/>
      <c r="TUO5" s="713" t="s">
        <v>956</v>
      </c>
      <c r="TUP5" s="713"/>
      <c r="TUQ5" s="713"/>
      <c r="TUR5" s="713"/>
      <c r="TUS5" s="713"/>
      <c r="TUT5" s="713"/>
      <c r="TUU5" s="713"/>
      <c r="TUV5" s="713"/>
      <c r="TUW5" s="713"/>
      <c r="TUX5" s="713"/>
      <c r="TUY5" s="713"/>
      <c r="TUZ5" s="713"/>
      <c r="TVA5" s="713"/>
      <c r="TVB5" s="713"/>
      <c r="TVC5" s="713"/>
      <c r="TVD5" s="713"/>
      <c r="TVE5" s="713"/>
      <c r="TVF5" s="713"/>
      <c r="TVG5" s="713"/>
      <c r="TVH5" s="713"/>
      <c r="TVI5" s="713"/>
      <c r="TVJ5" s="713"/>
      <c r="TVK5" s="713"/>
      <c r="TVL5" s="713"/>
      <c r="TVM5" s="713"/>
      <c r="TVN5" s="713"/>
      <c r="TVO5" s="713"/>
      <c r="TVP5" s="713"/>
      <c r="TVQ5" s="713"/>
      <c r="TVR5" s="713"/>
      <c r="TVS5" s="713"/>
      <c r="TVT5" s="713"/>
      <c r="TVU5" s="713" t="s">
        <v>956</v>
      </c>
      <c r="TVV5" s="713"/>
      <c r="TVW5" s="713"/>
      <c r="TVX5" s="713"/>
      <c r="TVY5" s="713"/>
      <c r="TVZ5" s="713"/>
      <c r="TWA5" s="713"/>
      <c r="TWB5" s="713"/>
      <c r="TWC5" s="713"/>
      <c r="TWD5" s="713"/>
      <c r="TWE5" s="713"/>
      <c r="TWF5" s="713"/>
      <c r="TWG5" s="713"/>
      <c r="TWH5" s="713"/>
      <c r="TWI5" s="713"/>
      <c r="TWJ5" s="713"/>
      <c r="TWK5" s="713"/>
      <c r="TWL5" s="713"/>
      <c r="TWM5" s="713"/>
      <c r="TWN5" s="713"/>
      <c r="TWO5" s="713"/>
      <c r="TWP5" s="713"/>
      <c r="TWQ5" s="713"/>
      <c r="TWR5" s="713"/>
      <c r="TWS5" s="713"/>
      <c r="TWT5" s="713"/>
      <c r="TWU5" s="713"/>
      <c r="TWV5" s="713"/>
      <c r="TWW5" s="713"/>
      <c r="TWX5" s="713"/>
      <c r="TWY5" s="713"/>
      <c r="TWZ5" s="713"/>
      <c r="TXA5" s="713" t="s">
        <v>956</v>
      </c>
      <c r="TXB5" s="713"/>
      <c r="TXC5" s="713"/>
      <c r="TXD5" s="713"/>
      <c r="TXE5" s="713"/>
      <c r="TXF5" s="713"/>
      <c r="TXG5" s="713"/>
      <c r="TXH5" s="713"/>
      <c r="TXI5" s="713"/>
      <c r="TXJ5" s="713"/>
      <c r="TXK5" s="713"/>
      <c r="TXL5" s="713"/>
      <c r="TXM5" s="713"/>
      <c r="TXN5" s="713"/>
      <c r="TXO5" s="713"/>
      <c r="TXP5" s="713"/>
      <c r="TXQ5" s="713"/>
      <c r="TXR5" s="713"/>
      <c r="TXS5" s="713"/>
      <c r="TXT5" s="713"/>
      <c r="TXU5" s="713"/>
      <c r="TXV5" s="713"/>
      <c r="TXW5" s="713"/>
      <c r="TXX5" s="713"/>
      <c r="TXY5" s="713"/>
      <c r="TXZ5" s="713"/>
      <c r="TYA5" s="713"/>
      <c r="TYB5" s="713"/>
      <c r="TYC5" s="713"/>
      <c r="TYD5" s="713"/>
      <c r="TYE5" s="713"/>
      <c r="TYF5" s="713"/>
      <c r="TYG5" s="713" t="s">
        <v>956</v>
      </c>
      <c r="TYH5" s="713"/>
      <c r="TYI5" s="713"/>
      <c r="TYJ5" s="713"/>
      <c r="TYK5" s="713"/>
      <c r="TYL5" s="713"/>
      <c r="TYM5" s="713"/>
      <c r="TYN5" s="713"/>
      <c r="TYO5" s="713"/>
      <c r="TYP5" s="713"/>
      <c r="TYQ5" s="713"/>
      <c r="TYR5" s="713"/>
      <c r="TYS5" s="713"/>
      <c r="TYT5" s="713"/>
      <c r="TYU5" s="713"/>
      <c r="TYV5" s="713"/>
      <c r="TYW5" s="713"/>
      <c r="TYX5" s="713"/>
      <c r="TYY5" s="713"/>
      <c r="TYZ5" s="713"/>
      <c r="TZA5" s="713"/>
      <c r="TZB5" s="713"/>
      <c r="TZC5" s="713"/>
      <c r="TZD5" s="713"/>
      <c r="TZE5" s="713"/>
      <c r="TZF5" s="713"/>
      <c r="TZG5" s="713"/>
      <c r="TZH5" s="713"/>
      <c r="TZI5" s="713"/>
      <c r="TZJ5" s="713"/>
      <c r="TZK5" s="713"/>
      <c r="TZL5" s="713"/>
      <c r="TZM5" s="713" t="s">
        <v>956</v>
      </c>
      <c r="TZN5" s="713"/>
      <c r="TZO5" s="713"/>
      <c r="TZP5" s="713"/>
      <c r="TZQ5" s="713"/>
      <c r="TZR5" s="713"/>
      <c r="TZS5" s="713"/>
      <c r="TZT5" s="713"/>
      <c r="TZU5" s="713"/>
      <c r="TZV5" s="713"/>
      <c r="TZW5" s="713"/>
      <c r="TZX5" s="713"/>
      <c r="TZY5" s="713"/>
      <c r="TZZ5" s="713"/>
      <c r="UAA5" s="713"/>
      <c r="UAB5" s="713"/>
      <c r="UAC5" s="713"/>
      <c r="UAD5" s="713"/>
      <c r="UAE5" s="713"/>
      <c r="UAF5" s="713"/>
      <c r="UAG5" s="713"/>
      <c r="UAH5" s="713"/>
      <c r="UAI5" s="713"/>
      <c r="UAJ5" s="713"/>
      <c r="UAK5" s="713"/>
      <c r="UAL5" s="713"/>
      <c r="UAM5" s="713"/>
      <c r="UAN5" s="713"/>
      <c r="UAO5" s="713"/>
      <c r="UAP5" s="713"/>
      <c r="UAQ5" s="713"/>
      <c r="UAR5" s="713"/>
      <c r="UAS5" s="713" t="s">
        <v>956</v>
      </c>
      <c r="UAT5" s="713"/>
      <c r="UAU5" s="713"/>
      <c r="UAV5" s="713"/>
      <c r="UAW5" s="713"/>
      <c r="UAX5" s="713"/>
      <c r="UAY5" s="713"/>
      <c r="UAZ5" s="713"/>
      <c r="UBA5" s="713"/>
      <c r="UBB5" s="713"/>
      <c r="UBC5" s="713"/>
      <c r="UBD5" s="713"/>
      <c r="UBE5" s="713"/>
      <c r="UBF5" s="713"/>
      <c r="UBG5" s="713"/>
      <c r="UBH5" s="713"/>
      <c r="UBI5" s="713"/>
      <c r="UBJ5" s="713"/>
      <c r="UBK5" s="713"/>
      <c r="UBL5" s="713"/>
      <c r="UBM5" s="713"/>
      <c r="UBN5" s="713"/>
      <c r="UBO5" s="713"/>
      <c r="UBP5" s="713"/>
      <c r="UBQ5" s="713"/>
      <c r="UBR5" s="713"/>
      <c r="UBS5" s="713"/>
      <c r="UBT5" s="713"/>
      <c r="UBU5" s="713"/>
      <c r="UBV5" s="713"/>
      <c r="UBW5" s="713"/>
      <c r="UBX5" s="713"/>
      <c r="UBY5" s="713" t="s">
        <v>956</v>
      </c>
      <c r="UBZ5" s="713"/>
      <c r="UCA5" s="713"/>
      <c r="UCB5" s="713"/>
      <c r="UCC5" s="713"/>
      <c r="UCD5" s="713"/>
      <c r="UCE5" s="713"/>
      <c r="UCF5" s="713"/>
      <c r="UCG5" s="713"/>
      <c r="UCH5" s="713"/>
      <c r="UCI5" s="713"/>
      <c r="UCJ5" s="713"/>
      <c r="UCK5" s="713"/>
      <c r="UCL5" s="713"/>
      <c r="UCM5" s="713"/>
      <c r="UCN5" s="713"/>
      <c r="UCO5" s="713"/>
      <c r="UCP5" s="713"/>
      <c r="UCQ5" s="713"/>
      <c r="UCR5" s="713"/>
      <c r="UCS5" s="713"/>
      <c r="UCT5" s="713"/>
      <c r="UCU5" s="713"/>
      <c r="UCV5" s="713"/>
      <c r="UCW5" s="713"/>
      <c r="UCX5" s="713"/>
      <c r="UCY5" s="713"/>
      <c r="UCZ5" s="713"/>
      <c r="UDA5" s="713"/>
      <c r="UDB5" s="713"/>
      <c r="UDC5" s="713"/>
      <c r="UDD5" s="713"/>
      <c r="UDE5" s="713" t="s">
        <v>956</v>
      </c>
      <c r="UDF5" s="713"/>
      <c r="UDG5" s="713"/>
      <c r="UDH5" s="713"/>
      <c r="UDI5" s="713"/>
      <c r="UDJ5" s="713"/>
      <c r="UDK5" s="713"/>
      <c r="UDL5" s="713"/>
      <c r="UDM5" s="713"/>
      <c r="UDN5" s="713"/>
      <c r="UDO5" s="713"/>
      <c r="UDP5" s="713"/>
      <c r="UDQ5" s="713"/>
      <c r="UDR5" s="713"/>
      <c r="UDS5" s="713"/>
      <c r="UDT5" s="713"/>
      <c r="UDU5" s="713"/>
      <c r="UDV5" s="713"/>
      <c r="UDW5" s="713"/>
      <c r="UDX5" s="713"/>
      <c r="UDY5" s="713"/>
      <c r="UDZ5" s="713"/>
      <c r="UEA5" s="713"/>
      <c r="UEB5" s="713"/>
      <c r="UEC5" s="713"/>
      <c r="UED5" s="713"/>
      <c r="UEE5" s="713"/>
      <c r="UEF5" s="713"/>
      <c r="UEG5" s="713"/>
      <c r="UEH5" s="713"/>
      <c r="UEI5" s="713"/>
      <c r="UEJ5" s="713"/>
      <c r="UEK5" s="713" t="s">
        <v>956</v>
      </c>
      <c r="UEL5" s="713"/>
      <c r="UEM5" s="713"/>
      <c r="UEN5" s="713"/>
      <c r="UEO5" s="713"/>
      <c r="UEP5" s="713"/>
      <c r="UEQ5" s="713"/>
      <c r="UER5" s="713"/>
      <c r="UES5" s="713"/>
      <c r="UET5" s="713"/>
      <c r="UEU5" s="713"/>
      <c r="UEV5" s="713"/>
      <c r="UEW5" s="713"/>
      <c r="UEX5" s="713"/>
      <c r="UEY5" s="713"/>
      <c r="UEZ5" s="713"/>
      <c r="UFA5" s="713"/>
      <c r="UFB5" s="713"/>
      <c r="UFC5" s="713"/>
      <c r="UFD5" s="713"/>
      <c r="UFE5" s="713"/>
      <c r="UFF5" s="713"/>
      <c r="UFG5" s="713"/>
      <c r="UFH5" s="713"/>
      <c r="UFI5" s="713"/>
      <c r="UFJ5" s="713"/>
      <c r="UFK5" s="713"/>
      <c r="UFL5" s="713"/>
      <c r="UFM5" s="713"/>
      <c r="UFN5" s="713"/>
      <c r="UFO5" s="713"/>
      <c r="UFP5" s="713"/>
      <c r="UFQ5" s="713" t="s">
        <v>956</v>
      </c>
      <c r="UFR5" s="713"/>
      <c r="UFS5" s="713"/>
      <c r="UFT5" s="713"/>
      <c r="UFU5" s="713"/>
      <c r="UFV5" s="713"/>
      <c r="UFW5" s="713"/>
      <c r="UFX5" s="713"/>
      <c r="UFY5" s="713"/>
      <c r="UFZ5" s="713"/>
      <c r="UGA5" s="713"/>
      <c r="UGB5" s="713"/>
      <c r="UGC5" s="713"/>
      <c r="UGD5" s="713"/>
      <c r="UGE5" s="713"/>
      <c r="UGF5" s="713"/>
      <c r="UGG5" s="713"/>
      <c r="UGH5" s="713"/>
      <c r="UGI5" s="713"/>
      <c r="UGJ5" s="713"/>
      <c r="UGK5" s="713"/>
      <c r="UGL5" s="713"/>
      <c r="UGM5" s="713"/>
      <c r="UGN5" s="713"/>
      <c r="UGO5" s="713"/>
      <c r="UGP5" s="713"/>
      <c r="UGQ5" s="713"/>
      <c r="UGR5" s="713"/>
      <c r="UGS5" s="713"/>
      <c r="UGT5" s="713"/>
      <c r="UGU5" s="713"/>
      <c r="UGV5" s="713"/>
      <c r="UGW5" s="713" t="s">
        <v>956</v>
      </c>
      <c r="UGX5" s="713"/>
      <c r="UGY5" s="713"/>
      <c r="UGZ5" s="713"/>
      <c r="UHA5" s="713"/>
      <c r="UHB5" s="713"/>
      <c r="UHC5" s="713"/>
      <c r="UHD5" s="713"/>
      <c r="UHE5" s="713"/>
      <c r="UHF5" s="713"/>
      <c r="UHG5" s="713"/>
      <c r="UHH5" s="713"/>
      <c r="UHI5" s="713"/>
      <c r="UHJ5" s="713"/>
      <c r="UHK5" s="713"/>
      <c r="UHL5" s="713"/>
      <c r="UHM5" s="713"/>
      <c r="UHN5" s="713"/>
      <c r="UHO5" s="713"/>
      <c r="UHP5" s="713"/>
      <c r="UHQ5" s="713"/>
      <c r="UHR5" s="713"/>
      <c r="UHS5" s="713"/>
      <c r="UHT5" s="713"/>
      <c r="UHU5" s="713"/>
      <c r="UHV5" s="713"/>
      <c r="UHW5" s="713"/>
      <c r="UHX5" s="713"/>
      <c r="UHY5" s="713"/>
      <c r="UHZ5" s="713"/>
      <c r="UIA5" s="713"/>
      <c r="UIB5" s="713"/>
      <c r="UIC5" s="713" t="s">
        <v>956</v>
      </c>
      <c r="UID5" s="713"/>
      <c r="UIE5" s="713"/>
      <c r="UIF5" s="713"/>
      <c r="UIG5" s="713"/>
      <c r="UIH5" s="713"/>
      <c r="UII5" s="713"/>
      <c r="UIJ5" s="713"/>
      <c r="UIK5" s="713"/>
      <c r="UIL5" s="713"/>
      <c r="UIM5" s="713"/>
      <c r="UIN5" s="713"/>
      <c r="UIO5" s="713"/>
      <c r="UIP5" s="713"/>
      <c r="UIQ5" s="713"/>
      <c r="UIR5" s="713"/>
      <c r="UIS5" s="713"/>
      <c r="UIT5" s="713"/>
      <c r="UIU5" s="713"/>
      <c r="UIV5" s="713"/>
      <c r="UIW5" s="713"/>
      <c r="UIX5" s="713"/>
      <c r="UIY5" s="713"/>
      <c r="UIZ5" s="713"/>
      <c r="UJA5" s="713"/>
      <c r="UJB5" s="713"/>
      <c r="UJC5" s="713"/>
      <c r="UJD5" s="713"/>
      <c r="UJE5" s="713"/>
      <c r="UJF5" s="713"/>
      <c r="UJG5" s="713"/>
      <c r="UJH5" s="713"/>
      <c r="UJI5" s="713" t="s">
        <v>956</v>
      </c>
      <c r="UJJ5" s="713"/>
      <c r="UJK5" s="713"/>
      <c r="UJL5" s="713"/>
      <c r="UJM5" s="713"/>
      <c r="UJN5" s="713"/>
      <c r="UJO5" s="713"/>
      <c r="UJP5" s="713"/>
      <c r="UJQ5" s="713"/>
      <c r="UJR5" s="713"/>
      <c r="UJS5" s="713"/>
      <c r="UJT5" s="713"/>
      <c r="UJU5" s="713"/>
      <c r="UJV5" s="713"/>
      <c r="UJW5" s="713"/>
      <c r="UJX5" s="713"/>
      <c r="UJY5" s="713"/>
      <c r="UJZ5" s="713"/>
      <c r="UKA5" s="713"/>
      <c r="UKB5" s="713"/>
      <c r="UKC5" s="713"/>
      <c r="UKD5" s="713"/>
      <c r="UKE5" s="713"/>
      <c r="UKF5" s="713"/>
      <c r="UKG5" s="713"/>
      <c r="UKH5" s="713"/>
      <c r="UKI5" s="713"/>
      <c r="UKJ5" s="713"/>
      <c r="UKK5" s="713"/>
      <c r="UKL5" s="713"/>
      <c r="UKM5" s="713"/>
      <c r="UKN5" s="713"/>
      <c r="UKO5" s="713" t="s">
        <v>956</v>
      </c>
      <c r="UKP5" s="713"/>
      <c r="UKQ5" s="713"/>
      <c r="UKR5" s="713"/>
      <c r="UKS5" s="713"/>
      <c r="UKT5" s="713"/>
      <c r="UKU5" s="713"/>
      <c r="UKV5" s="713"/>
      <c r="UKW5" s="713"/>
      <c r="UKX5" s="713"/>
      <c r="UKY5" s="713"/>
      <c r="UKZ5" s="713"/>
      <c r="ULA5" s="713"/>
      <c r="ULB5" s="713"/>
      <c r="ULC5" s="713"/>
      <c r="ULD5" s="713"/>
      <c r="ULE5" s="713"/>
      <c r="ULF5" s="713"/>
      <c r="ULG5" s="713"/>
      <c r="ULH5" s="713"/>
      <c r="ULI5" s="713"/>
      <c r="ULJ5" s="713"/>
      <c r="ULK5" s="713"/>
      <c r="ULL5" s="713"/>
      <c r="ULM5" s="713"/>
      <c r="ULN5" s="713"/>
      <c r="ULO5" s="713"/>
      <c r="ULP5" s="713"/>
      <c r="ULQ5" s="713"/>
      <c r="ULR5" s="713"/>
      <c r="ULS5" s="713"/>
      <c r="ULT5" s="713"/>
      <c r="ULU5" s="713" t="s">
        <v>956</v>
      </c>
      <c r="ULV5" s="713"/>
      <c r="ULW5" s="713"/>
      <c r="ULX5" s="713"/>
      <c r="ULY5" s="713"/>
      <c r="ULZ5" s="713"/>
      <c r="UMA5" s="713"/>
      <c r="UMB5" s="713"/>
      <c r="UMC5" s="713"/>
      <c r="UMD5" s="713"/>
      <c r="UME5" s="713"/>
      <c r="UMF5" s="713"/>
      <c r="UMG5" s="713"/>
      <c r="UMH5" s="713"/>
      <c r="UMI5" s="713"/>
      <c r="UMJ5" s="713"/>
      <c r="UMK5" s="713"/>
      <c r="UML5" s="713"/>
      <c r="UMM5" s="713"/>
      <c r="UMN5" s="713"/>
      <c r="UMO5" s="713"/>
      <c r="UMP5" s="713"/>
      <c r="UMQ5" s="713"/>
      <c r="UMR5" s="713"/>
      <c r="UMS5" s="713"/>
      <c r="UMT5" s="713"/>
      <c r="UMU5" s="713"/>
      <c r="UMV5" s="713"/>
      <c r="UMW5" s="713"/>
      <c r="UMX5" s="713"/>
      <c r="UMY5" s="713"/>
      <c r="UMZ5" s="713"/>
      <c r="UNA5" s="713" t="s">
        <v>956</v>
      </c>
      <c r="UNB5" s="713"/>
      <c r="UNC5" s="713"/>
      <c r="UND5" s="713"/>
      <c r="UNE5" s="713"/>
      <c r="UNF5" s="713"/>
      <c r="UNG5" s="713"/>
      <c r="UNH5" s="713"/>
      <c r="UNI5" s="713"/>
      <c r="UNJ5" s="713"/>
      <c r="UNK5" s="713"/>
      <c r="UNL5" s="713"/>
      <c r="UNM5" s="713"/>
      <c r="UNN5" s="713"/>
      <c r="UNO5" s="713"/>
      <c r="UNP5" s="713"/>
      <c r="UNQ5" s="713"/>
      <c r="UNR5" s="713"/>
      <c r="UNS5" s="713"/>
      <c r="UNT5" s="713"/>
      <c r="UNU5" s="713"/>
      <c r="UNV5" s="713"/>
      <c r="UNW5" s="713"/>
      <c r="UNX5" s="713"/>
      <c r="UNY5" s="713"/>
      <c r="UNZ5" s="713"/>
      <c r="UOA5" s="713"/>
      <c r="UOB5" s="713"/>
      <c r="UOC5" s="713"/>
      <c r="UOD5" s="713"/>
      <c r="UOE5" s="713"/>
      <c r="UOF5" s="713"/>
      <c r="UOG5" s="713" t="s">
        <v>956</v>
      </c>
      <c r="UOH5" s="713"/>
      <c r="UOI5" s="713"/>
      <c r="UOJ5" s="713"/>
      <c r="UOK5" s="713"/>
      <c r="UOL5" s="713"/>
      <c r="UOM5" s="713"/>
      <c r="UON5" s="713"/>
      <c r="UOO5" s="713"/>
      <c r="UOP5" s="713"/>
      <c r="UOQ5" s="713"/>
      <c r="UOR5" s="713"/>
      <c r="UOS5" s="713"/>
      <c r="UOT5" s="713"/>
      <c r="UOU5" s="713"/>
      <c r="UOV5" s="713"/>
      <c r="UOW5" s="713"/>
      <c r="UOX5" s="713"/>
      <c r="UOY5" s="713"/>
      <c r="UOZ5" s="713"/>
      <c r="UPA5" s="713"/>
      <c r="UPB5" s="713"/>
      <c r="UPC5" s="713"/>
      <c r="UPD5" s="713"/>
      <c r="UPE5" s="713"/>
      <c r="UPF5" s="713"/>
      <c r="UPG5" s="713"/>
      <c r="UPH5" s="713"/>
      <c r="UPI5" s="713"/>
      <c r="UPJ5" s="713"/>
      <c r="UPK5" s="713"/>
      <c r="UPL5" s="713"/>
      <c r="UPM5" s="713" t="s">
        <v>956</v>
      </c>
      <c r="UPN5" s="713"/>
      <c r="UPO5" s="713"/>
      <c r="UPP5" s="713"/>
      <c r="UPQ5" s="713"/>
      <c r="UPR5" s="713"/>
      <c r="UPS5" s="713"/>
      <c r="UPT5" s="713"/>
      <c r="UPU5" s="713"/>
      <c r="UPV5" s="713"/>
      <c r="UPW5" s="713"/>
      <c r="UPX5" s="713"/>
      <c r="UPY5" s="713"/>
      <c r="UPZ5" s="713"/>
      <c r="UQA5" s="713"/>
      <c r="UQB5" s="713"/>
      <c r="UQC5" s="713"/>
      <c r="UQD5" s="713"/>
      <c r="UQE5" s="713"/>
      <c r="UQF5" s="713"/>
      <c r="UQG5" s="713"/>
      <c r="UQH5" s="713"/>
      <c r="UQI5" s="713"/>
      <c r="UQJ5" s="713"/>
      <c r="UQK5" s="713"/>
      <c r="UQL5" s="713"/>
      <c r="UQM5" s="713"/>
      <c r="UQN5" s="713"/>
      <c r="UQO5" s="713"/>
      <c r="UQP5" s="713"/>
      <c r="UQQ5" s="713"/>
      <c r="UQR5" s="713"/>
      <c r="UQS5" s="713" t="s">
        <v>956</v>
      </c>
      <c r="UQT5" s="713"/>
      <c r="UQU5" s="713"/>
      <c r="UQV5" s="713"/>
      <c r="UQW5" s="713"/>
      <c r="UQX5" s="713"/>
      <c r="UQY5" s="713"/>
      <c r="UQZ5" s="713"/>
      <c r="URA5" s="713"/>
      <c r="URB5" s="713"/>
      <c r="URC5" s="713"/>
      <c r="URD5" s="713"/>
      <c r="URE5" s="713"/>
      <c r="URF5" s="713"/>
      <c r="URG5" s="713"/>
      <c r="URH5" s="713"/>
      <c r="URI5" s="713"/>
      <c r="URJ5" s="713"/>
      <c r="URK5" s="713"/>
      <c r="URL5" s="713"/>
      <c r="URM5" s="713"/>
      <c r="URN5" s="713"/>
      <c r="URO5" s="713"/>
      <c r="URP5" s="713"/>
      <c r="URQ5" s="713"/>
      <c r="URR5" s="713"/>
      <c r="URS5" s="713"/>
      <c r="URT5" s="713"/>
      <c r="URU5" s="713"/>
      <c r="URV5" s="713"/>
      <c r="URW5" s="713"/>
      <c r="URX5" s="713"/>
      <c r="URY5" s="713" t="s">
        <v>956</v>
      </c>
      <c r="URZ5" s="713"/>
      <c r="USA5" s="713"/>
      <c r="USB5" s="713"/>
      <c r="USC5" s="713"/>
      <c r="USD5" s="713"/>
      <c r="USE5" s="713"/>
      <c r="USF5" s="713"/>
      <c r="USG5" s="713"/>
      <c r="USH5" s="713"/>
      <c r="USI5" s="713"/>
      <c r="USJ5" s="713"/>
      <c r="USK5" s="713"/>
      <c r="USL5" s="713"/>
      <c r="USM5" s="713"/>
      <c r="USN5" s="713"/>
      <c r="USO5" s="713"/>
      <c r="USP5" s="713"/>
      <c r="USQ5" s="713"/>
      <c r="USR5" s="713"/>
      <c r="USS5" s="713"/>
      <c r="UST5" s="713"/>
      <c r="USU5" s="713"/>
      <c r="USV5" s="713"/>
      <c r="USW5" s="713"/>
      <c r="USX5" s="713"/>
      <c r="USY5" s="713"/>
      <c r="USZ5" s="713"/>
      <c r="UTA5" s="713"/>
      <c r="UTB5" s="713"/>
      <c r="UTC5" s="713"/>
      <c r="UTD5" s="713"/>
      <c r="UTE5" s="713" t="s">
        <v>956</v>
      </c>
      <c r="UTF5" s="713"/>
      <c r="UTG5" s="713"/>
      <c r="UTH5" s="713"/>
      <c r="UTI5" s="713"/>
      <c r="UTJ5" s="713"/>
      <c r="UTK5" s="713"/>
      <c r="UTL5" s="713"/>
      <c r="UTM5" s="713"/>
      <c r="UTN5" s="713"/>
      <c r="UTO5" s="713"/>
      <c r="UTP5" s="713"/>
      <c r="UTQ5" s="713"/>
      <c r="UTR5" s="713"/>
      <c r="UTS5" s="713"/>
      <c r="UTT5" s="713"/>
      <c r="UTU5" s="713"/>
      <c r="UTV5" s="713"/>
      <c r="UTW5" s="713"/>
      <c r="UTX5" s="713"/>
      <c r="UTY5" s="713"/>
      <c r="UTZ5" s="713"/>
      <c r="UUA5" s="713"/>
      <c r="UUB5" s="713"/>
      <c r="UUC5" s="713"/>
      <c r="UUD5" s="713"/>
      <c r="UUE5" s="713"/>
      <c r="UUF5" s="713"/>
      <c r="UUG5" s="713"/>
      <c r="UUH5" s="713"/>
      <c r="UUI5" s="713"/>
      <c r="UUJ5" s="713"/>
      <c r="UUK5" s="713" t="s">
        <v>956</v>
      </c>
      <c r="UUL5" s="713"/>
      <c r="UUM5" s="713"/>
      <c r="UUN5" s="713"/>
      <c r="UUO5" s="713"/>
      <c r="UUP5" s="713"/>
      <c r="UUQ5" s="713"/>
      <c r="UUR5" s="713"/>
      <c r="UUS5" s="713"/>
      <c r="UUT5" s="713"/>
      <c r="UUU5" s="713"/>
      <c r="UUV5" s="713"/>
      <c r="UUW5" s="713"/>
      <c r="UUX5" s="713"/>
      <c r="UUY5" s="713"/>
      <c r="UUZ5" s="713"/>
      <c r="UVA5" s="713"/>
      <c r="UVB5" s="713"/>
      <c r="UVC5" s="713"/>
      <c r="UVD5" s="713"/>
      <c r="UVE5" s="713"/>
      <c r="UVF5" s="713"/>
      <c r="UVG5" s="713"/>
      <c r="UVH5" s="713"/>
      <c r="UVI5" s="713"/>
      <c r="UVJ5" s="713"/>
      <c r="UVK5" s="713"/>
      <c r="UVL5" s="713"/>
      <c r="UVM5" s="713"/>
      <c r="UVN5" s="713"/>
      <c r="UVO5" s="713"/>
      <c r="UVP5" s="713"/>
      <c r="UVQ5" s="713" t="s">
        <v>956</v>
      </c>
      <c r="UVR5" s="713"/>
      <c r="UVS5" s="713"/>
      <c r="UVT5" s="713"/>
      <c r="UVU5" s="713"/>
      <c r="UVV5" s="713"/>
      <c r="UVW5" s="713"/>
      <c r="UVX5" s="713"/>
      <c r="UVY5" s="713"/>
      <c r="UVZ5" s="713"/>
      <c r="UWA5" s="713"/>
      <c r="UWB5" s="713"/>
      <c r="UWC5" s="713"/>
      <c r="UWD5" s="713"/>
      <c r="UWE5" s="713"/>
      <c r="UWF5" s="713"/>
      <c r="UWG5" s="713"/>
      <c r="UWH5" s="713"/>
      <c r="UWI5" s="713"/>
      <c r="UWJ5" s="713"/>
      <c r="UWK5" s="713"/>
      <c r="UWL5" s="713"/>
      <c r="UWM5" s="713"/>
      <c r="UWN5" s="713"/>
      <c r="UWO5" s="713"/>
      <c r="UWP5" s="713"/>
      <c r="UWQ5" s="713"/>
      <c r="UWR5" s="713"/>
      <c r="UWS5" s="713"/>
      <c r="UWT5" s="713"/>
      <c r="UWU5" s="713"/>
      <c r="UWV5" s="713"/>
      <c r="UWW5" s="713" t="s">
        <v>956</v>
      </c>
      <c r="UWX5" s="713"/>
      <c r="UWY5" s="713"/>
      <c r="UWZ5" s="713"/>
      <c r="UXA5" s="713"/>
      <c r="UXB5" s="713"/>
      <c r="UXC5" s="713"/>
      <c r="UXD5" s="713"/>
      <c r="UXE5" s="713"/>
      <c r="UXF5" s="713"/>
      <c r="UXG5" s="713"/>
      <c r="UXH5" s="713"/>
      <c r="UXI5" s="713"/>
      <c r="UXJ5" s="713"/>
      <c r="UXK5" s="713"/>
      <c r="UXL5" s="713"/>
      <c r="UXM5" s="713"/>
      <c r="UXN5" s="713"/>
      <c r="UXO5" s="713"/>
      <c r="UXP5" s="713"/>
      <c r="UXQ5" s="713"/>
      <c r="UXR5" s="713"/>
      <c r="UXS5" s="713"/>
      <c r="UXT5" s="713"/>
      <c r="UXU5" s="713"/>
      <c r="UXV5" s="713"/>
      <c r="UXW5" s="713"/>
      <c r="UXX5" s="713"/>
      <c r="UXY5" s="713"/>
      <c r="UXZ5" s="713"/>
      <c r="UYA5" s="713"/>
      <c r="UYB5" s="713"/>
      <c r="UYC5" s="713" t="s">
        <v>956</v>
      </c>
      <c r="UYD5" s="713"/>
      <c r="UYE5" s="713"/>
      <c r="UYF5" s="713"/>
      <c r="UYG5" s="713"/>
      <c r="UYH5" s="713"/>
      <c r="UYI5" s="713"/>
      <c r="UYJ5" s="713"/>
      <c r="UYK5" s="713"/>
      <c r="UYL5" s="713"/>
      <c r="UYM5" s="713"/>
      <c r="UYN5" s="713"/>
      <c r="UYO5" s="713"/>
      <c r="UYP5" s="713"/>
      <c r="UYQ5" s="713"/>
      <c r="UYR5" s="713"/>
      <c r="UYS5" s="713"/>
      <c r="UYT5" s="713"/>
      <c r="UYU5" s="713"/>
      <c r="UYV5" s="713"/>
      <c r="UYW5" s="713"/>
      <c r="UYX5" s="713"/>
      <c r="UYY5" s="713"/>
      <c r="UYZ5" s="713"/>
      <c r="UZA5" s="713"/>
      <c r="UZB5" s="713"/>
      <c r="UZC5" s="713"/>
      <c r="UZD5" s="713"/>
      <c r="UZE5" s="713"/>
      <c r="UZF5" s="713"/>
      <c r="UZG5" s="713"/>
      <c r="UZH5" s="713"/>
      <c r="UZI5" s="713" t="s">
        <v>956</v>
      </c>
      <c r="UZJ5" s="713"/>
      <c r="UZK5" s="713"/>
      <c r="UZL5" s="713"/>
      <c r="UZM5" s="713"/>
      <c r="UZN5" s="713"/>
      <c r="UZO5" s="713"/>
      <c r="UZP5" s="713"/>
      <c r="UZQ5" s="713"/>
      <c r="UZR5" s="713"/>
      <c r="UZS5" s="713"/>
      <c r="UZT5" s="713"/>
      <c r="UZU5" s="713"/>
      <c r="UZV5" s="713"/>
      <c r="UZW5" s="713"/>
      <c r="UZX5" s="713"/>
      <c r="UZY5" s="713"/>
      <c r="UZZ5" s="713"/>
      <c r="VAA5" s="713"/>
      <c r="VAB5" s="713"/>
      <c r="VAC5" s="713"/>
      <c r="VAD5" s="713"/>
      <c r="VAE5" s="713"/>
      <c r="VAF5" s="713"/>
      <c r="VAG5" s="713"/>
      <c r="VAH5" s="713"/>
      <c r="VAI5" s="713"/>
      <c r="VAJ5" s="713"/>
      <c r="VAK5" s="713"/>
      <c r="VAL5" s="713"/>
      <c r="VAM5" s="713"/>
      <c r="VAN5" s="713"/>
      <c r="VAO5" s="713" t="s">
        <v>956</v>
      </c>
      <c r="VAP5" s="713"/>
      <c r="VAQ5" s="713"/>
      <c r="VAR5" s="713"/>
      <c r="VAS5" s="713"/>
      <c r="VAT5" s="713"/>
      <c r="VAU5" s="713"/>
      <c r="VAV5" s="713"/>
      <c r="VAW5" s="713"/>
      <c r="VAX5" s="713"/>
      <c r="VAY5" s="713"/>
      <c r="VAZ5" s="713"/>
      <c r="VBA5" s="713"/>
      <c r="VBB5" s="713"/>
      <c r="VBC5" s="713"/>
      <c r="VBD5" s="713"/>
      <c r="VBE5" s="713"/>
      <c r="VBF5" s="713"/>
      <c r="VBG5" s="713"/>
      <c r="VBH5" s="713"/>
      <c r="VBI5" s="713"/>
      <c r="VBJ5" s="713"/>
      <c r="VBK5" s="713"/>
      <c r="VBL5" s="713"/>
      <c r="VBM5" s="713"/>
      <c r="VBN5" s="713"/>
      <c r="VBO5" s="713"/>
      <c r="VBP5" s="713"/>
      <c r="VBQ5" s="713"/>
      <c r="VBR5" s="713"/>
      <c r="VBS5" s="713"/>
      <c r="VBT5" s="713"/>
      <c r="VBU5" s="713" t="s">
        <v>956</v>
      </c>
      <c r="VBV5" s="713"/>
      <c r="VBW5" s="713"/>
      <c r="VBX5" s="713"/>
      <c r="VBY5" s="713"/>
      <c r="VBZ5" s="713"/>
      <c r="VCA5" s="713"/>
      <c r="VCB5" s="713"/>
      <c r="VCC5" s="713"/>
      <c r="VCD5" s="713"/>
      <c r="VCE5" s="713"/>
      <c r="VCF5" s="713"/>
      <c r="VCG5" s="713"/>
      <c r="VCH5" s="713"/>
      <c r="VCI5" s="713"/>
      <c r="VCJ5" s="713"/>
      <c r="VCK5" s="713"/>
      <c r="VCL5" s="713"/>
      <c r="VCM5" s="713"/>
      <c r="VCN5" s="713"/>
      <c r="VCO5" s="713"/>
      <c r="VCP5" s="713"/>
      <c r="VCQ5" s="713"/>
      <c r="VCR5" s="713"/>
      <c r="VCS5" s="713"/>
      <c r="VCT5" s="713"/>
      <c r="VCU5" s="713"/>
      <c r="VCV5" s="713"/>
      <c r="VCW5" s="713"/>
      <c r="VCX5" s="713"/>
      <c r="VCY5" s="713"/>
      <c r="VCZ5" s="713"/>
      <c r="VDA5" s="713" t="s">
        <v>956</v>
      </c>
      <c r="VDB5" s="713"/>
      <c r="VDC5" s="713"/>
      <c r="VDD5" s="713"/>
      <c r="VDE5" s="713"/>
      <c r="VDF5" s="713"/>
      <c r="VDG5" s="713"/>
      <c r="VDH5" s="713"/>
      <c r="VDI5" s="713"/>
      <c r="VDJ5" s="713"/>
      <c r="VDK5" s="713"/>
      <c r="VDL5" s="713"/>
      <c r="VDM5" s="713"/>
      <c r="VDN5" s="713"/>
      <c r="VDO5" s="713"/>
      <c r="VDP5" s="713"/>
      <c r="VDQ5" s="713"/>
      <c r="VDR5" s="713"/>
      <c r="VDS5" s="713"/>
      <c r="VDT5" s="713"/>
      <c r="VDU5" s="713"/>
      <c r="VDV5" s="713"/>
      <c r="VDW5" s="713"/>
      <c r="VDX5" s="713"/>
      <c r="VDY5" s="713"/>
      <c r="VDZ5" s="713"/>
      <c r="VEA5" s="713"/>
      <c r="VEB5" s="713"/>
      <c r="VEC5" s="713"/>
      <c r="VED5" s="713"/>
      <c r="VEE5" s="713"/>
      <c r="VEF5" s="713"/>
      <c r="VEG5" s="713" t="s">
        <v>956</v>
      </c>
      <c r="VEH5" s="713"/>
      <c r="VEI5" s="713"/>
      <c r="VEJ5" s="713"/>
      <c r="VEK5" s="713"/>
      <c r="VEL5" s="713"/>
      <c r="VEM5" s="713"/>
      <c r="VEN5" s="713"/>
      <c r="VEO5" s="713"/>
      <c r="VEP5" s="713"/>
      <c r="VEQ5" s="713"/>
      <c r="VER5" s="713"/>
      <c r="VES5" s="713"/>
      <c r="VET5" s="713"/>
      <c r="VEU5" s="713"/>
      <c r="VEV5" s="713"/>
      <c r="VEW5" s="713"/>
      <c r="VEX5" s="713"/>
      <c r="VEY5" s="713"/>
      <c r="VEZ5" s="713"/>
      <c r="VFA5" s="713"/>
      <c r="VFB5" s="713"/>
      <c r="VFC5" s="713"/>
      <c r="VFD5" s="713"/>
      <c r="VFE5" s="713"/>
      <c r="VFF5" s="713"/>
      <c r="VFG5" s="713"/>
      <c r="VFH5" s="713"/>
      <c r="VFI5" s="713"/>
      <c r="VFJ5" s="713"/>
      <c r="VFK5" s="713"/>
      <c r="VFL5" s="713"/>
      <c r="VFM5" s="713" t="s">
        <v>956</v>
      </c>
      <c r="VFN5" s="713"/>
      <c r="VFO5" s="713"/>
      <c r="VFP5" s="713"/>
      <c r="VFQ5" s="713"/>
      <c r="VFR5" s="713"/>
      <c r="VFS5" s="713"/>
      <c r="VFT5" s="713"/>
      <c r="VFU5" s="713"/>
      <c r="VFV5" s="713"/>
      <c r="VFW5" s="713"/>
      <c r="VFX5" s="713"/>
      <c r="VFY5" s="713"/>
      <c r="VFZ5" s="713"/>
      <c r="VGA5" s="713"/>
      <c r="VGB5" s="713"/>
      <c r="VGC5" s="713"/>
      <c r="VGD5" s="713"/>
      <c r="VGE5" s="713"/>
      <c r="VGF5" s="713"/>
      <c r="VGG5" s="713"/>
      <c r="VGH5" s="713"/>
      <c r="VGI5" s="713"/>
      <c r="VGJ5" s="713"/>
      <c r="VGK5" s="713"/>
      <c r="VGL5" s="713"/>
      <c r="VGM5" s="713"/>
      <c r="VGN5" s="713"/>
      <c r="VGO5" s="713"/>
      <c r="VGP5" s="713"/>
      <c r="VGQ5" s="713"/>
      <c r="VGR5" s="713"/>
      <c r="VGS5" s="713" t="s">
        <v>956</v>
      </c>
      <c r="VGT5" s="713"/>
      <c r="VGU5" s="713"/>
      <c r="VGV5" s="713"/>
      <c r="VGW5" s="713"/>
      <c r="VGX5" s="713"/>
      <c r="VGY5" s="713"/>
      <c r="VGZ5" s="713"/>
      <c r="VHA5" s="713"/>
      <c r="VHB5" s="713"/>
      <c r="VHC5" s="713"/>
      <c r="VHD5" s="713"/>
      <c r="VHE5" s="713"/>
      <c r="VHF5" s="713"/>
      <c r="VHG5" s="713"/>
      <c r="VHH5" s="713"/>
      <c r="VHI5" s="713"/>
      <c r="VHJ5" s="713"/>
      <c r="VHK5" s="713"/>
      <c r="VHL5" s="713"/>
      <c r="VHM5" s="713"/>
      <c r="VHN5" s="713"/>
      <c r="VHO5" s="713"/>
      <c r="VHP5" s="713"/>
      <c r="VHQ5" s="713"/>
      <c r="VHR5" s="713"/>
      <c r="VHS5" s="713"/>
      <c r="VHT5" s="713"/>
      <c r="VHU5" s="713"/>
      <c r="VHV5" s="713"/>
      <c r="VHW5" s="713"/>
      <c r="VHX5" s="713"/>
      <c r="VHY5" s="713" t="s">
        <v>956</v>
      </c>
      <c r="VHZ5" s="713"/>
      <c r="VIA5" s="713"/>
      <c r="VIB5" s="713"/>
      <c r="VIC5" s="713"/>
      <c r="VID5" s="713"/>
      <c r="VIE5" s="713"/>
      <c r="VIF5" s="713"/>
      <c r="VIG5" s="713"/>
      <c r="VIH5" s="713"/>
      <c r="VII5" s="713"/>
      <c r="VIJ5" s="713"/>
      <c r="VIK5" s="713"/>
      <c r="VIL5" s="713"/>
      <c r="VIM5" s="713"/>
      <c r="VIN5" s="713"/>
      <c r="VIO5" s="713"/>
      <c r="VIP5" s="713"/>
      <c r="VIQ5" s="713"/>
      <c r="VIR5" s="713"/>
      <c r="VIS5" s="713"/>
      <c r="VIT5" s="713"/>
      <c r="VIU5" s="713"/>
      <c r="VIV5" s="713"/>
      <c r="VIW5" s="713"/>
      <c r="VIX5" s="713"/>
      <c r="VIY5" s="713"/>
      <c r="VIZ5" s="713"/>
      <c r="VJA5" s="713"/>
      <c r="VJB5" s="713"/>
      <c r="VJC5" s="713"/>
      <c r="VJD5" s="713"/>
      <c r="VJE5" s="713" t="s">
        <v>956</v>
      </c>
      <c r="VJF5" s="713"/>
      <c r="VJG5" s="713"/>
      <c r="VJH5" s="713"/>
      <c r="VJI5" s="713"/>
      <c r="VJJ5" s="713"/>
      <c r="VJK5" s="713"/>
      <c r="VJL5" s="713"/>
      <c r="VJM5" s="713"/>
      <c r="VJN5" s="713"/>
      <c r="VJO5" s="713"/>
      <c r="VJP5" s="713"/>
      <c r="VJQ5" s="713"/>
      <c r="VJR5" s="713"/>
      <c r="VJS5" s="713"/>
      <c r="VJT5" s="713"/>
      <c r="VJU5" s="713"/>
      <c r="VJV5" s="713"/>
      <c r="VJW5" s="713"/>
      <c r="VJX5" s="713"/>
      <c r="VJY5" s="713"/>
      <c r="VJZ5" s="713"/>
      <c r="VKA5" s="713"/>
      <c r="VKB5" s="713"/>
      <c r="VKC5" s="713"/>
      <c r="VKD5" s="713"/>
      <c r="VKE5" s="713"/>
      <c r="VKF5" s="713"/>
      <c r="VKG5" s="713"/>
      <c r="VKH5" s="713"/>
      <c r="VKI5" s="713"/>
      <c r="VKJ5" s="713"/>
      <c r="VKK5" s="713" t="s">
        <v>956</v>
      </c>
      <c r="VKL5" s="713"/>
      <c r="VKM5" s="713"/>
      <c r="VKN5" s="713"/>
      <c r="VKO5" s="713"/>
      <c r="VKP5" s="713"/>
      <c r="VKQ5" s="713"/>
      <c r="VKR5" s="713"/>
      <c r="VKS5" s="713"/>
      <c r="VKT5" s="713"/>
      <c r="VKU5" s="713"/>
      <c r="VKV5" s="713"/>
      <c r="VKW5" s="713"/>
      <c r="VKX5" s="713"/>
      <c r="VKY5" s="713"/>
      <c r="VKZ5" s="713"/>
      <c r="VLA5" s="713"/>
      <c r="VLB5" s="713"/>
      <c r="VLC5" s="713"/>
      <c r="VLD5" s="713"/>
      <c r="VLE5" s="713"/>
      <c r="VLF5" s="713"/>
      <c r="VLG5" s="713"/>
      <c r="VLH5" s="713"/>
      <c r="VLI5" s="713"/>
      <c r="VLJ5" s="713"/>
      <c r="VLK5" s="713"/>
      <c r="VLL5" s="713"/>
      <c r="VLM5" s="713"/>
      <c r="VLN5" s="713"/>
      <c r="VLO5" s="713"/>
      <c r="VLP5" s="713"/>
      <c r="VLQ5" s="713" t="s">
        <v>956</v>
      </c>
      <c r="VLR5" s="713"/>
      <c r="VLS5" s="713"/>
      <c r="VLT5" s="713"/>
      <c r="VLU5" s="713"/>
      <c r="VLV5" s="713"/>
      <c r="VLW5" s="713"/>
      <c r="VLX5" s="713"/>
      <c r="VLY5" s="713"/>
      <c r="VLZ5" s="713"/>
      <c r="VMA5" s="713"/>
      <c r="VMB5" s="713"/>
      <c r="VMC5" s="713"/>
      <c r="VMD5" s="713"/>
      <c r="VME5" s="713"/>
      <c r="VMF5" s="713"/>
      <c r="VMG5" s="713"/>
      <c r="VMH5" s="713"/>
      <c r="VMI5" s="713"/>
      <c r="VMJ5" s="713"/>
      <c r="VMK5" s="713"/>
      <c r="VML5" s="713"/>
      <c r="VMM5" s="713"/>
      <c r="VMN5" s="713"/>
      <c r="VMO5" s="713"/>
      <c r="VMP5" s="713"/>
      <c r="VMQ5" s="713"/>
      <c r="VMR5" s="713"/>
      <c r="VMS5" s="713"/>
      <c r="VMT5" s="713"/>
      <c r="VMU5" s="713"/>
      <c r="VMV5" s="713"/>
      <c r="VMW5" s="713" t="s">
        <v>956</v>
      </c>
      <c r="VMX5" s="713"/>
      <c r="VMY5" s="713"/>
      <c r="VMZ5" s="713"/>
      <c r="VNA5" s="713"/>
      <c r="VNB5" s="713"/>
      <c r="VNC5" s="713"/>
      <c r="VND5" s="713"/>
      <c r="VNE5" s="713"/>
      <c r="VNF5" s="713"/>
      <c r="VNG5" s="713"/>
      <c r="VNH5" s="713"/>
      <c r="VNI5" s="713"/>
      <c r="VNJ5" s="713"/>
      <c r="VNK5" s="713"/>
      <c r="VNL5" s="713"/>
      <c r="VNM5" s="713"/>
      <c r="VNN5" s="713"/>
      <c r="VNO5" s="713"/>
      <c r="VNP5" s="713"/>
      <c r="VNQ5" s="713"/>
      <c r="VNR5" s="713"/>
      <c r="VNS5" s="713"/>
      <c r="VNT5" s="713"/>
      <c r="VNU5" s="713"/>
      <c r="VNV5" s="713"/>
      <c r="VNW5" s="713"/>
      <c r="VNX5" s="713"/>
      <c r="VNY5" s="713"/>
      <c r="VNZ5" s="713"/>
      <c r="VOA5" s="713"/>
      <c r="VOB5" s="713"/>
      <c r="VOC5" s="713" t="s">
        <v>956</v>
      </c>
      <c r="VOD5" s="713"/>
      <c r="VOE5" s="713"/>
      <c r="VOF5" s="713"/>
      <c r="VOG5" s="713"/>
      <c r="VOH5" s="713"/>
      <c r="VOI5" s="713"/>
      <c r="VOJ5" s="713"/>
      <c r="VOK5" s="713"/>
      <c r="VOL5" s="713"/>
      <c r="VOM5" s="713"/>
      <c r="VON5" s="713"/>
      <c r="VOO5" s="713"/>
      <c r="VOP5" s="713"/>
      <c r="VOQ5" s="713"/>
      <c r="VOR5" s="713"/>
      <c r="VOS5" s="713"/>
      <c r="VOT5" s="713"/>
      <c r="VOU5" s="713"/>
      <c r="VOV5" s="713"/>
      <c r="VOW5" s="713"/>
      <c r="VOX5" s="713"/>
      <c r="VOY5" s="713"/>
      <c r="VOZ5" s="713"/>
      <c r="VPA5" s="713"/>
      <c r="VPB5" s="713"/>
      <c r="VPC5" s="713"/>
      <c r="VPD5" s="713"/>
      <c r="VPE5" s="713"/>
      <c r="VPF5" s="713"/>
      <c r="VPG5" s="713"/>
      <c r="VPH5" s="713"/>
      <c r="VPI5" s="713" t="s">
        <v>956</v>
      </c>
      <c r="VPJ5" s="713"/>
      <c r="VPK5" s="713"/>
      <c r="VPL5" s="713"/>
      <c r="VPM5" s="713"/>
      <c r="VPN5" s="713"/>
      <c r="VPO5" s="713"/>
      <c r="VPP5" s="713"/>
      <c r="VPQ5" s="713"/>
      <c r="VPR5" s="713"/>
      <c r="VPS5" s="713"/>
      <c r="VPT5" s="713"/>
      <c r="VPU5" s="713"/>
      <c r="VPV5" s="713"/>
      <c r="VPW5" s="713"/>
      <c r="VPX5" s="713"/>
      <c r="VPY5" s="713"/>
      <c r="VPZ5" s="713"/>
      <c r="VQA5" s="713"/>
      <c r="VQB5" s="713"/>
      <c r="VQC5" s="713"/>
      <c r="VQD5" s="713"/>
      <c r="VQE5" s="713"/>
      <c r="VQF5" s="713"/>
      <c r="VQG5" s="713"/>
      <c r="VQH5" s="713"/>
      <c r="VQI5" s="713"/>
      <c r="VQJ5" s="713"/>
      <c r="VQK5" s="713"/>
      <c r="VQL5" s="713"/>
      <c r="VQM5" s="713"/>
      <c r="VQN5" s="713"/>
      <c r="VQO5" s="713" t="s">
        <v>956</v>
      </c>
      <c r="VQP5" s="713"/>
      <c r="VQQ5" s="713"/>
      <c r="VQR5" s="713"/>
      <c r="VQS5" s="713"/>
      <c r="VQT5" s="713"/>
      <c r="VQU5" s="713"/>
      <c r="VQV5" s="713"/>
      <c r="VQW5" s="713"/>
      <c r="VQX5" s="713"/>
      <c r="VQY5" s="713"/>
      <c r="VQZ5" s="713"/>
      <c r="VRA5" s="713"/>
      <c r="VRB5" s="713"/>
      <c r="VRC5" s="713"/>
      <c r="VRD5" s="713"/>
      <c r="VRE5" s="713"/>
      <c r="VRF5" s="713"/>
      <c r="VRG5" s="713"/>
      <c r="VRH5" s="713"/>
      <c r="VRI5" s="713"/>
      <c r="VRJ5" s="713"/>
      <c r="VRK5" s="713"/>
      <c r="VRL5" s="713"/>
      <c r="VRM5" s="713"/>
      <c r="VRN5" s="713"/>
      <c r="VRO5" s="713"/>
      <c r="VRP5" s="713"/>
      <c r="VRQ5" s="713"/>
      <c r="VRR5" s="713"/>
      <c r="VRS5" s="713"/>
      <c r="VRT5" s="713"/>
      <c r="VRU5" s="713" t="s">
        <v>956</v>
      </c>
      <c r="VRV5" s="713"/>
      <c r="VRW5" s="713"/>
      <c r="VRX5" s="713"/>
      <c r="VRY5" s="713"/>
      <c r="VRZ5" s="713"/>
      <c r="VSA5" s="713"/>
      <c r="VSB5" s="713"/>
      <c r="VSC5" s="713"/>
      <c r="VSD5" s="713"/>
      <c r="VSE5" s="713"/>
      <c r="VSF5" s="713"/>
      <c r="VSG5" s="713"/>
      <c r="VSH5" s="713"/>
      <c r="VSI5" s="713"/>
      <c r="VSJ5" s="713"/>
      <c r="VSK5" s="713"/>
      <c r="VSL5" s="713"/>
      <c r="VSM5" s="713"/>
      <c r="VSN5" s="713"/>
      <c r="VSO5" s="713"/>
      <c r="VSP5" s="713"/>
      <c r="VSQ5" s="713"/>
      <c r="VSR5" s="713"/>
      <c r="VSS5" s="713"/>
      <c r="VST5" s="713"/>
      <c r="VSU5" s="713"/>
      <c r="VSV5" s="713"/>
      <c r="VSW5" s="713"/>
      <c r="VSX5" s="713"/>
      <c r="VSY5" s="713"/>
      <c r="VSZ5" s="713"/>
      <c r="VTA5" s="713" t="s">
        <v>956</v>
      </c>
      <c r="VTB5" s="713"/>
      <c r="VTC5" s="713"/>
      <c r="VTD5" s="713"/>
      <c r="VTE5" s="713"/>
      <c r="VTF5" s="713"/>
      <c r="VTG5" s="713"/>
      <c r="VTH5" s="713"/>
      <c r="VTI5" s="713"/>
      <c r="VTJ5" s="713"/>
      <c r="VTK5" s="713"/>
      <c r="VTL5" s="713"/>
      <c r="VTM5" s="713"/>
      <c r="VTN5" s="713"/>
      <c r="VTO5" s="713"/>
      <c r="VTP5" s="713"/>
      <c r="VTQ5" s="713"/>
      <c r="VTR5" s="713"/>
      <c r="VTS5" s="713"/>
      <c r="VTT5" s="713"/>
      <c r="VTU5" s="713"/>
      <c r="VTV5" s="713"/>
      <c r="VTW5" s="713"/>
      <c r="VTX5" s="713"/>
      <c r="VTY5" s="713"/>
      <c r="VTZ5" s="713"/>
      <c r="VUA5" s="713"/>
      <c r="VUB5" s="713"/>
      <c r="VUC5" s="713"/>
      <c r="VUD5" s="713"/>
      <c r="VUE5" s="713"/>
      <c r="VUF5" s="713"/>
      <c r="VUG5" s="713" t="s">
        <v>956</v>
      </c>
      <c r="VUH5" s="713"/>
      <c r="VUI5" s="713"/>
      <c r="VUJ5" s="713"/>
      <c r="VUK5" s="713"/>
      <c r="VUL5" s="713"/>
      <c r="VUM5" s="713"/>
      <c r="VUN5" s="713"/>
      <c r="VUO5" s="713"/>
      <c r="VUP5" s="713"/>
      <c r="VUQ5" s="713"/>
      <c r="VUR5" s="713"/>
      <c r="VUS5" s="713"/>
      <c r="VUT5" s="713"/>
      <c r="VUU5" s="713"/>
      <c r="VUV5" s="713"/>
      <c r="VUW5" s="713"/>
      <c r="VUX5" s="713"/>
      <c r="VUY5" s="713"/>
      <c r="VUZ5" s="713"/>
      <c r="VVA5" s="713"/>
      <c r="VVB5" s="713"/>
      <c r="VVC5" s="713"/>
      <c r="VVD5" s="713"/>
      <c r="VVE5" s="713"/>
      <c r="VVF5" s="713"/>
      <c r="VVG5" s="713"/>
      <c r="VVH5" s="713"/>
      <c r="VVI5" s="713"/>
      <c r="VVJ5" s="713"/>
      <c r="VVK5" s="713"/>
      <c r="VVL5" s="713"/>
      <c r="VVM5" s="713" t="s">
        <v>956</v>
      </c>
      <c r="VVN5" s="713"/>
      <c r="VVO5" s="713"/>
      <c r="VVP5" s="713"/>
      <c r="VVQ5" s="713"/>
      <c r="VVR5" s="713"/>
      <c r="VVS5" s="713"/>
      <c r="VVT5" s="713"/>
      <c r="VVU5" s="713"/>
      <c r="VVV5" s="713"/>
      <c r="VVW5" s="713"/>
      <c r="VVX5" s="713"/>
      <c r="VVY5" s="713"/>
      <c r="VVZ5" s="713"/>
      <c r="VWA5" s="713"/>
      <c r="VWB5" s="713"/>
      <c r="VWC5" s="713"/>
      <c r="VWD5" s="713"/>
      <c r="VWE5" s="713"/>
      <c r="VWF5" s="713"/>
      <c r="VWG5" s="713"/>
      <c r="VWH5" s="713"/>
      <c r="VWI5" s="713"/>
      <c r="VWJ5" s="713"/>
      <c r="VWK5" s="713"/>
      <c r="VWL5" s="713"/>
      <c r="VWM5" s="713"/>
      <c r="VWN5" s="713"/>
      <c r="VWO5" s="713"/>
      <c r="VWP5" s="713"/>
      <c r="VWQ5" s="713"/>
      <c r="VWR5" s="713"/>
      <c r="VWS5" s="713" t="s">
        <v>956</v>
      </c>
      <c r="VWT5" s="713"/>
      <c r="VWU5" s="713"/>
      <c r="VWV5" s="713"/>
      <c r="VWW5" s="713"/>
      <c r="VWX5" s="713"/>
      <c r="VWY5" s="713"/>
      <c r="VWZ5" s="713"/>
      <c r="VXA5" s="713"/>
      <c r="VXB5" s="713"/>
      <c r="VXC5" s="713"/>
      <c r="VXD5" s="713"/>
      <c r="VXE5" s="713"/>
      <c r="VXF5" s="713"/>
      <c r="VXG5" s="713"/>
      <c r="VXH5" s="713"/>
      <c r="VXI5" s="713"/>
      <c r="VXJ5" s="713"/>
      <c r="VXK5" s="713"/>
      <c r="VXL5" s="713"/>
      <c r="VXM5" s="713"/>
      <c r="VXN5" s="713"/>
      <c r="VXO5" s="713"/>
      <c r="VXP5" s="713"/>
      <c r="VXQ5" s="713"/>
      <c r="VXR5" s="713"/>
      <c r="VXS5" s="713"/>
      <c r="VXT5" s="713"/>
      <c r="VXU5" s="713"/>
      <c r="VXV5" s="713"/>
      <c r="VXW5" s="713"/>
      <c r="VXX5" s="713"/>
      <c r="VXY5" s="713" t="s">
        <v>956</v>
      </c>
      <c r="VXZ5" s="713"/>
      <c r="VYA5" s="713"/>
      <c r="VYB5" s="713"/>
      <c r="VYC5" s="713"/>
      <c r="VYD5" s="713"/>
      <c r="VYE5" s="713"/>
      <c r="VYF5" s="713"/>
      <c r="VYG5" s="713"/>
      <c r="VYH5" s="713"/>
      <c r="VYI5" s="713"/>
      <c r="VYJ5" s="713"/>
      <c r="VYK5" s="713"/>
      <c r="VYL5" s="713"/>
      <c r="VYM5" s="713"/>
      <c r="VYN5" s="713"/>
      <c r="VYO5" s="713"/>
      <c r="VYP5" s="713"/>
      <c r="VYQ5" s="713"/>
      <c r="VYR5" s="713"/>
      <c r="VYS5" s="713"/>
      <c r="VYT5" s="713"/>
      <c r="VYU5" s="713"/>
      <c r="VYV5" s="713"/>
      <c r="VYW5" s="713"/>
      <c r="VYX5" s="713"/>
      <c r="VYY5" s="713"/>
      <c r="VYZ5" s="713"/>
      <c r="VZA5" s="713"/>
      <c r="VZB5" s="713"/>
      <c r="VZC5" s="713"/>
      <c r="VZD5" s="713"/>
      <c r="VZE5" s="713" t="s">
        <v>956</v>
      </c>
      <c r="VZF5" s="713"/>
      <c r="VZG5" s="713"/>
      <c r="VZH5" s="713"/>
      <c r="VZI5" s="713"/>
      <c r="VZJ5" s="713"/>
      <c r="VZK5" s="713"/>
      <c r="VZL5" s="713"/>
      <c r="VZM5" s="713"/>
      <c r="VZN5" s="713"/>
      <c r="VZO5" s="713"/>
      <c r="VZP5" s="713"/>
      <c r="VZQ5" s="713"/>
      <c r="VZR5" s="713"/>
      <c r="VZS5" s="713"/>
      <c r="VZT5" s="713"/>
      <c r="VZU5" s="713"/>
      <c r="VZV5" s="713"/>
      <c r="VZW5" s="713"/>
      <c r="VZX5" s="713"/>
      <c r="VZY5" s="713"/>
      <c r="VZZ5" s="713"/>
      <c r="WAA5" s="713"/>
      <c r="WAB5" s="713"/>
      <c r="WAC5" s="713"/>
      <c r="WAD5" s="713"/>
      <c r="WAE5" s="713"/>
      <c r="WAF5" s="713"/>
      <c r="WAG5" s="713"/>
      <c r="WAH5" s="713"/>
      <c r="WAI5" s="713"/>
      <c r="WAJ5" s="713"/>
      <c r="WAK5" s="713" t="s">
        <v>956</v>
      </c>
      <c r="WAL5" s="713"/>
      <c r="WAM5" s="713"/>
      <c r="WAN5" s="713"/>
      <c r="WAO5" s="713"/>
      <c r="WAP5" s="713"/>
      <c r="WAQ5" s="713"/>
      <c r="WAR5" s="713"/>
      <c r="WAS5" s="713"/>
      <c r="WAT5" s="713"/>
      <c r="WAU5" s="713"/>
      <c r="WAV5" s="713"/>
      <c r="WAW5" s="713"/>
      <c r="WAX5" s="713"/>
      <c r="WAY5" s="713"/>
      <c r="WAZ5" s="713"/>
      <c r="WBA5" s="713"/>
      <c r="WBB5" s="713"/>
      <c r="WBC5" s="713"/>
      <c r="WBD5" s="713"/>
      <c r="WBE5" s="713"/>
      <c r="WBF5" s="713"/>
      <c r="WBG5" s="713"/>
      <c r="WBH5" s="713"/>
      <c r="WBI5" s="713"/>
      <c r="WBJ5" s="713"/>
      <c r="WBK5" s="713"/>
      <c r="WBL5" s="713"/>
      <c r="WBM5" s="713"/>
      <c r="WBN5" s="713"/>
      <c r="WBO5" s="713"/>
      <c r="WBP5" s="713"/>
      <c r="WBQ5" s="713" t="s">
        <v>956</v>
      </c>
      <c r="WBR5" s="713"/>
      <c r="WBS5" s="713"/>
      <c r="WBT5" s="713"/>
      <c r="WBU5" s="713"/>
      <c r="WBV5" s="713"/>
      <c r="WBW5" s="713"/>
      <c r="WBX5" s="713"/>
      <c r="WBY5" s="713"/>
      <c r="WBZ5" s="713"/>
      <c r="WCA5" s="713"/>
      <c r="WCB5" s="713"/>
      <c r="WCC5" s="713"/>
      <c r="WCD5" s="713"/>
      <c r="WCE5" s="713"/>
      <c r="WCF5" s="713"/>
      <c r="WCG5" s="713"/>
      <c r="WCH5" s="713"/>
      <c r="WCI5" s="713"/>
      <c r="WCJ5" s="713"/>
      <c r="WCK5" s="713"/>
      <c r="WCL5" s="713"/>
      <c r="WCM5" s="713"/>
      <c r="WCN5" s="713"/>
      <c r="WCO5" s="713"/>
      <c r="WCP5" s="713"/>
      <c r="WCQ5" s="713"/>
      <c r="WCR5" s="713"/>
      <c r="WCS5" s="713"/>
      <c r="WCT5" s="713"/>
      <c r="WCU5" s="713"/>
      <c r="WCV5" s="713"/>
      <c r="WCW5" s="713" t="s">
        <v>956</v>
      </c>
      <c r="WCX5" s="713"/>
      <c r="WCY5" s="713"/>
      <c r="WCZ5" s="713"/>
      <c r="WDA5" s="713"/>
      <c r="WDB5" s="713"/>
      <c r="WDC5" s="713"/>
      <c r="WDD5" s="713"/>
      <c r="WDE5" s="713"/>
      <c r="WDF5" s="713"/>
      <c r="WDG5" s="713"/>
      <c r="WDH5" s="713"/>
      <c r="WDI5" s="713"/>
      <c r="WDJ5" s="713"/>
      <c r="WDK5" s="713"/>
      <c r="WDL5" s="713"/>
      <c r="WDM5" s="713"/>
      <c r="WDN5" s="713"/>
      <c r="WDO5" s="713"/>
      <c r="WDP5" s="713"/>
      <c r="WDQ5" s="713"/>
      <c r="WDR5" s="713"/>
      <c r="WDS5" s="713"/>
      <c r="WDT5" s="713"/>
      <c r="WDU5" s="713"/>
      <c r="WDV5" s="713"/>
      <c r="WDW5" s="713"/>
      <c r="WDX5" s="713"/>
      <c r="WDY5" s="713"/>
      <c r="WDZ5" s="713"/>
      <c r="WEA5" s="713"/>
      <c r="WEB5" s="713"/>
      <c r="WEC5" s="713" t="s">
        <v>956</v>
      </c>
      <c r="WED5" s="713"/>
      <c r="WEE5" s="713"/>
      <c r="WEF5" s="713"/>
      <c r="WEG5" s="713"/>
      <c r="WEH5" s="713"/>
      <c r="WEI5" s="713"/>
      <c r="WEJ5" s="713"/>
      <c r="WEK5" s="713"/>
      <c r="WEL5" s="713"/>
      <c r="WEM5" s="713"/>
      <c r="WEN5" s="713"/>
      <c r="WEO5" s="713"/>
      <c r="WEP5" s="713"/>
      <c r="WEQ5" s="713"/>
      <c r="WER5" s="713"/>
      <c r="WES5" s="713"/>
      <c r="WET5" s="713"/>
      <c r="WEU5" s="713"/>
      <c r="WEV5" s="713"/>
      <c r="WEW5" s="713"/>
      <c r="WEX5" s="713"/>
      <c r="WEY5" s="713"/>
      <c r="WEZ5" s="713"/>
      <c r="WFA5" s="713"/>
      <c r="WFB5" s="713"/>
      <c r="WFC5" s="713"/>
      <c r="WFD5" s="713"/>
      <c r="WFE5" s="713"/>
      <c r="WFF5" s="713"/>
      <c r="WFG5" s="713"/>
      <c r="WFH5" s="713"/>
      <c r="WFI5" s="713" t="s">
        <v>956</v>
      </c>
      <c r="WFJ5" s="713"/>
      <c r="WFK5" s="713"/>
      <c r="WFL5" s="713"/>
      <c r="WFM5" s="713"/>
      <c r="WFN5" s="713"/>
      <c r="WFO5" s="713"/>
      <c r="WFP5" s="713"/>
      <c r="WFQ5" s="713"/>
      <c r="WFR5" s="713"/>
      <c r="WFS5" s="713"/>
      <c r="WFT5" s="713"/>
      <c r="WFU5" s="713"/>
      <c r="WFV5" s="713"/>
      <c r="WFW5" s="713"/>
      <c r="WFX5" s="713"/>
      <c r="WFY5" s="713"/>
      <c r="WFZ5" s="713"/>
      <c r="WGA5" s="713"/>
      <c r="WGB5" s="713"/>
      <c r="WGC5" s="713"/>
      <c r="WGD5" s="713"/>
      <c r="WGE5" s="713"/>
      <c r="WGF5" s="713"/>
      <c r="WGG5" s="713"/>
      <c r="WGH5" s="713"/>
      <c r="WGI5" s="713"/>
      <c r="WGJ5" s="713"/>
      <c r="WGK5" s="713"/>
      <c r="WGL5" s="713"/>
      <c r="WGM5" s="713"/>
      <c r="WGN5" s="713"/>
      <c r="WGO5" s="713" t="s">
        <v>956</v>
      </c>
      <c r="WGP5" s="713"/>
      <c r="WGQ5" s="713"/>
      <c r="WGR5" s="713"/>
      <c r="WGS5" s="713"/>
      <c r="WGT5" s="713"/>
      <c r="WGU5" s="713"/>
      <c r="WGV5" s="713"/>
      <c r="WGW5" s="713"/>
      <c r="WGX5" s="713"/>
      <c r="WGY5" s="713"/>
      <c r="WGZ5" s="713"/>
      <c r="WHA5" s="713"/>
      <c r="WHB5" s="713"/>
      <c r="WHC5" s="713"/>
      <c r="WHD5" s="713"/>
      <c r="WHE5" s="713"/>
      <c r="WHF5" s="713"/>
      <c r="WHG5" s="713"/>
      <c r="WHH5" s="713"/>
      <c r="WHI5" s="713"/>
      <c r="WHJ5" s="713"/>
      <c r="WHK5" s="713"/>
      <c r="WHL5" s="713"/>
      <c r="WHM5" s="713"/>
      <c r="WHN5" s="713"/>
      <c r="WHO5" s="713"/>
      <c r="WHP5" s="713"/>
      <c r="WHQ5" s="713"/>
      <c r="WHR5" s="713"/>
      <c r="WHS5" s="713"/>
      <c r="WHT5" s="713"/>
      <c r="WHU5" s="713" t="s">
        <v>956</v>
      </c>
      <c r="WHV5" s="713"/>
      <c r="WHW5" s="713"/>
      <c r="WHX5" s="713"/>
      <c r="WHY5" s="713"/>
      <c r="WHZ5" s="713"/>
      <c r="WIA5" s="713"/>
      <c r="WIB5" s="713"/>
      <c r="WIC5" s="713"/>
      <c r="WID5" s="713"/>
      <c r="WIE5" s="713"/>
      <c r="WIF5" s="713"/>
      <c r="WIG5" s="713"/>
      <c r="WIH5" s="713"/>
      <c r="WII5" s="713"/>
      <c r="WIJ5" s="713"/>
      <c r="WIK5" s="713"/>
      <c r="WIL5" s="713"/>
      <c r="WIM5" s="713"/>
      <c r="WIN5" s="713"/>
      <c r="WIO5" s="713"/>
      <c r="WIP5" s="713"/>
      <c r="WIQ5" s="713"/>
      <c r="WIR5" s="713"/>
      <c r="WIS5" s="713"/>
      <c r="WIT5" s="713"/>
      <c r="WIU5" s="713"/>
      <c r="WIV5" s="713"/>
      <c r="WIW5" s="713"/>
      <c r="WIX5" s="713"/>
      <c r="WIY5" s="713"/>
      <c r="WIZ5" s="713"/>
      <c r="WJA5" s="713" t="s">
        <v>956</v>
      </c>
      <c r="WJB5" s="713"/>
      <c r="WJC5" s="713"/>
      <c r="WJD5" s="713"/>
      <c r="WJE5" s="713"/>
      <c r="WJF5" s="713"/>
      <c r="WJG5" s="713"/>
      <c r="WJH5" s="713"/>
      <c r="WJI5" s="713"/>
      <c r="WJJ5" s="713"/>
      <c r="WJK5" s="713"/>
      <c r="WJL5" s="713"/>
      <c r="WJM5" s="713"/>
      <c r="WJN5" s="713"/>
      <c r="WJO5" s="713"/>
      <c r="WJP5" s="713"/>
      <c r="WJQ5" s="713"/>
      <c r="WJR5" s="713"/>
      <c r="WJS5" s="713"/>
      <c r="WJT5" s="713"/>
      <c r="WJU5" s="713"/>
      <c r="WJV5" s="713"/>
      <c r="WJW5" s="713"/>
      <c r="WJX5" s="713"/>
      <c r="WJY5" s="713"/>
      <c r="WJZ5" s="713"/>
      <c r="WKA5" s="713"/>
      <c r="WKB5" s="713"/>
      <c r="WKC5" s="713"/>
      <c r="WKD5" s="713"/>
      <c r="WKE5" s="713"/>
      <c r="WKF5" s="713"/>
      <c r="WKG5" s="713" t="s">
        <v>956</v>
      </c>
      <c r="WKH5" s="713"/>
      <c r="WKI5" s="713"/>
      <c r="WKJ5" s="713"/>
      <c r="WKK5" s="713"/>
      <c r="WKL5" s="713"/>
      <c r="WKM5" s="713"/>
      <c r="WKN5" s="713"/>
      <c r="WKO5" s="713"/>
      <c r="WKP5" s="713"/>
      <c r="WKQ5" s="713"/>
      <c r="WKR5" s="713"/>
      <c r="WKS5" s="713"/>
      <c r="WKT5" s="713"/>
      <c r="WKU5" s="713"/>
      <c r="WKV5" s="713"/>
      <c r="WKW5" s="713"/>
      <c r="WKX5" s="713"/>
      <c r="WKY5" s="713"/>
      <c r="WKZ5" s="713"/>
      <c r="WLA5" s="713"/>
      <c r="WLB5" s="713"/>
      <c r="WLC5" s="713"/>
      <c r="WLD5" s="713"/>
      <c r="WLE5" s="713"/>
      <c r="WLF5" s="713"/>
      <c r="WLG5" s="713"/>
      <c r="WLH5" s="713"/>
      <c r="WLI5" s="713"/>
      <c r="WLJ5" s="713"/>
      <c r="WLK5" s="713"/>
      <c r="WLL5" s="713"/>
      <c r="WLM5" s="713" t="s">
        <v>956</v>
      </c>
      <c r="WLN5" s="713"/>
      <c r="WLO5" s="713"/>
      <c r="WLP5" s="713"/>
      <c r="WLQ5" s="713"/>
      <c r="WLR5" s="713"/>
      <c r="WLS5" s="713"/>
      <c r="WLT5" s="713"/>
      <c r="WLU5" s="713"/>
      <c r="WLV5" s="713"/>
      <c r="WLW5" s="713"/>
      <c r="WLX5" s="713"/>
      <c r="WLY5" s="713"/>
      <c r="WLZ5" s="713"/>
      <c r="WMA5" s="713"/>
      <c r="WMB5" s="713"/>
      <c r="WMC5" s="713"/>
      <c r="WMD5" s="713"/>
      <c r="WME5" s="713"/>
      <c r="WMF5" s="713"/>
      <c r="WMG5" s="713"/>
      <c r="WMH5" s="713"/>
      <c r="WMI5" s="713"/>
      <c r="WMJ5" s="713"/>
      <c r="WMK5" s="713"/>
      <c r="WML5" s="713"/>
      <c r="WMM5" s="713"/>
      <c r="WMN5" s="713"/>
      <c r="WMO5" s="713"/>
      <c r="WMP5" s="713"/>
      <c r="WMQ5" s="713"/>
      <c r="WMR5" s="713"/>
      <c r="WMS5" s="713" t="s">
        <v>956</v>
      </c>
      <c r="WMT5" s="713"/>
      <c r="WMU5" s="713"/>
      <c r="WMV5" s="713"/>
      <c r="WMW5" s="713"/>
      <c r="WMX5" s="713"/>
      <c r="WMY5" s="713"/>
      <c r="WMZ5" s="713"/>
      <c r="WNA5" s="713"/>
      <c r="WNB5" s="713"/>
      <c r="WNC5" s="713"/>
      <c r="WND5" s="713"/>
      <c r="WNE5" s="713"/>
      <c r="WNF5" s="713"/>
      <c r="WNG5" s="713"/>
      <c r="WNH5" s="713"/>
      <c r="WNI5" s="713"/>
      <c r="WNJ5" s="713"/>
      <c r="WNK5" s="713"/>
      <c r="WNL5" s="713"/>
      <c r="WNM5" s="713"/>
      <c r="WNN5" s="713"/>
      <c r="WNO5" s="713"/>
      <c r="WNP5" s="713"/>
      <c r="WNQ5" s="713"/>
      <c r="WNR5" s="713"/>
      <c r="WNS5" s="713"/>
      <c r="WNT5" s="713"/>
      <c r="WNU5" s="713"/>
      <c r="WNV5" s="713"/>
      <c r="WNW5" s="713"/>
      <c r="WNX5" s="713"/>
      <c r="WNY5" s="713" t="s">
        <v>956</v>
      </c>
      <c r="WNZ5" s="713"/>
      <c r="WOA5" s="713"/>
      <c r="WOB5" s="713"/>
      <c r="WOC5" s="713"/>
      <c r="WOD5" s="713"/>
      <c r="WOE5" s="713"/>
      <c r="WOF5" s="713"/>
      <c r="WOG5" s="713"/>
      <c r="WOH5" s="713"/>
      <c r="WOI5" s="713"/>
      <c r="WOJ5" s="713"/>
      <c r="WOK5" s="713"/>
      <c r="WOL5" s="713"/>
      <c r="WOM5" s="713"/>
      <c r="WON5" s="713"/>
      <c r="WOO5" s="713"/>
      <c r="WOP5" s="713"/>
      <c r="WOQ5" s="713"/>
      <c r="WOR5" s="713"/>
      <c r="WOS5" s="713"/>
      <c r="WOT5" s="713"/>
      <c r="WOU5" s="713"/>
      <c r="WOV5" s="713"/>
      <c r="WOW5" s="713"/>
      <c r="WOX5" s="713"/>
      <c r="WOY5" s="713"/>
      <c r="WOZ5" s="713"/>
      <c r="WPA5" s="713"/>
      <c r="WPB5" s="713"/>
      <c r="WPC5" s="713"/>
      <c r="WPD5" s="713"/>
      <c r="WPE5" s="713" t="s">
        <v>956</v>
      </c>
      <c r="WPF5" s="713"/>
      <c r="WPG5" s="713"/>
      <c r="WPH5" s="713"/>
      <c r="WPI5" s="713"/>
      <c r="WPJ5" s="713"/>
      <c r="WPK5" s="713"/>
      <c r="WPL5" s="713"/>
      <c r="WPM5" s="713"/>
      <c r="WPN5" s="713"/>
      <c r="WPO5" s="713"/>
      <c r="WPP5" s="713"/>
      <c r="WPQ5" s="713"/>
      <c r="WPR5" s="713"/>
      <c r="WPS5" s="713"/>
      <c r="WPT5" s="713"/>
      <c r="WPU5" s="713"/>
      <c r="WPV5" s="713"/>
      <c r="WPW5" s="713"/>
      <c r="WPX5" s="713"/>
      <c r="WPY5" s="713"/>
      <c r="WPZ5" s="713"/>
      <c r="WQA5" s="713"/>
      <c r="WQB5" s="713"/>
      <c r="WQC5" s="713"/>
      <c r="WQD5" s="713"/>
      <c r="WQE5" s="713"/>
      <c r="WQF5" s="713"/>
      <c r="WQG5" s="713"/>
      <c r="WQH5" s="713"/>
      <c r="WQI5" s="713"/>
      <c r="WQJ5" s="713"/>
      <c r="WQK5" s="713" t="s">
        <v>956</v>
      </c>
      <c r="WQL5" s="713"/>
      <c r="WQM5" s="713"/>
      <c r="WQN5" s="713"/>
      <c r="WQO5" s="713"/>
      <c r="WQP5" s="713"/>
      <c r="WQQ5" s="713"/>
      <c r="WQR5" s="713"/>
      <c r="WQS5" s="713"/>
      <c r="WQT5" s="713"/>
      <c r="WQU5" s="713"/>
      <c r="WQV5" s="713"/>
      <c r="WQW5" s="713"/>
      <c r="WQX5" s="713"/>
      <c r="WQY5" s="713"/>
      <c r="WQZ5" s="713"/>
      <c r="WRA5" s="713"/>
      <c r="WRB5" s="713"/>
      <c r="WRC5" s="713"/>
      <c r="WRD5" s="713"/>
      <c r="WRE5" s="713"/>
      <c r="WRF5" s="713"/>
      <c r="WRG5" s="713"/>
      <c r="WRH5" s="713"/>
      <c r="WRI5" s="713"/>
      <c r="WRJ5" s="713"/>
      <c r="WRK5" s="713"/>
      <c r="WRL5" s="713"/>
      <c r="WRM5" s="713"/>
      <c r="WRN5" s="713"/>
      <c r="WRO5" s="713"/>
      <c r="WRP5" s="713"/>
      <c r="WRQ5" s="713" t="s">
        <v>956</v>
      </c>
      <c r="WRR5" s="713"/>
      <c r="WRS5" s="713"/>
      <c r="WRT5" s="713"/>
      <c r="WRU5" s="713"/>
      <c r="WRV5" s="713"/>
      <c r="WRW5" s="713"/>
      <c r="WRX5" s="713"/>
      <c r="WRY5" s="713"/>
      <c r="WRZ5" s="713"/>
      <c r="WSA5" s="713"/>
      <c r="WSB5" s="713"/>
      <c r="WSC5" s="713"/>
      <c r="WSD5" s="713"/>
      <c r="WSE5" s="713"/>
      <c r="WSF5" s="713"/>
      <c r="WSG5" s="713"/>
      <c r="WSH5" s="713"/>
      <c r="WSI5" s="713"/>
      <c r="WSJ5" s="713"/>
      <c r="WSK5" s="713"/>
      <c r="WSL5" s="713"/>
      <c r="WSM5" s="713"/>
      <c r="WSN5" s="713"/>
      <c r="WSO5" s="713"/>
      <c r="WSP5" s="713"/>
      <c r="WSQ5" s="713"/>
      <c r="WSR5" s="713"/>
      <c r="WSS5" s="713"/>
      <c r="WST5" s="713"/>
      <c r="WSU5" s="713"/>
      <c r="WSV5" s="713"/>
      <c r="WSW5" s="713" t="s">
        <v>956</v>
      </c>
      <c r="WSX5" s="713"/>
      <c r="WSY5" s="713"/>
      <c r="WSZ5" s="713"/>
      <c r="WTA5" s="713"/>
      <c r="WTB5" s="713"/>
      <c r="WTC5" s="713"/>
      <c r="WTD5" s="713"/>
      <c r="WTE5" s="713"/>
      <c r="WTF5" s="713"/>
      <c r="WTG5" s="713"/>
      <c r="WTH5" s="713"/>
      <c r="WTI5" s="713"/>
      <c r="WTJ5" s="713"/>
      <c r="WTK5" s="713"/>
      <c r="WTL5" s="713"/>
      <c r="WTM5" s="713"/>
      <c r="WTN5" s="713"/>
      <c r="WTO5" s="713"/>
      <c r="WTP5" s="713"/>
      <c r="WTQ5" s="713"/>
      <c r="WTR5" s="713"/>
      <c r="WTS5" s="713"/>
      <c r="WTT5" s="713"/>
      <c r="WTU5" s="713"/>
      <c r="WTV5" s="713"/>
      <c r="WTW5" s="713"/>
      <c r="WTX5" s="713"/>
      <c r="WTY5" s="713"/>
      <c r="WTZ5" s="713"/>
      <c r="WUA5" s="713"/>
      <c r="WUB5" s="713"/>
      <c r="WUC5" s="713" t="s">
        <v>956</v>
      </c>
      <c r="WUD5" s="713"/>
      <c r="WUE5" s="713"/>
      <c r="WUF5" s="713"/>
      <c r="WUG5" s="713"/>
      <c r="WUH5" s="713"/>
      <c r="WUI5" s="713"/>
      <c r="WUJ5" s="713"/>
      <c r="WUK5" s="713"/>
      <c r="WUL5" s="713"/>
      <c r="WUM5" s="713"/>
      <c r="WUN5" s="713"/>
      <c r="WUO5" s="713"/>
      <c r="WUP5" s="713"/>
      <c r="WUQ5" s="713"/>
      <c r="WUR5" s="713"/>
      <c r="WUS5" s="713"/>
      <c r="WUT5" s="713"/>
      <c r="WUU5" s="713"/>
      <c r="WUV5" s="713"/>
      <c r="WUW5" s="713"/>
      <c r="WUX5" s="713"/>
      <c r="WUY5" s="713"/>
      <c r="WUZ5" s="713"/>
      <c r="WVA5" s="713"/>
      <c r="WVB5" s="713"/>
      <c r="WVC5" s="713"/>
      <c r="WVD5" s="713"/>
      <c r="WVE5" s="713"/>
      <c r="WVF5" s="713"/>
      <c r="WVG5" s="713"/>
      <c r="WVH5" s="713"/>
      <c r="WVI5" s="713" t="s">
        <v>956</v>
      </c>
      <c r="WVJ5" s="713"/>
      <c r="WVK5" s="713"/>
      <c r="WVL5" s="713"/>
      <c r="WVM5" s="713"/>
      <c r="WVN5" s="713"/>
      <c r="WVO5" s="713"/>
      <c r="WVP5" s="713"/>
      <c r="WVQ5" s="713"/>
      <c r="WVR5" s="713"/>
      <c r="WVS5" s="713"/>
      <c r="WVT5" s="713"/>
      <c r="WVU5" s="713"/>
      <c r="WVV5" s="713"/>
      <c r="WVW5" s="713"/>
      <c r="WVX5" s="713"/>
      <c r="WVY5" s="713"/>
      <c r="WVZ5" s="713"/>
      <c r="WWA5" s="713"/>
      <c r="WWB5" s="713"/>
      <c r="WWC5" s="713"/>
      <c r="WWD5" s="713"/>
      <c r="WWE5" s="713"/>
      <c r="WWF5" s="713"/>
      <c r="WWG5" s="713"/>
      <c r="WWH5" s="713"/>
      <c r="WWI5" s="713"/>
      <c r="WWJ5" s="713"/>
      <c r="WWK5" s="713"/>
      <c r="WWL5" s="713"/>
      <c r="WWM5" s="713"/>
      <c r="WWN5" s="713"/>
      <c r="WWO5" s="713" t="s">
        <v>956</v>
      </c>
      <c r="WWP5" s="713"/>
      <c r="WWQ5" s="713"/>
      <c r="WWR5" s="713"/>
      <c r="WWS5" s="713"/>
      <c r="WWT5" s="713"/>
      <c r="WWU5" s="713"/>
      <c r="WWV5" s="713"/>
      <c r="WWW5" s="713"/>
      <c r="WWX5" s="713"/>
      <c r="WWY5" s="713"/>
      <c r="WWZ5" s="713"/>
      <c r="WXA5" s="713"/>
      <c r="WXB5" s="713"/>
      <c r="WXC5" s="713"/>
      <c r="WXD5" s="713"/>
      <c r="WXE5" s="713"/>
      <c r="WXF5" s="713"/>
      <c r="WXG5" s="713"/>
      <c r="WXH5" s="713"/>
      <c r="WXI5" s="713"/>
      <c r="WXJ5" s="713"/>
      <c r="WXK5" s="713"/>
      <c r="WXL5" s="713"/>
      <c r="WXM5" s="713"/>
      <c r="WXN5" s="713"/>
      <c r="WXO5" s="713"/>
      <c r="WXP5" s="713"/>
      <c r="WXQ5" s="713"/>
      <c r="WXR5" s="713"/>
      <c r="WXS5" s="713"/>
      <c r="WXT5" s="713"/>
      <c r="WXU5" s="713" t="s">
        <v>956</v>
      </c>
      <c r="WXV5" s="713"/>
      <c r="WXW5" s="713"/>
      <c r="WXX5" s="713"/>
      <c r="WXY5" s="713"/>
      <c r="WXZ5" s="713"/>
      <c r="WYA5" s="713"/>
      <c r="WYB5" s="713"/>
      <c r="WYC5" s="713"/>
      <c r="WYD5" s="713"/>
      <c r="WYE5" s="713"/>
      <c r="WYF5" s="713"/>
      <c r="WYG5" s="713"/>
      <c r="WYH5" s="713"/>
      <c r="WYI5" s="713"/>
      <c r="WYJ5" s="713"/>
      <c r="WYK5" s="713"/>
      <c r="WYL5" s="713"/>
      <c r="WYM5" s="713"/>
      <c r="WYN5" s="713"/>
      <c r="WYO5" s="713"/>
      <c r="WYP5" s="713"/>
      <c r="WYQ5" s="713"/>
      <c r="WYR5" s="713"/>
      <c r="WYS5" s="713"/>
      <c r="WYT5" s="713"/>
      <c r="WYU5" s="713"/>
      <c r="WYV5" s="713"/>
      <c r="WYW5" s="713"/>
      <c r="WYX5" s="713"/>
      <c r="WYY5" s="713"/>
      <c r="WYZ5" s="713"/>
      <c r="WZA5" s="713" t="s">
        <v>956</v>
      </c>
      <c r="WZB5" s="713"/>
      <c r="WZC5" s="713"/>
      <c r="WZD5" s="713"/>
      <c r="WZE5" s="713"/>
      <c r="WZF5" s="713"/>
      <c r="WZG5" s="713"/>
      <c r="WZH5" s="713"/>
      <c r="WZI5" s="713"/>
      <c r="WZJ5" s="713"/>
      <c r="WZK5" s="713"/>
      <c r="WZL5" s="713"/>
      <c r="WZM5" s="713"/>
      <c r="WZN5" s="713"/>
      <c r="WZO5" s="713"/>
      <c r="WZP5" s="713"/>
      <c r="WZQ5" s="713"/>
      <c r="WZR5" s="713"/>
      <c r="WZS5" s="713"/>
      <c r="WZT5" s="713"/>
      <c r="WZU5" s="713"/>
      <c r="WZV5" s="713"/>
      <c r="WZW5" s="713"/>
      <c r="WZX5" s="713"/>
      <c r="WZY5" s="713"/>
      <c r="WZZ5" s="713"/>
      <c r="XAA5" s="713"/>
      <c r="XAB5" s="713"/>
      <c r="XAC5" s="713"/>
      <c r="XAD5" s="713"/>
      <c r="XAE5" s="713"/>
      <c r="XAF5" s="713"/>
      <c r="XAG5" s="713" t="s">
        <v>956</v>
      </c>
      <c r="XAH5" s="713"/>
      <c r="XAI5" s="713"/>
      <c r="XAJ5" s="713"/>
      <c r="XAK5" s="713"/>
      <c r="XAL5" s="713"/>
      <c r="XAM5" s="713"/>
      <c r="XAN5" s="713"/>
      <c r="XAO5" s="713"/>
      <c r="XAP5" s="713"/>
      <c r="XAQ5" s="713"/>
      <c r="XAR5" s="713"/>
      <c r="XAS5" s="713"/>
      <c r="XAT5" s="713"/>
      <c r="XAU5" s="713"/>
      <c r="XAV5" s="713"/>
      <c r="XAW5" s="713"/>
      <c r="XAX5" s="713"/>
      <c r="XAY5" s="713"/>
      <c r="XAZ5" s="713"/>
      <c r="XBA5" s="713"/>
      <c r="XBB5" s="713"/>
      <c r="XBC5" s="713"/>
      <c r="XBD5" s="713"/>
      <c r="XBE5" s="713"/>
      <c r="XBF5" s="713"/>
      <c r="XBG5" s="713"/>
      <c r="XBH5" s="713"/>
      <c r="XBI5" s="713"/>
      <c r="XBJ5" s="713"/>
      <c r="XBK5" s="713"/>
      <c r="XBL5" s="713"/>
      <c r="XBM5" s="713" t="s">
        <v>956</v>
      </c>
      <c r="XBN5" s="713"/>
      <c r="XBO5" s="713"/>
      <c r="XBP5" s="713"/>
      <c r="XBQ5" s="713"/>
      <c r="XBR5" s="713"/>
      <c r="XBS5" s="713"/>
      <c r="XBT5" s="713"/>
      <c r="XBU5" s="713"/>
      <c r="XBV5" s="713"/>
      <c r="XBW5" s="713"/>
      <c r="XBX5" s="713"/>
      <c r="XBY5" s="713"/>
      <c r="XBZ5" s="713"/>
      <c r="XCA5" s="713"/>
      <c r="XCB5" s="713"/>
      <c r="XCC5" s="713"/>
      <c r="XCD5" s="713"/>
      <c r="XCE5" s="713"/>
      <c r="XCF5" s="713"/>
      <c r="XCG5" s="713"/>
      <c r="XCH5" s="713"/>
      <c r="XCI5" s="713"/>
      <c r="XCJ5" s="713"/>
      <c r="XCK5" s="713"/>
      <c r="XCL5" s="713"/>
      <c r="XCM5" s="713"/>
      <c r="XCN5" s="713"/>
      <c r="XCO5" s="713"/>
      <c r="XCP5" s="713"/>
      <c r="XCQ5" s="713"/>
      <c r="XCR5" s="713"/>
      <c r="XCS5" s="713" t="s">
        <v>956</v>
      </c>
      <c r="XCT5" s="713"/>
      <c r="XCU5" s="713"/>
      <c r="XCV5" s="713"/>
      <c r="XCW5" s="713"/>
      <c r="XCX5" s="713"/>
      <c r="XCY5" s="713"/>
      <c r="XCZ5" s="713"/>
      <c r="XDA5" s="713"/>
      <c r="XDB5" s="713"/>
      <c r="XDC5" s="713"/>
      <c r="XDD5" s="713"/>
      <c r="XDE5" s="713"/>
      <c r="XDF5" s="713"/>
      <c r="XDG5" s="713"/>
      <c r="XDH5" s="713"/>
      <c r="XDI5" s="713"/>
      <c r="XDJ5" s="713"/>
      <c r="XDK5" s="713"/>
      <c r="XDL5" s="713"/>
      <c r="XDM5" s="713"/>
      <c r="XDN5" s="713"/>
      <c r="XDO5" s="713"/>
      <c r="XDP5" s="713"/>
      <c r="XDQ5" s="713"/>
      <c r="XDR5" s="713"/>
      <c r="XDS5" s="713"/>
      <c r="XDT5" s="713"/>
      <c r="XDU5" s="713"/>
      <c r="XDV5" s="713"/>
      <c r="XDW5" s="713"/>
      <c r="XDX5" s="713"/>
      <c r="XDY5" s="713" t="s">
        <v>956</v>
      </c>
      <c r="XDZ5" s="713"/>
      <c r="XEA5" s="713"/>
      <c r="XEB5" s="713"/>
      <c r="XEC5" s="713"/>
      <c r="XED5" s="713"/>
      <c r="XEE5" s="713"/>
      <c r="XEF5" s="713"/>
      <c r="XEG5" s="713"/>
      <c r="XEH5" s="713"/>
      <c r="XEI5" s="713"/>
      <c r="XEJ5" s="713"/>
      <c r="XEK5" s="713"/>
      <c r="XEL5" s="713"/>
      <c r="XEM5" s="713"/>
      <c r="XEN5" s="713"/>
      <c r="XEO5" s="713"/>
      <c r="XEP5" s="713"/>
      <c r="XEQ5" s="713"/>
      <c r="XER5" s="713"/>
      <c r="XES5" s="713"/>
      <c r="XET5" s="713"/>
      <c r="XEU5" s="713"/>
      <c r="XEV5" s="713"/>
      <c r="XEW5" s="713"/>
      <c r="XEX5" s="713"/>
      <c r="XEY5" s="713"/>
      <c r="XEZ5" s="713"/>
      <c r="XFA5" s="713"/>
      <c r="XFB5" s="713"/>
      <c r="XFC5" s="713"/>
      <c r="XFD5" s="713"/>
    </row>
    <row r="6" spans="1:16384" s="663" customFormat="1" ht="13.8" x14ac:dyDescent="0.3"/>
    <row r="7" spans="1:16384" ht="13.8" x14ac:dyDescent="0.3">
      <c r="A7" s="114" t="s">
        <v>12</v>
      </c>
      <c r="B7" s="548" t="s">
        <v>785</v>
      </c>
      <c r="C7" s="7"/>
      <c r="F7" s="24"/>
      <c r="G7" s="18"/>
    </row>
    <row r="8" spans="1:16384" ht="13.8" x14ac:dyDescent="0.3">
      <c r="A8" s="91" t="s">
        <v>14</v>
      </c>
      <c r="B8" s="55" t="s">
        <v>655</v>
      </c>
      <c r="C8" s="40" t="s">
        <v>15</v>
      </c>
      <c r="F8" s="24"/>
      <c r="G8" s="18"/>
    </row>
    <row r="9" spans="1:16384" ht="13.8" x14ac:dyDescent="0.3">
      <c r="A9" s="46" t="s">
        <v>16</v>
      </c>
      <c r="B9" s="22"/>
      <c r="C9" s="22">
        <v>2021</v>
      </c>
      <c r="D9" s="22">
        <v>2022</v>
      </c>
      <c r="E9" s="22">
        <v>2023</v>
      </c>
      <c r="F9" s="24"/>
      <c r="G9" s="18"/>
    </row>
    <row r="10" spans="1:16384" ht="13.8" x14ac:dyDescent="0.3">
      <c r="A10" s="46" t="s">
        <v>17</v>
      </c>
      <c r="B10" s="23"/>
      <c r="C10" s="23">
        <v>170</v>
      </c>
      <c r="D10" s="23">
        <v>170</v>
      </c>
      <c r="E10" s="23">
        <v>264</v>
      </c>
      <c r="F10" s="24"/>
      <c r="G10" s="18"/>
    </row>
    <row r="11" spans="1:16384" ht="13.8" x14ac:dyDescent="0.3">
      <c r="A11" s="46" t="s">
        <v>18</v>
      </c>
      <c r="B11" s="23"/>
      <c r="C11" s="23"/>
      <c r="D11" s="23">
        <f>D10+0.05*C10</f>
        <v>178.5</v>
      </c>
      <c r="E11" s="23"/>
      <c r="F11" s="24"/>
      <c r="G11" s="18"/>
    </row>
    <row r="12" spans="1:16384" ht="13.8" x14ac:dyDescent="0.3">
      <c r="A12" s="46" t="s">
        <v>19</v>
      </c>
      <c r="B12" s="115"/>
      <c r="C12" s="116"/>
      <c r="D12" s="116" t="s">
        <v>786</v>
      </c>
      <c r="E12" s="116"/>
      <c r="F12" s="24"/>
      <c r="G12" s="18"/>
    </row>
    <row r="13" spans="1:16384" ht="13.8" x14ac:dyDescent="0.3">
      <c r="A13" s="46" t="s">
        <v>20</v>
      </c>
      <c r="B13" s="23"/>
      <c r="C13" s="23">
        <v>148.4</v>
      </c>
      <c r="D13" s="23">
        <v>177.5</v>
      </c>
      <c r="E13" s="23"/>
      <c r="F13" s="24"/>
      <c r="G13" s="18"/>
    </row>
    <row r="14" spans="1:16384" ht="13.8" x14ac:dyDescent="0.3">
      <c r="A14" s="46" t="s">
        <v>21</v>
      </c>
      <c r="B14" s="23"/>
      <c r="C14" s="23">
        <f>C10-C13</f>
        <v>21.599999999999994</v>
      </c>
      <c r="D14" s="23">
        <f>D11-D13</f>
        <v>1</v>
      </c>
      <c r="E14" s="23"/>
      <c r="F14" s="24"/>
      <c r="G14" s="18"/>
    </row>
    <row r="15" spans="1:16384" ht="13.8" x14ac:dyDescent="0.3">
      <c r="A15" s="49" t="s">
        <v>22</v>
      </c>
      <c r="B15" s="36"/>
      <c r="C15" s="36">
        <v>2022</v>
      </c>
      <c r="D15" s="36"/>
      <c r="E15" s="36"/>
      <c r="F15" s="24"/>
      <c r="G15" s="18"/>
    </row>
    <row r="16" spans="1:16384" ht="13.8" x14ac:dyDescent="0.3">
      <c r="A16" s="49" t="s">
        <v>23</v>
      </c>
      <c r="B16" s="30"/>
      <c r="C16" s="30"/>
      <c r="D16" s="30"/>
      <c r="E16" s="31"/>
      <c r="F16" s="24"/>
      <c r="G16" s="18"/>
    </row>
    <row r="17" spans="1:12" ht="31.95" customHeight="1" x14ac:dyDescent="0.3">
      <c r="A17" s="738" t="s">
        <v>787</v>
      </c>
      <c r="B17" s="739"/>
      <c r="C17" s="739"/>
      <c r="D17" s="739"/>
      <c r="E17" s="748"/>
      <c r="F17" s="24"/>
      <c r="G17" s="18"/>
    </row>
    <row r="18" spans="1:12" ht="13.8" x14ac:dyDescent="0.3">
      <c r="A18" s="24"/>
      <c r="B18" s="18"/>
      <c r="C18" s="18"/>
      <c r="D18" s="18"/>
      <c r="E18" s="18"/>
      <c r="F18" s="24"/>
      <c r="G18" s="18"/>
    </row>
    <row r="19" spans="1:12" ht="13.8" x14ac:dyDescent="0.3">
      <c r="A19" s="24"/>
      <c r="B19" s="18"/>
      <c r="C19" s="18"/>
      <c r="D19" s="18"/>
      <c r="E19" s="18"/>
      <c r="F19" s="24"/>
      <c r="G19" s="18"/>
    </row>
    <row r="20" spans="1:12" x14ac:dyDescent="0.25">
      <c r="A20" s="556" t="s">
        <v>12</v>
      </c>
      <c r="B20" s="550" t="s">
        <v>202</v>
      </c>
      <c r="C20" s="252"/>
      <c r="D20" s="221"/>
      <c r="E20" s="221"/>
      <c r="F20" s="221"/>
      <c r="G20" s="221"/>
      <c r="H20" s="221"/>
      <c r="I20" s="221"/>
      <c r="J20" s="221"/>
      <c r="K20" s="221"/>
      <c r="L20" s="221"/>
    </row>
    <row r="21" spans="1:12" x14ac:dyDescent="0.25">
      <c r="A21" s="260" t="s">
        <v>14</v>
      </c>
      <c r="B21" s="274" t="s">
        <v>637</v>
      </c>
      <c r="C21" s="262" t="s">
        <v>15</v>
      </c>
      <c r="D21" s="221"/>
      <c r="E21" s="221"/>
      <c r="F21" s="221"/>
      <c r="G21" s="221"/>
      <c r="H21" s="221"/>
      <c r="I21" s="221"/>
      <c r="J21" s="221"/>
      <c r="K21" s="221"/>
      <c r="L21" s="221"/>
    </row>
    <row r="22" spans="1:12" x14ac:dyDescent="0.25">
      <c r="A22" s="263" t="s">
        <v>16</v>
      </c>
      <c r="B22" s="226"/>
      <c r="C22" s="226">
        <v>2019</v>
      </c>
      <c r="D22" s="226">
        <v>2020</v>
      </c>
      <c r="E22" s="226">
        <v>2021</v>
      </c>
      <c r="F22" s="226">
        <v>2022</v>
      </c>
      <c r="G22" s="226">
        <v>2023</v>
      </c>
      <c r="H22" s="221"/>
      <c r="I22" s="221"/>
      <c r="J22" s="221"/>
      <c r="K22" s="221"/>
      <c r="L22" s="221"/>
    </row>
    <row r="23" spans="1:12" x14ac:dyDescent="0.25">
      <c r="A23" s="263" t="s">
        <v>17</v>
      </c>
      <c r="B23" s="215"/>
      <c r="C23" s="215">
        <v>215</v>
      </c>
      <c r="D23" s="215">
        <v>215</v>
      </c>
      <c r="E23" s="215">
        <v>242</v>
      </c>
      <c r="F23" s="215">
        <v>242</v>
      </c>
      <c r="G23" s="215">
        <v>242</v>
      </c>
      <c r="H23" s="221"/>
      <c r="I23" s="221"/>
      <c r="J23" s="221"/>
      <c r="K23" s="221"/>
      <c r="L23" s="221"/>
    </row>
    <row r="24" spans="1:12" x14ac:dyDescent="0.25">
      <c r="A24" s="263" t="s">
        <v>18</v>
      </c>
      <c r="B24" s="215"/>
      <c r="C24" s="215">
        <v>265</v>
      </c>
      <c r="D24" s="215">
        <v>265</v>
      </c>
      <c r="E24" s="215">
        <f>E23+0.25*C23</f>
        <v>295.75</v>
      </c>
      <c r="F24" s="215">
        <f>F23+0.25*D23</f>
        <v>295.75</v>
      </c>
      <c r="G24" s="215">
        <f>G23+0.25*E23</f>
        <v>302.5</v>
      </c>
      <c r="H24" s="221"/>
      <c r="I24" s="221"/>
      <c r="J24" s="221"/>
      <c r="K24" s="221"/>
      <c r="L24" s="221"/>
    </row>
    <row r="25" spans="1:12" x14ac:dyDescent="0.25">
      <c r="A25" s="263" t="s">
        <v>19</v>
      </c>
      <c r="B25" s="214"/>
      <c r="C25" s="568">
        <v>1</v>
      </c>
      <c r="D25" s="568">
        <v>2</v>
      </c>
      <c r="E25" s="568">
        <v>3</v>
      </c>
      <c r="F25" s="568">
        <v>4</v>
      </c>
      <c r="G25" s="568">
        <v>5</v>
      </c>
      <c r="H25" s="221"/>
      <c r="I25" s="221"/>
      <c r="J25" s="221"/>
      <c r="K25" s="221"/>
      <c r="L25" s="221"/>
    </row>
    <row r="26" spans="1:12" x14ac:dyDescent="0.25">
      <c r="A26" s="263" t="s">
        <v>20</v>
      </c>
      <c r="B26" s="215"/>
      <c r="C26" s="215">
        <v>7.12</v>
      </c>
      <c r="D26" s="215">
        <v>10.18</v>
      </c>
      <c r="E26" s="215">
        <v>12.5</v>
      </c>
      <c r="F26" s="215">
        <v>11.74</v>
      </c>
      <c r="G26" s="215"/>
      <c r="H26" s="221"/>
      <c r="I26" s="221"/>
      <c r="J26" s="221"/>
      <c r="K26" s="221"/>
      <c r="L26" s="221"/>
    </row>
    <row r="27" spans="1:12" x14ac:dyDescent="0.25">
      <c r="A27" s="263" t="s">
        <v>21</v>
      </c>
      <c r="B27" s="215"/>
      <c r="C27" s="215">
        <f>C24-C26</f>
        <v>257.88</v>
      </c>
      <c r="D27" s="215">
        <f>D24-D26</f>
        <v>254.82</v>
      </c>
      <c r="E27" s="215">
        <f>E24-E26</f>
        <v>283.25</v>
      </c>
      <c r="F27" s="215">
        <f>F24-F26</f>
        <v>284.01</v>
      </c>
      <c r="G27" s="215"/>
      <c r="H27" s="221"/>
      <c r="I27" s="221"/>
      <c r="J27" s="221"/>
      <c r="K27" s="221"/>
      <c r="L27" s="221"/>
    </row>
    <row r="28" spans="1:12" x14ac:dyDescent="0.25">
      <c r="A28" s="218" t="s">
        <v>22</v>
      </c>
      <c r="B28" s="227"/>
      <c r="C28" s="227">
        <v>2021</v>
      </c>
      <c r="D28" s="227">
        <v>2022</v>
      </c>
      <c r="E28" s="227">
        <v>2023</v>
      </c>
      <c r="F28" s="227">
        <v>2024</v>
      </c>
      <c r="G28" s="227">
        <v>2025</v>
      </c>
      <c r="H28" s="221"/>
      <c r="I28" s="221"/>
      <c r="J28" s="221"/>
      <c r="K28" s="221"/>
      <c r="L28" s="221"/>
    </row>
    <row r="29" spans="1:12" x14ac:dyDescent="0.25">
      <c r="A29" s="218" t="s">
        <v>23</v>
      </c>
      <c r="B29" s="219"/>
      <c r="C29" s="219"/>
      <c r="D29" s="219"/>
      <c r="E29" s="219"/>
      <c r="F29" s="219"/>
      <c r="G29" s="217"/>
      <c r="H29" s="221"/>
      <c r="I29" s="221"/>
      <c r="J29" s="221"/>
      <c r="K29" s="221"/>
      <c r="L29" s="221"/>
    </row>
    <row r="30" spans="1:12" x14ac:dyDescent="0.25">
      <c r="A30" s="220" t="s">
        <v>788</v>
      </c>
      <c r="B30" s="221"/>
      <c r="C30" s="221"/>
      <c r="D30" s="221"/>
      <c r="E30" s="221"/>
      <c r="F30" s="221"/>
      <c r="G30" s="222"/>
      <c r="H30" s="221"/>
      <c r="I30" s="221"/>
      <c r="J30" s="221"/>
      <c r="K30" s="221"/>
      <c r="L30" s="221"/>
    </row>
    <row r="31" spans="1:12" x14ac:dyDescent="0.25">
      <c r="A31" s="218">
        <v>1</v>
      </c>
      <c r="B31" s="219" t="s">
        <v>789</v>
      </c>
      <c r="C31" s="219"/>
      <c r="D31" s="219"/>
      <c r="E31" s="219"/>
      <c r="F31" s="219"/>
      <c r="G31" s="217"/>
      <c r="H31" s="221"/>
      <c r="I31" s="221"/>
      <c r="J31" s="221"/>
      <c r="K31" s="221"/>
      <c r="L31" s="221"/>
    </row>
    <row r="32" spans="1:12" x14ac:dyDescent="0.25">
      <c r="A32" s="220">
        <v>2</v>
      </c>
      <c r="B32" s="221" t="s">
        <v>790</v>
      </c>
      <c r="C32" s="221"/>
      <c r="D32" s="221"/>
      <c r="E32" s="221"/>
      <c r="F32" s="221"/>
      <c r="G32" s="222"/>
      <c r="H32" s="221"/>
      <c r="I32" s="221"/>
      <c r="J32" s="221"/>
      <c r="K32" s="221"/>
      <c r="L32" s="221"/>
    </row>
    <row r="33" spans="1:12" x14ac:dyDescent="0.25">
      <c r="A33" s="220">
        <v>3</v>
      </c>
      <c r="B33" s="221" t="s">
        <v>791</v>
      </c>
      <c r="C33" s="221"/>
      <c r="D33" s="221"/>
      <c r="E33" s="221"/>
      <c r="F33" s="221"/>
      <c r="G33" s="222"/>
      <c r="H33" s="221"/>
      <c r="I33" s="221"/>
      <c r="J33" s="221"/>
      <c r="K33" s="221"/>
      <c r="L33" s="221"/>
    </row>
    <row r="34" spans="1:12" x14ac:dyDescent="0.25">
      <c r="A34" s="220">
        <v>4</v>
      </c>
      <c r="B34" s="221" t="s">
        <v>792</v>
      </c>
      <c r="C34" s="221"/>
      <c r="D34" s="221"/>
      <c r="E34" s="221"/>
      <c r="F34" s="221"/>
      <c r="G34" s="222"/>
      <c r="H34" s="221"/>
      <c r="I34" s="221"/>
      <c r="J34" s="221"/>
      <c r="K34" s="221"/>
      <c r="L34" s="221"/>
    </row>
    <row r="35" spans="1:12" x14ac:dyDescent="0.25">
      <c r="A35" s="211">
        <v>5</v>
      </c>
      <c r="B35" s="223" t="s">
        <v>793</v>
      </c>
      <c r="C35" s="223"/>
      <c r="D35" s="223"/>
      <c r="E35" s="223"/>
      <c r="F35" s="223"/>
      <c r="G35" s="224"/>
      <c r="H35" s="221"/>
      <c r="I35" s="221"/>
      <c r="J35" s="221"/>
      <c r="K35" s="221"/>
      <c r="L35" s="221"/>
    </row>
    <row r="36" spans="1:12" x14ac:dyDescent="0.25">
      <c r="A36" s="221"/>
      <c r="B36" s="221"/>
      <c r="C36" s="221"/>
      <c r="D36" s="221"/>
      <c r="E36" s="221"/>
      <c r="F36" s="221"/>
      <c r="G36" s="221"/>
      <c r="H36" s="221"/>
      <c r="I36" s="221"/>
      <c r="J36" s="221"/>
      <c r="K36" s="221"/>
      <c r="L36" s="221"/>
    </row>
    <row r="37" spans="1:12" x14ac:dyDescent="0.25">
      <c r="A37" s="260" t="s">
        <v>14</v>
      </c>
      <c r="B37" s="274" t="s">
        <v>636</v>
      </c>
      <c r="C37" s="262" t="s">
        <v>15</v>
      </c>
      <c r="D37" s="221"/>
      <c r="E37" s="221"/>
      <c r="F37" s="221"/>
      <c r="G37" s="221"/>
      <c r="H37" s="221"/>
      <c r="I37" s="221"/>
      <c r="J37" s="221"/>
      <c r="K37" s="221"/>
      <c r="L37" s="221"/>
    </row>
    <row r="38" spans="1:12" x14ac:dyDescent="0.25">
      <c r="A38" s="263" t="s">
        <v>16</v>
      </c>
      <c r="B38" s="226">
        <v>2018</v>
      </c>
      <c r="C38" s="226">
        <v>2019</v>
      </c>
      <c r="D38" s="226">
        <v>2020</v>
      </c>
      <c r="E38" s="226">
        <v>2021</v>
      </c>
      <c r="F38" s="226">
        <v>2022</v>
      </c>
      <c r="G38" s="226">
        <v>2023</v>
      </c>
      <c r="H38" s="221"/>
      <c r="I38" s="221"/>
      <c r="J38" s="221"/>
      <c r="K38" s="221"/>
      <c r="L38" s="221"/>
    </row>
    <row r="39" spans="1:12" x14ac:dyDescent="0.25">
      <c r="A39" s="263" t="s">
        <v>17</v>
      </c>
      <c r="B39" s="215">
        <v>45</v>
      </c>
      <c r="C39" s="215">
        <v>45</v>
      </c>
      <c r="D39" s="215">
        <v>45</v>
      </c>
      <c r="E39" s="215">
        <v>45</v>
      </c>
      <c r="F39" s="215">
        <v>45</v>
      </c>
      <c r="G39" s="215">
        <v>45</v>
      </c>
      <c r="H39" s="221"/>
      <c r="I39" s="221"/>
      <c r="J39" s="221"/>
      <c r="K39" s="221"/>
      <c r="L39" s="221"/>
    </row>
    <row r="40" spans="1:12" x14ac:dyDescent="0.25">
      <c r="A40" s="263" t="s">
        <v>18</v>
      </c>
      <c r="B40" s="215">
        <v>63</v>
      </c>
      <c r="C40" s="215">
        <v>63</v>
      </c>
      <c r="D40" s="215">
        <v>63</v>
      </c>
      <c r="E40" s="215">
        <v>63</v>
      </c>
      <c r="F40" s="215">
        <v>63</v>
      </c>
      <c r="G40" s="215">
        <v>63</v>
      </c>
      <c r="H40" s="221"/>
      <c r="I40" s="221"/>
      <c r="J40" s="221"/>
      <c r="K40" s="221"/>
      <c r="L40" s="221"/>
    </row>
    <row r="41" spans="1:12" x14ac:dyDescent="0.25">
      <c r="A41" s="263" t="s">
        <v>19</v>
      </c>
      <c r="B41" s="226" t="s">
        <v>301</v>
      </c>
      <c r="C41" s="226" t="s">
        <v>301</v>
      </c>
      <c r="D41" s="226" t="s">
        <v>301</v>
      </c>
      <c r="E41" s="226" t="s">
        <v>301</v>
      </c>
      <c r="F41" s="226" t="s">
        <v>301</v>
      </c>
      <c r="G41" s="226" t="s">
        <v>301</v>
      </c>
      <c r="H41" s="221"/>
      <c r="I41" s="221"/>
      <c r="J41" s="221"/>
      <c r="K41" s="221"/>
      <c r="L41" s="221"/>
    </row>
    <row r="42" spans="1:12" x14ac:dyDescent="0.25">
      <c r="A42" s="263" t="s">
        <v>20</v>
      </c>
      <c r="B42" s="215">
        <v>18.100000000000001</v>
      </c>
      <c r="C42" s="215">
        <v>9.9499999999999993</v>
      </c>
      <c r="D42" s="215">
        <v>11.79</v>
      </c>
      <c r="E42" s="215">
        <v>13.29</v>
      </c>
      <c r="F42" s="215">
        <v>8.1999999999999993</v>
      </c>
      <c r="G42" s="215"/>
      <c r="H42" s="221"/>
      <c r="I42" s="221"/>
      <c r="J42" s="221"/>
      <c r="K42" s="221"/>
      <c r="L42" s="221"/>
    </row>
    <row r="43" spans="1:12" x14ac:dyDescent="0.25">
      <c r="A43" s="263" t="s">
        <v>21</v>
      </c>
      <c r="B43" s="215">
        <f>B40-B42</f>
        <v>44.9</v>
      </c>
      <c r="C43" s="215">
        <f>C40-C42</f>
        <v>53.05</v>
      </c>
      <c r="D43" s="215">
        <f>D40-D42</f>
        <v>51.21</v>
      </c>
      <c r="E43" s="215">
        <f>E40-E42</f>
        <v>49.71</v>
      </c>
      <c r="F43" s="215">
        <f>F40-F42</f>
        <v>54.8</v>
      </c>
      <c r="G43" s="215"/>
      <c r="H43" s="221"/>
      <c r="I43" s="221"/>
      <c r="J43" s="221"/>
      <c r="K43" s="221"/>
      <c r="L43" s="221"/>
    </row>
    <row r="44" spans="1:12" x14ac:dyDescent="0.25">
      <c r="A44" s="218" t="s">
        <v>22</v>
      </c>
      <c r="B44" s="227">
        <v>2020</v>
      </c>
      <c r="C44" s="227">
        <v>2021</v>
      </c>
      <c r="D44" s="227">
        <v>2022</v>
      </c>
      <c r="E44" s="227">
        <v>2023</v>
      </c>
      <c r="F44" s="227">
        <v>2024</v>
      </c>
      <c r="G44" s="227">
        <v>2025</v>
      </c>
      <c r="H44" s="221"/>
      <c r="I44" s="221"/>
      <c r="J44" s="221"/>
      <c r="K44" s="221"/>
      <c r="L44" s="221"/>
    </row>
    <row r="45" spans="1:12" x14ac:dyDescent="0.25">
      <c r="A45" s="218" t="s">
        <v>154</v>
      </c>
      <c r="B45" s="219"/>
      <c r="C45" s="219"/>
      <c r="D45" s="219"/>
      <c r="E45" s="217"/>
      <c r="F45" s="217"/>
      <c r="G45" s="217"/>
      <c r="H45" s="221"/>
      <c r="I45" s="221"/>
      <c r="J45" s="221"/>
      <c r="K45" s="221"/>
      <c r="L45" s="221"/>
    </row>
    <row r="46" spans="1:12" x14ac:dyDescent="0.25">
      <c r="A46" s="211" t="s">
        <v>794</v>
      </c>
      <c r="B46" s="223"/>
      <c r="C46" s="223"/>
      <c r="D46" s="223"/>
      <c r="E46" s="224"/>
      <c r="F46" s="224"/>
      <c r="G46" s="224"/>
      <c r="H46" s="221"/>
      <c r="I46" s="221"/>
      <c r="J46" s="221"/>
      <c r="K46" s="221"/>
      <c r="L46" s="221"/>
    </row>
    <row r="47" spans="1:12" x14ac:dyDescent="0.25">
      <c r="A47" s="221"/>
      <c r="B47" s="221"/>
      <c r="C47" s="221"/>
      <c r="D47" s="221"/>
      <c r="E47" s="221"/>
      <c r="F47" s="221"/>
      <c r="G47" s="221"/>
      <c r="H47" s="221"/>
      <c r="I47" s="221"/>
      <c r="J47" s="221"/>
      <c r="K47" s="221"/>
      <c r="L47" s="221"/>
    </row>
    <row r="48" spans="1:12" s="672" customFormat="1" ht="14.4" x14ac:dyDescent="0.3">
      <c r="A48" s="671" t="s">
        <v>14</v>
      </c>
      <c r="B48" s="671" t="s">
        <v>74</v>
      </c>
      <c r="C48" s="684" t="s">
        <v>15</v>
      </c>
      <c r="D48" s="670"/>
      <c r="E48" s="670"/>
      <c r="F48" s="670"/>
      <c r="G48" s="670"/>
      <c r="H48" s="670"/>
      <c r="I48" s="670"/>
      <c r="J48" s="670"/>
      <c r="K48" s="670"/>
      <c r="L48" s="670"/>
    </row>
    <row r="49" spans="1:12" s="672" customFormat="1" ht="14.4" x14ac:dyDescent="0.3">
      <c r="A49" s="673" t="s">
        <v>16</v>
      </c>
      <c r="B49" s="673">
        <v>2013</v>
      </c>
      <c r="C49" s="674">
        <v>2014</v>
      </c>
      <c r="D49" s="675">
        <v>2015</v>
      </c>
      <c r="E49" s="674">
        <v>2016</v>
      </c>
      <c r="F49" s="675">
        <v>2017</v>
      </c>
      <c r="G49" s="674">
        <v>2018</v>
      </c>
      <c r="H49" s="675">
        <v>2019</v>
      </c>
      <c r="I49" s="674">
        <v>2020</v>
      </c>
      <c r="J49" s="675">
        <v>2021</v>
      </c>
      <c r="K49" s="675">
        <v>2022</v>
      </c>
      <c r="L49" s="675">
        <v>2023</v>
      </c>
    </row>
    <row r="50" spans="1:12" s="672" customFormat="1" ht="14.4" x14ac:dyDescent="0.3">
      <c r="A50" s="673" t="s">
        <v>17</v>
      </c>
      <c r="B50" s="673">
        <v>10</v>
      </c>
      <c r="C50" s="674">
        <v>10</v>
      </c>
      <c r="D50" s="674">
        <v>10</v>
      </c>
      <c r="E50" s="674">
        <v>10</v>
      </c>
      <c r="F50" s="674">
        <v>10</v>
      </c>
      <c r="G50" s="674">
        <v>10</v>
      </c>
      <c r="H50" s="674">
        <v>10</v>
      </c>
      <c r="I50" s="674">
        <v>10</v>
      </c>
      <c r="J50" s="674">
        <v>10</v>
      </c>
      <c r="K50" s="674">
        <v>10</v>
      </c>
      <c r="L50" s="674">
        <v>10</v>
      </c>
    </row>
    <row r="51" spans="1:12" s="672" customFormat="1" ht="14.4" x14ac:dyDescent="0.3">
      <c r="A51" s="673" t="s">
        <v>18</v>
      </c>
      <c r="B51" s="673"/>
      <c r="C51" s="674"/>
      <c r="D51" s="674">
        <f>D50+B54</f>
        <v>8.98</v>
      </c>
      <c r="E51" s="683">
        <f>E50+C54</f>
        <v>8.41</v>
      </c>
      <c r="F51" s="683">
        <f t="shared" ref="F51:J51" si="0">F50+D54</f>
        <v>-14.739999999999998</v>
      </c>
      <c r="G51" s="683">
        <f t="shared" si="0"/>
        <v>7.2100000000000009</v>
      </c>
      <c r="H51" s="683">
        <f t="shared" si="0"/>
        <v>-28.769999999999996</v>
      </c>
      <c r="I51" s="683">
        <f t="shared" si="0"/>
        <v>3.66</v>
      </c>
      <c r="J51" s="683">
        <f t="shared" si="0"/>
        <v>-32.25</v>
      </c>
      <c r="K51" s="683">
        <f>K50+(1.25*I54)</f>
        <v>-12.337500000000002</v>
      </c>
      <c r="L51" s="683">
        <f>L50+(1.25*J54)</f>
        <v>-45.600000000000009</v>
      </c>
    </row>
    <row r="52" spans="1:12" s="672" customFormat="1" ht="14.4" x14ac:dyDescent="0.3">
      <c r="A52" s="673" t="s">
        <v>19</v>
      </c>
      <c r="B52" s="673"/>
      <c r="C52" s="674"/>
      <c r="D52" s="674">
        <v>1</v>
      </c>
      <c r="E52" s="674">
        <v>2</v>
      </c>
      <c r="F52" s="674">
        <v>3</v>
      </c>
      <c r="G52" s="674">
        <v>4</v>
      </c>
      <c r="H52" s="674">
        <v>5</v>
      </c>
      <c r="I52" s="674">
        <v>6</v>
      </c>
      <c r="J52" s="674">
        <v>7</v>
      </c>
      <c r="K52" s="674">
        <v>8</v>
      </c>
      <c r="L52" s="674">
        <v>9</v>
      </c>
    </row>
    <row r="53" spans="1:12" s="672" customFormat="1" ht="14.4" x14ac:dyDescent="0.3">
      <c r="A53" s="673" t="s">
        <v>20</v>
      </c>
      <c r="B53" s="673">
        <v>11.02</v>
      </c>
      <c r="C53" s="674">
        <v>11.59</v>
      </c>
      <c r="D53" s="676">
        <v>33.72</v>
      </c>
      <c r="E53" s="676">
        <v>11.2</v>
      </c>
      <c r="F53" s="676">
        <v>24.03</v>
      </c>
      <c r="G53" s="676">
        <v>13.55</v>
      </c>
      <c r="H53" s="676">
        <v>13.48</v>
      </c>
      <c r="I53" s="676">
        <v>21.53</v>
      </c>
      <c r="J53" s="676">
        <v>12.23</v>
      </c>
      <c r="K53" s="676">
        <v>9.5</v>
      </c>
      <c r="L53" s="675"/>
    </row>
    <row r="54" spans="1:12" s="672" customFormat="1" ht="14.4" x14ac:dyDescent="0.3">
      <c r="A54" s="673" t="s">
        <v>21</v>
      </c>
      <c r="B54" s="673">
        <f>B50-B53</f>
        <v>-1.0199999999999996</v>
      </c>
      <c r="C54" s="673">
        <f>C50-C53</f>
        <v>-1.5899999999999999</v>
      </c>
      <c r="D54" s="673">
        <f>D51-D53</f>
        <v>-24.74</v>
      </c>
      <c r="E54" s="45">
        <f>E51-E53</f>
        <v>-2.7899999999999991</v>
      </c>
      <c r="F54" s="45">
        <f t="shared" ref="F54:K54" si="1">F51-F53</f>
        <v>-38.769999999999996</v>
      </c>
      <c r="G54" s="45">
        <f t="shared" si="1"/>
        <v>-6.34</v>
      </c>
      <c r="H54" s="45">
        <f t="shared" si="1"/>
        <v>-42.25</v>
      </c>
      <c r="I54" s="45">
        <f t="shared" si="1"/>
        <v>-17.87</v>
      </c>
      <c r="J54" s="45">
        <f t="shared" si="1"/>
        <v>-44.480000000000004</v>
      </c>
      <c r="K54" s="45">
        <f t="shared" si="1"/>
        <v>-21.837500000000002</v>
      </c>
      <c r="L54" s="673"/>
    </row>
    <row r="55" spans="1:12" s="672" customFormat="1" ht="14.4" x14ac:dyDescent="0.3">
      <c r="A55" s="673" t="s">
        <v>22</v>
      </c>
      <c r="B55" s="673">
        <v>2015</v>
      </c>
      <c r="C55" s="674">
        <v>2016</v>
      </c>
      <c r="D55" s="673">
        <v>2017</v>
      </c>
      <c r="E55" s="674">
        <v>2018</v>
      </c>
      <c r="F55" s="673">
        <v>2019</v>
      </c>
      <c r="G55" s="674">
        <v>2020</v>
      </c>
      <c r="H55" s="673">
        <v>2021</v>
      </c>
      <c r="I55" s="674">
        <v>2022</v>
      </c>
      <c r="J55" s="673">
        <v>2023</v>
      </c>
      <c r="K55" s="674">
        <v>2024</v>
      </c>
      <c r="L55" s="673">
        <v>2025</v>
      </c>
    </row>
    <row r="56" spans="1:12" s="672" customFormat="1" ht="14.4" x14ac:dyDescent="0.3">
      <c r="A56" s="639">
        <v>1</v>
      </c>
      <c r="B56" s="677" t="s">
        <v>969</v>
      </c>
      <c r="C56" s="678"/>
      <c r="D56" s="641"/>
      <c r="E56" s="678"/>
      <c r="F56" s="641"/>
      <c r="G56" s="678"/>
      <c r="H56" s="641"/>
      <c r="I56" s="678"/>
      <c r="J56" s="641"/>
      <c r="K56" s="678"/>
      <c r="L56" s="613"/>
    </row>
    <row r="57" spans="1:12" s="672" customFormat="1" ht="14.4" x14ac:dyDescent="0.3">
      <c r="A57" s="679">
        <v>2</v>
      </c>
      <c r="B57" s="680" t="s">
        <v>970</v>
      </c>
      <c r="D57" s="634"/>
      <c r="F57" s="634"/>
      <c r="H57" s="634"/>
      <c r="J57" s="634"/>
      <c r="L57" s="611"/>
    </row>
    <row r="58" spans="1:12" s="672" customFormat="1" ht="14.4" x14ac:dyDescent="0.3">
      <c r="A58" s="203">
        <v>3</v>
      </c>
      <c r="B58" s="680" t="s">
        <v>971</v>
      </c>
      <c r="D58" s="634"/>
      <c r="F58" s="634"/>
      <c r="H58" s="634"/>
      <c r="J58" s="634"/>
      <c r="L58" s="611"/>
    </row>
    <row r="59" spans="1:12" s="672" customFormat="1" ht="14.4" x14ac:dyDescent="0.3">
      <c r="A59" s="679">
        <v>4</v>
      </c>
      <c r="B59" s="680" t="s">
        <v>972</v>
      </c>
      <c r="D59" s="634"/>
      <c r="F59" s="634"/>
      <c r="H59" s="634"/>
      <c r="J59" s="634"/>
      <c r="L59" s="611"/>
    </row>
    <row r="60" spans="1:12" s="672" customFormat="1" ht="14.4" x14ac:dyDescent="0.3">
      <c r="A60" s="203">
        <v>5</v>
      </c>
      <c r="B60" s="680" t="s">
        <v>973</v>
      </c>
      <c r="D60" s="634"/>
      <c r="F60" s="634"/>
      <c r="H60" s="634"/>
      <c r="J60" s="634"/>
      <c r="L60" s="611"/>
    </row>
    <row r="61" spans="1:12" s="672" customFormat="1" ht="14.4" x14ac:dyDescent="0.3">
      <c r="A61" s="679">
        <v>6</v>
      </c>
      <c r="B61" s="680" t="s">
        <v>974</v>
      </c>
      <c r="D61" s="634"/>
      <c r="F61" s="634"/>
      <c r="H61" s="634"/>
      <c r="J61" s="634"/>
      <c r="L61" s="611"/>
    </row>
    <row r="62" spans="1:12" s="672" customFormat="1" ht="14.4" x14ac:dyDescent="0.3">
      <c r="A62" s="203">
        <v>7</v>
      </c>
      <c r="B62" s="680" t="s">
        <v>975</v>
      </c>
      <c r="D62" s="634"/>
      <c r="F62" s="634"/>
      <c r="H62" s="634"/>
      <c r="J62" s="634"/>
      <c r="L62" s="611"/>
    </row>
    <row r="63" spans="1:12" s="672" customFormat="1" ht="14.4" x14ac:dyDescent="0.3">
      <c r="A63" s="679">
        <v>8</v>
      </c>
      <c r="B63" s="680" t="s">
        <v>976</v>
      </c>
      <c r="D63" s="634"/>
      <c r="F63" s="634"/>
      <c r="H63" s="634"/>
      <c r="J63" s="634"/>
      <c r="L63" s="611"/>
    </row>
    <row r="64" spans="1:12" s="672" customFormat="1" ht="14.4" x14ac:dyDescent="0.3">
      <c r="A64" s="197">
        <v>9</v>
      </c>
      <c r="B64" s="681" t="s">
        <v>977</v>
      </c>
      <c r="C64" s="682"/>
      <c r="D64" s="645"/>
      <c r="E64" s="682"/>
      <c r="F64" s="645"/>
      <c r="G64" s="682"/>
      <c r="H64" s="645"/>
      <c r="I64" s="682"/>
      <c r="J64" s="645"/>
      <c r="K64" s="682"/>
      <c r="L64" s="659"/>
    </row>
    <row r="65" spans="1:12" x14ac:dyDescent="0.25">
      <c r="A65" s="221"/>
      <c r="B65" s="634"/>
      <c r="C65" s="221"/>
      <c r="D65" s="221"/>
      <c r="E65" s="221"/>
      <c r="F65" s="221"/>
      <c r="G65" s="221"/>
      <c r="H65" s="221"/>
      <c r="I65" s="221"/>
      <c r="J65" s="221"/>
      <c r="K65" s="221"/>
      <c r="L65" s="221"/>
    </row>
    <row r="66" spans="1:12" s="672" customFormat="1" ht="14.4" x14ac:dyDescent="0.3">
      <c r="A66" s="671" t="s">
        <v>14</v>
      </c>
      <c r="B66" s="671" t="s">
        <v>79</v>
      </c>
      <c r="C66" s="671" t="s">
        <v>15</v>
      </c>
    </row>
    <row r="67" spans="1:12" s="672" customFormat="1" ht="14.4" x14ac:dyDescent="0.3">
      <c r="A67" s="673" t="s">
        <v>16</v>
      </c>
      <c r="B67" s="674">
        <v>2013</v>
      </c>
      <c r="C67" s="674">
        <v>2014</v>
      </c>
      <c r="D67" s="674">
        <v>2015</v>
      </c>
      <c r="E67" s="674">
        <v>2016</v>
      </c>
      <c r="F67" s="674">
        <v>2017</v>
      </c>
      <c r="G67" s="674">
        <v>2018</v>
      </c>
      <c r="H67" s="674">
        <v>2019</v>
      </c>
      <c r="I67" s="674">
        <v>2020</v>
      </c>
      <c r="J67" s="674">
        <v>2021</v>
      </c>
      <c r="K67" s="674">
        <v>2022</v>
      </c>
      <c r="L67" s="674">
        <v>2023</v>
      </c>
    </row>
    <row r="68" spans="1:12" s="672" customFormat="1" ht="14.4" x14ac:dyDescent="0.3">
      <c r="A68" s="673" t="s">
        <v>17</v>
      </c>
      <c r="B68" s="674">
        <v>10</v>
      </c>
      <c r="C68" s="674">
        <v>10</v>
      </c>
      <c r="D68" s="674">
        <v>10</v>
      </c>
      <c r="E68" s="674">
        <v>10</v>
      </c>
      <c r="F68" s="674">
        <v>10</v>
      </c>
      <c r="G68" s="674">
        <v>10</v>
      </c>
      <c r="H68" s="674">
        <v>10</v>
      </c>
      <c r="I68" s="674">
        <v>10</v>
      </c>
      <c r="J68" s="674">
        <v>10</v>
      </c>
      <c r="K68" s="674">
        <v>10</v>
      </c>
      <c r="L68" s="674">
        <v>10</v>
      </c>
    </row>
    <row r="69" spans="1:12" s="672" customFormat="1" ht="14.4" x14ac:dyDescent="0.3">
      <c r="A69" s="673" t="s">
        <v>18</v>
      </c>
      <c r="B69" s="674"/>
      <c r="C69" s="674"/>
      <c r="D69" s="674">
        <f>D68+0.2*B68</f>
        <v>12</v>
      </c>
      <c r="E69" s="683">
        <f>E68+0.2*C68</f>
        <v>12</v>
      </c>
      <c r="F69" s="683">
        <f>F68+0.2*D68</f>
        <v>12</v>
      </c>
      <c r="G69" s="683">
        <f>G68+E72</f>
        <v>7.77</v>
      </c>
      <c r="H69" s="683">
        <f t="shared" ref="H69:I69" si="2">H68+F72</f>
        <v>4.6000000000000014</v>
      </c>
      <c r="I69" s="683">
        <f t="shared" si="2"/>
        <v>0.26999999999999957</v>
      </c>
      <c r="J69" s="683">
        <f>J68+H72</f>
        <v>3.0400000000000009</v>
      </c>
      <c r="K69" s="685">
        <f t="shared" ref="K69:L69" si="3">K68+(1.25*I72)</f>
        <v>-7.6125000000000007</v>
      </c>
      <c r="L69" s="683">
        <f t="shared" si="3"/>
        <v>1.3000000000000007</v>
      </c>
    </row>
    <row r="70" spans="1:12" s="672" customFormat="1" ht="14.4" x14ac:dyDescent="0.3">
      <c r="A70" s="673" t="s">
        <v>19</v>
      </c>
      <c r="B70" s="674"/>
      <c r="C70" s="674"/>
      <c r="D70" s="674">
        <v>1</v>
      </c>
      <c r="E70" s="674">
        <v>2</v>
      </c>
      <c r="F70" s="674">
        <v>3</v>
      </c>
      <c r="G70" s="674">
        <v>4</v>
      </c>
      <c r="H70" s="674">
        <v>5</v>
      </c>
      <c r="I70" s="674">
        <v>6</v>
      </c>
      <c r="J70" s="674">
        <v>7</v>
      </c>
      <c r="K70" s="674">
        <v>8</v>
      </c>
      <c r="L70" s="674">
        <v>9</v>
      </c>
    </row>
    <row r="71" spans="1:12" s="672" customFormat="1" ht="14.4" x14ac:dyDescent="0.3">
      <c r="A71" s="673" t="s">
        <v>20</v>
      </c>
      <c r="B71" s="674">
        <v>5.51</v>
      </c>
      <c r="C71" s="674">
        <v>6.24</v>
      </c>
      <c r="D71" s="673">
        <v>9.6999999999999993</v>
      </c>
      <c r="E71" s="673">
        <v>14.23</v>
      </c>
      <c r="F71" s="673">
        <v>17.399999999999999</v>
      </c>
      <c r="G71" s="45">
        <v>17.5</v>
      </c>
      <c r="H71" s="45">
        <v>11.56</v>
      </c>
      <c r="I71" s="45">
        <v>14.36</v>
      </c>
      <c r="J71" s="45">
        <v>10</v>
      </c>
      <c r="K71" s="45">
        <v>9.6999999999999993</v>
      </c>
      <c r="L71" s="674"/>
    </row>
    <row r="72" spans="1:12" s="672" customFormat="1" ht="14.4" x14ac:dyDescent="0.3">
      <c r="A72" s="673" t="s">
        <v>21</v>
      </c>
      <c r="B72" s="674">
        <f>B68-B71</f>
        <v>4.49</v>
      </c>
      <c r="C72" s="674">
        <f t="shared" ref="C72" si="4">C68-C71</f>
        <v>3.76</v>
      </c>
      <c r="D72" s="674">
        <f>D69-D71</f>
        <v>2.3000000000000007</v>
      </c>
      <c r="E72" s="674">
        <f t="shared" ref="E72:J72" si="5">E69-E71</f>
        <v>-2.2300000000000004</v>
      </c>
      <c r="F72" s="674">
        <f t="shared" si="5"/>
        <v>-5.3999999999999986</v>
      </c>
      <c r="G72" s="674">
        <f t="shared" si="5"/>
        <v>-9.73</v>
      </c>
      <c r="H72" s="674">
        <f t="shared" si="5"/>
        <v>-6.9599999999999991</v>
      </c>
      <c r="I72" s="674">
        <f t="shared" si="5"/>
        <v>-14.09</v>
      </c>
      <c r="J72" s="674">
        <f t="shared" si="5"/>
        <v>-6.9599999999999991</v>
      </c>
      <c r="K72" s="683">
        <f>K69-K71</f>
        <v>-17.3125</v>
      </c>
      <c r="L72" s="674"/>
    </row>
    <row r="73" spans="1:12" s="672" customFormat="1" ht="14.4" x14ac:dyDescent="0.3">
      <c r="A73" s="673" t="s">
        <v>22</v>
      </c>
      <c r="B73" s="674">
        <v>2015</v>
      </c>
      <c r="C73" s="674">
        <v>2016</v>
      </c>
      <c r="D73" s="674">
        <v>2017</v>
      </c>
      <c r="E73" s="674">
        <v>2018</v>
      </c>
      <c r="F73" s="674">
        <v>2019</v>
      </c>
      <c r="G73" s="674">
        <v>2020</v>
      </c>
      <c r="H73" s="674">
        <v>2021</v>
      </c>
      <c r="I73" s="674">
        <v>2022</v>
      </c>
      <c r="J73" s="674">
        <v>2023</v>
      </c>
      <c r="K73" s="674">
        <v>2024</v>
      </c>
      <c r="L73" s="674">
        <v>2025</v>
      </c>
    </row>
    <row r="74" spans="1:12" s="672" customFormat="1" ht="14.4" x14ac:dyDescent="0.3">
      <c r="A74" s="686">
        <v>1</v>
      </c>
      <c r="B74" s="677" t="s">
        <v>978</v>
      </c>
      <c r="C74" s="678"/>
      <c r="D74" s="678"/>
      <c r="E74" s="678"/>
      <c r="F74" s="678"/>
      <c r="G74" s="678"/>
      <c r="H74" s="678"/>
      <c r="I74" s="678"/>
      <c r="J74" s="678"/>
      <c r="K74" s="678"/>
      <c r="L74" s="687"/>
    </row>
    <row r="75" spans="1:12" s="672" customFormat="1" ht="14.4" x14ac:dyDescent="0.3">
      <c r="A75" s="688">
        <v>2</v>
      </c>
      <c r="B75" s="680" t="s">
        <v>979</v>
      </c>
      <c r="L75" s="689"/>
    </row>
    <row r="76" spans="1:12" s="672" customFormat="1" ht="14.4" x14ac:dyDescent="0.3">
      <c r="A76" s="688">
        <v>3</v>
      </c>
      <c r="B76" s="680" t="s">
        <v>980</v>
      </c>
      <c r="L76" s="689"/>
    </row>
    <row r="77" spans="1:12" s="672" customFormat="1" ht="14.4" x14ac:dyDescent="0.3">
      <c r="A77" s="688">
        <v>4</v>
      </c>
      <c r="B77" s="680" t="s">
        <v>972</v>
      </c>
      <c r="L77" s="689"/>
    </row>
    <row r="78" spans="1:12" s="672" customFormat="1" ht="14.4" x14ac:dyDescent="0.3">
      <c r="A78" s="688">
        <v>5</v>
      </c>
      <c r="B78" s="680" t="s">
        <v>973</v>
      </c>
      <c r="L78" s="689"/>
    </row>
    <row r="79" spans="1:12" s="672" customFormat="1" ht="14.4" x14ac:dyDescent="0.3">
      <c r="A79" s="688">
        <v>6</v>
      </c>
      <c r="B79" s="680" t="s">
        <v>974</v>
      </c>
      <c r="L79" s="689"/>
    </row>
    <row r="80" spans="1:12" s="672" customFormat="1" ht="14.4" x14ac:dyDescent="0.3">
      <c r="A80" s="688">
        <v>7</v>
      </c>
      <c r="B80" s="680" t="s">
        <v>975</v>
      </c>
      <c r="L80" s="689"/>
    </row>
    <row r="81" spans="1:12" s="672" customFormat="1" ht="14.4" x14ac:dyDescent="0.3">
      <c r="A81" s="688">
        <v>8</v>
      </c>
      <c r="B81" s="680" t="s">
        <v>976</v>
      </c>
      <c r="L81" s="689"/>
    </row>
    <row r="82" spans="1:12" s="672" customFormat="1" ht="14.4" x14ac:dyDescent="0.3">
      <c r="A82" s="690">
        <v>9</v>
      </c>
      <c r="B82" s="681" t="s">
        <v>977</v>
      </c>
      <c r="C82" s="682"/>
      <c r="D82" s="682"/>
      <c r="E82" s="682"/>
      <c r="F82" s="682"/>
      <c r="G82" s="682"/>
      <c r="H82" s="682"/>
      <c r="I82" s="682"/>
      <c r="J82" s="682"/>
      <c r="K82" s="682"/>
      <c r="L82" s="691"/>
    </row>
    <row r="83" spans="1:12" x14ac:dyDescent="0.25">
      <c r="A83" s="221"/>
      <c r="B83" s="634"/>
      <c r="C83" s="221"/>
      <c r="D83" s="221"/>
      <c r="E83" s="221"/>
      <c r="F83" s="221"/>
      <c r="G83" s="221"/>
      <c r="H83" s="221"/>
      <c r="I83" s="221"/>
      <c r="J83" s="221"/>
      <c r="K83" s="221"/>
      <c r="L83" s="221"/>
    </row>
    <row r="84" spans="1:12" x14ac:dyDescent="0.25">
      <c r="A84" s="221"/>
      <c r="B84" s="221"/>
      <c r="C84" s="221"/>
      <c r="D84" s="221"/>
      <c r="E84" s="221"/>
      <c r="F84" s="221"/>
      <c r="G84" s="221"/>
      <c r="H84" s="221"/>
      <c r="I84" s="221"/>
      <c r="J84" s="221"/>
      <c r="K84" s="221"/>
      <c r="L84" s="221"/>
    </row>
    <row r="85" spans="1:12" x14ac:dyDescent="0.25">
      <c r="A85" s="221"/>
      <c r="B85" s="221"/>
      <c r="C85" s="221"/>
      <c r="D85" s="221"/>
      <c r="E85" s="221"/>
      <c r="F85" s="221"/>
      <c r="G85" s="221"/>
      <c r="H85" s="221"/>
      <c r="I85" s="221"/>
      <c r="J85" s="221"/>
      <c r="K85" s="221"/>
      <c r="L85" s="221"/>
    </row>
    <row r="86" spans="1:12" x14ac:dyDescent="0.25">
      <c r="A86" s="570" t="s">
        <v>12</v>
      </c>
      <c r="B86" s="551" t="s">
        <v>166</v>
      </c>
      <c r="C86" s="252"/>
      <c r="D86" s="252"/>
      <c r="E86" s="252"/>
      <c r="F86" s="252"/>
      <c r="G86" s="221"/>
      <c r="H86" s="221"/>
      <c r="I86" s="221"/>
      <c r="J86" s="221"/>
      <c r="K86" s="221"/>
      <c r="L86" s="221"/>
    </row>
    <row r="87" spans="1:12" x14ac:dyDescent="0.25">
      <c r="A87" s="571" t="s">
        <v>14</v>
      </c>
      <c r="B87" s="250" t="s">
        <v>637</v>
      </c>
      <c r="C87" s="251" t="s">
        <v>15</v>
      </c>
      <c r="D87" s="252"/>
      <c r="E87" s="252"/>
      <c r="F87" s="252"/>
      <c r="G87" s="221"/>
      <c r="H87" s="221"/>
      <c r="I87" s="221"/>
      <c r="J87" s="221"/>
      <c r="K87" s="221"/>
      <c r="L87" s="221"/>
    </row>
    <row r="88" spans="1:12" x14ac:dyDescent="0.25">
      <c r="A88" s="253" t="s">
        <v>16</v>
      </c>
      <c r="B88" s="324"/>
      <c r="C88" s="254">
        <v>2017</v>
      </c>
      <c r="D88" s="251">
        <v>2018</v>
      </c>
      <c r="E88" s="251">
        <v>2019</v>
      </c>
      <c r="F88" s="251">
        <v>2020</v>
      </c>
      <c r="G88" s="251">
        <v>2021</v>
      </c>
      <c r="H88" s="251">
        <v>2022</v>
      </c>
      <c r="I88" s="251">
        <v>2023</v>
      </c>
      <c r="J88" s="572"/>
      <c r="K88" s="221"/>
      <c r="L88" s="221"/>
    </row>
    <row r="89" spans="1:12" x14ac:dyDescent="0.25">
      <c r="A89" s="253" t="s">
        <v>17</v>
      </c>
      <c r="B89" s="324"/>
      <c r="C89" s="573">
        <v>200</v>
      </c>
      <c r="D89" s="325">
        <v>200</v>
      </c>
      <c r="E89" s="325">
        <v>215</v>
      </c>
      <c r="F89" s="325">
        <v>215</v>
      </c>
      <c r="G89" s="325">
        <v>242</v>
      </c>
      <c r="H89" s="325">
        <v>242</v>
      </c>
      <c r="I89" s="325">
        <v>242</v>
      </c>
      <c r="J89" s="574"/>
      <c r="K89" s="221"/>
      <c r="L89" s="221"/>
    </row>
    <row r="90" spans="1:12" x14ac:dyDescent="0.25">
      <c r="A90" s="253" t="s">
        <v>18</v>
      </c>
      <c r="B90" s="324"/>
      <c r="C90" s="573">
        <v>450</v>
      </c>
      <c r="D90" s="325">
        <v>450</v>
      </c>
      <c r="E90" s="325">
        <f>E89+C93+200</f>
        <v>416.56</v>
      </c>
      <c r="F90" s="325">
        <v>465</v>
      </c>
      <c r="G90" s="325">
        <f>G89+0.25*E89+200</f>
        <v>495.75</v>
      </c>
      <c r="H90" s="325">
        <f>H89+0.25*F89+200</f>
        <v>495.75</v>
      </c>
      <c r="I90" s="325">
        <f>I89+0.25*G89+200</f>
        <v>502.5</v>
      </c>
      <c r="J90" s="574"/>
      <c r="K90" s="221"/>
      <c r="L90" s="221"/>
    </row>
    <row r="91" spans="1:12" x14ac:dyDescent="0.25">
      <c r="A91" s="253" t="s">
        <v>19</v>
      </c>
      <c r="B91" s="324"/>
      <c r="C91" s="573"/>
      <c r="D91" s="325"/>
      <c r="E91" s="749" t="s">
        <v>167</v>
      </c>
      <c r="F91" s="750"/>
      <c r="G91" s="750"/>
      <c r="H91" s="750"/>
      <c r="I91" s="751"/>
      <c r="J91" s="574"/>
      <c r="K91" s="221"/>
      <c r="L91" s="221"/>
    </row>
    <row r="92" spans="1:12" x14ac:dyDescent="0.25">
      <c r="A92" s="253" t="s">
        <v>20</v>
      </c>
      <c r="B92" s="324"/>
      <c r="C92" s="325">
        <v>448.44</v>
      </c>
      <c r="D92" s="325">
        <v>385.14</v>
      </c>
      <c r="E92" s="325">
        <v>216.09</v>
      </c>
      <c r="F92" s="325">
        <v>326.05</v>
      </c>
      <c r="G92" s="325">
        <v>200.65</v>
      </c>
      <c r="H92" s="201">
        <v>214.33</v>
      </c>
      <c r="I92" s="325"/>
      <c r="J92" s="574"/>
      <c r="K92" s="221"/>
      <c r="L92" s="221"/>
    </row>
    <row r="93" spans="1:12" x14ac:dyDescent="0.25">
      <c r="A93" s="253" t="s">
        <v>21</v>
      </c>
      <c r="B93" s="324"/>
      <c r="C93" s="325">
        <f t="shared" ref="C93:H93" si="6">C90-C92</f>
        <v>1.5600000000000023</v>
      </c>
      <c r="D93" s="325">
        <f t="shared" si="6"/>
        <v>64.860000000000014</v>
      </c>
      <c r="E93" s="325">
        <f t="shared" si="6"/>
        <v>200.47</v>
      </c>
      <c r="F93" s="325">
        <f t="shared" si="6"/>
        <v>138.94999999999999</v>
      </c>
      <c r="G93" s="325">
        <f t="shared" si="6"/>
        <v>295.10000000000002</v>
      </c>
      <c r="H93" s="201">
        <f t="shared" si="6"/>
        <v>281.41999999999996</v>
      </c>
      <c r="I93" s="325"/>
      <c r="J93" s="574"/>
      <c r="K93" s="221"/>
      <c r="L93" s="221"/>
    </row>
    <row r="94" spans="1:12" x14ac:dyDescent="0.25">
      <c r="A94" s="256" t="s">
        <v>22</v>
      </c>
      <c r="B94" s="257"/>
      <c r="C94" s="258">
        <v>2019</v>
      </c>
      <c r="D94" s="257">
        <v>2020</v>
      </c>
      <c r="E94" s="257">
        <v>2021</v>
      </c>
      <c r="F94" s="257">
        <v>2022</v>
      </c>
      <c r="G94" s="257">
        <v>2023</v>
      </c>
      <c r="H94" s="257">
        <v>2024</v>
      </c>
      <c r="I94" s="257">
        <v>2025</v>
      </c>
      <c r="J94" s="252"/>
      <c r="K94" s="221"/>
      <c r="L94" s="221"/>
    </row>
    <row r="95" spans="1:12" x14ac:dyDescent="0.25">
      <c r="A95" s="755" t="s">
        <v>206</v>
      </c>
      <c r="B95" s="756"/>
      <c r="C95" s="756"/>
      <c r="D95" s="756"/>
      <c r="E95" s="756"/>
      <c r="F95" s="756"/>
      <c r="G95" s="507"/>
      <c r="H95" s="507"/>
      <c r="I95" s="232"/>
      <c r="J95" s="221"/>
      <c r="K95" s="221"/>
      <c r="L95" s="221"/>
    </row>
    <row r="96" spans="1:12" x14ac:dyDescent="0.25">
      <c r="A96" s="757" t="s">
        <v>374</v>
      </c>
      <c r="B96" s="758"/>
      <c r="C96" s="758"/>
      <c r="D96" s="758"/>
      <c r="E96" s="758"/>
      <c r="F96" s="758"/>
      <c r="G96" s="219"/>
      <c r="H96" s="219"/>
      <c r="I96" s="217"/>
      <c r="J96" s="221"/>
      <c r="K96" s="221"/>
      <c r="L96" s="221"/>
    </row>
    <row r="97" spans="1:12" x14ac:dyDescent="0.25">
      <c r="A97" s="575" t="s">
        <v>250</v>
      </c>
      <c r="B97" s="576"/>
      <c r="C97" s="576"/>
      <c r="D97" s="577"/>
      <c r="E97" s="577"/>
      <c r="F97" s="577"/>
      <c r="G97" s="221"/>
      <c r="H97" s="221"/>
      <c r="I97" s="222"/>
      <c r="J97" s="221"/>
      <c r="K97" s="221"/>
      <c r="L97" s="221"/>
    </row>
    <row r="98" spans="1:12" x14ac:dyDescent="0.25">
      <c r="A98" s="575" t="s">
        <v>576</v>
      </c>
      <c r="B98" s="576"/>
      <c r="C98" s="576"/>
      <c r="D98" s="577"/>
      <c r="E98" s="577"/>
      <c r="F98" s="577"/>
      <c r="G98" s="221"/>
      <c r="H98" s="221"/>
      <c r="I98" s="222"/>
      <c r="J98" s="221"/>
      <c r="K98" s="221"/>
      <c r="L98" s="221"/>
    </row>
    <row r="99" spans="1:12" x14ac:dyDescent="0.25">
      <c r="A99" s="575" t="s">
        <v>416</v>
      </c>
      <c r="B99" s="576"/>
      <c r="C99" s="576"/>
      <c r="D99" s="577"/>
      <c r="E99" s="577"/>
      <c r="F99" s="577"/>
      <c r="G99" s="221"/>
      <c r="H99" s="221"/>
      <c r="I99" s="222"/>
      <c r="J99" s="221"/>
      <c r="K99" s="221"/>
      <c r="L99" s="221"/>
    </row>
    <row r="100" spans="1:12" x14ac:dyDescent="0.25">
      <c r="A100" s="242" t="s">
        <v>581</v>
      </c>
      <c r="B100" s="576"/>
      <c r="C100" s="576"/>
      <c r="D100" s="577"/>
      <c r="E100" s="577"/>
      <c r="F100" s="577"/>
      <c r="G100" s="221"/>
      <c r="H100" s="221"/>
      <c r="I100" s="222"/>
      <c r="J100" s="221"/>
      <c r="K100" s="221"/>
      <c r="L100" s="221"/>
    </row>
    <row r="101" spans="1:12" x14ac:dyDescent="0.25">
      <c r="A101" s="242" t="s">
        <v>689</v>
      </c>
      <c r="B101" s="576"/>
      <c r="C101" s="576"/>
      <c r="D101" s="577"/>
      <c r="E101" s="577"/>
      <c r="F101" s="577"/>
      <c r="G101" s="221"/>
      <c r="H101" s="221"/>
      <c r="I101" s="222"/>
      <c r="J101" s="221"/>
      <c r="K101" s="221"/>
      <c r="L101" s="221"/>
    </row>
    <row r="102" spans="1:12" x14ac:dyDescent="0.25">
      <c r="A102" s="242" t="s">
        <v>688</v>
      </c>
      <c r="B102" s="234"/>
      <c r="C102" s="234"/>
      <c r="D102" s="234"/>
      <c r="E102" s="234"/>
      <c r="F102" s="234"/>
      <c r="G102" s="221"/>
      <c r="H102" s="221"/>
      <c r="I102" s="222"/>
      <c r="J102" s="221"/>
      <c r="K102" s="221"/>
      <c r="L102" s="221"/>
    </row>
    <row r="103" spans="1:12" x14ac:dyDescent="0.25">
      <c r="A103" s="302" t="s">
        <v>795</v>
      </c>
      <c r="B103" s="403"/>
      <c r="C103" s="403"/>
      <c r="D103" s="403"/>
      <c r="E103" s="403"/>
      <c r="F103" s="403"/>
      <c r="G103" s="223"/>
      <c r="H103" s="223"/>
      <c r="I103" s="224"/>
      <c r="J103" s="221"/>
      <c r="K103" s="221"/>
      <c r="L103" s="221"/>
    </row>
    <row r="104" spans="1:12" x14ac:dyDescent="0.25">
      <c r="A104" s="221"/>
      <c r="B104" s="221"/>
      <c r="C104" s="221"/>
      <c r="D104" s="221"/>
      <c r="E104" s="221"/>
      <c r="F104" s="221"/>
      <c r="G104" s="221"/>
      <c r="H104" s="221"/>
      <c r="I104" s="221"/>
      <c r="J104" s="221"/>
      <c r="K104" s="221"/>
      <c r="L104" s="221"/>
    </row>
    <row r="105" spans="1:12" x14ac:dyDescent="0.25">
      <c r="A105" s="571" t="s">
        <v>14</v>
      </c>
      <c r="B105" s="250" t="s">
        <v>651</v>
      </c>
      <c r="C105" s="251" t="s">
        <v>15</v>
      </c>
      <c r="D105" s="252"/>
      <c r="E105" s="252"/>
      <c r="F105" s="252"/>
      <c r="G105" s="221"/>
      <c r="H105" s="221"/>
      <c r="I105" s="221"/>
      <c r="J105" s="221"/>
      <c r="K105" s="221"/>
      <c r="L105" s="221"/>
    </row>
    <row r="106" spans="1:12" x14ac:dyDescent="0.25">
      <c r="A106" s="578" t="s">
        <v>16</v>
      </c>
      <c r="B106" s="324"/>
      <c r="C106" s="251">
        <v>2017</v>
      </c>
      <c r="D106" s="251">
        <v>2018</v>
      </c>
      <c r="E106" s="251">
        <v>2019</v>
      </c>
      <c r="F106" s="251">
        <v>2020</v>
      </c>
      <c r="G106" s="251">
        <v>2021</v>
      </c>
      <c r="H106" s="251">
        <v>2022</v>
      </c>
      <c r="I106" s="251">
        <v>2023</v>
      </c>
      <c r="J106" s="251">
        <v>2024</v>
      </c>
      <c r="K106" s="221"/>
      <c r="L106" s="221"/>
    </row>
    <row r="107" spans="1:12" x14ac:dyDescent="0.25">
      <c r="A107" s="578" t="s">
        <v>17</v>
      </c>
      <c r="B107" s="324"/>
      <c r="C107" s="325">
        <v>250</v>
      </c>
      <c r="D107" s="325">
        <v>250</v>
      </c>
      <c r="E107" s="325">
        <v>250</v>
      </c>
      <c r="F107" s="325">
        <v>250</v>
      </c>
      <c r="G107" s="325">
        <v>250</v>
      </c>
      <c r="H107" s="325">
        <v>250</v>
      </c>
      <c r="I107" s="325">
        <v>300</v>
      </c>
      <c r="J107" s="325">
        <v>300</v>
      </c>
      <c r="K107" s="221"/>
      <c r="L107" s="221"/>
    </row>
    <row r="108" spans="1:12" x14ac:dyDescent="0.25">
      <c r="A108" s="578" t="s">
        <v>18</v>
      </c>
      <c r="B108" s="324"/>
      <c r="C108" s="325">
        <v>312.5</v>
      </c>
      <c r="D108" s="325">
        <v>312.5</v>
      </c>
      <c r="E108" s="325">
        <v>312.5</v>
      </c>
      <c r="F108" s="325">
        <f>F107+D111</f>
        <v>251.98000000000002</v>
      </c>
      <c r="G108" s="325">
        <f>G107+0.25*E107</f>
        <v>312.5</v>
      </c>
      <c r="H108" s="325">
        <f>H107+0.25*F107</f>
        <v>312.5</v>
      </c>
      <c r="I108" s="325">
        <f>I107+0.25*G107</f>
        <v>362.5</v>
      </c>
      <c r="J108" s="201">
        <f>J107+3.72</f>
        <v>303.72000000000003</v>
      </c>
      <c r="K108" s="221"/>
      <c r="L108" s="221"/>
    </row>
    <row r="109" spans="1:12" ht="15" customHeight="1" x14ac:dyDescent="0.25">
      <c r="A109" s="578" t="s">
        <v>19</v>
      </c>
      <c r="B109" s="324"/>
      <c r="C109" s="749" t="s">
        <v>690</v>
      </c>
      <c r="D109" s="750"/>
      <c r="E109" s="750"/>
      <c r="F109" s="750"/>
      <c r="G109" s="750"/>
      <c r="H109" s="750"/>
      <c r="I109" s="750"/>
      <c r="J109" s="751"/>
      <c r="K109" s="221"/>
      <c r="L109" s="221"/>
    </row>
    <row r="110" spans="1:12" x14ac:dyDescent="0.25">
      <c r="A110" s="578" t="s">
        <v>20</v>
      </c>
      <c r="B110" s="324"/>
      <c r="C110" s="325">
        <v>219.03</v>
      </c>
      <c r="D110" s="325">
        <v>310.52</v>
      </c>
      <c r="E110" s="325">
        <v>158.13999999999999</v>
      </c>
      <c r="F110" s="325">
        <v>162.13</v>
      </c>
      <c r="G110" s="325">
        <v>30.84</v>
      </c>
      <c r="H110" s="325">
        <v>12.74</v>
      </c>
      <c r="I110" s="325"/>
      <c r="J110" s="325"/>
      <c r="K110" s="221"/>
      <c r="L110" s="221"/>
    </row>
    <row r="111" spans="1:12" x14ac:dyDescent="0.25">
      <c r="A111" s="578" t="s">
        <v>21</v>
      </c>
      <c r="B111" s="324"/>
      <c r="C111" s="325">
        <f t="shared" ref="C111:H111" si="7">C108-C110</f>
        <v>93.47</v>
      </c>
      <c r="D111" s="325">
        <f t="shared" si="7"/>
        <v>1.9800000000000182</v>
      </c>
      <c r="E111" s="325">
        <f t="shared" si="7"/>
        <v>154.36000000000001</v>
      </c>
      <c r="F111" s="325">
        <f t="shared" si="7"/>
        <v>89.850000000000023</v>
      </c>
      <c r="G111" s="325">
        <f t="shared" si="7"/>
        <v>281.66000000000003</v>
      </c>
      <c r="H111" s="325">
        <f t="shared" si="7"/>
        <v>299.76</v>
      </c>
      <c r="I111" s="325"/>
      <c r="J111" s="325"/>
      <c r="K111" s="221"/>
      <c r="L111" s="221"/>
    </row>
    <row r="112" spans="1:12" x14ac:dyDescent="0.25">
      <c r="A112" s="579" t="s">
        <v>22</v>
      </c>
      <c r="B112" s="257"/>
      <c r="C112" s="257">
        <v>2019</v>
      </c>
      <c r="D112" s="257">
        <v>2020</v>
      </c>
      <c r="E112" s="257">
        <v>2021</v>
      </c>
      <c r="F112" s="257">
        <v>2022</v>
      </c>
      <c r="G112" s="257">
        <v>2023</v>
      </c>
      <c r="H112" s="257">
        <v>2024</v>
      </c>
      <c r="I112" s="257">
        <v>2025</v>
      </c>
      <c r="J112" s="257">
        <v>2026</v>
      </c>
      <c r="K112" s="221"/>
      <c r="L112" s="221"/>
    </row>
    <row r="113" spans="1:12" x14ac:dyDescent="0.25">
      <c r="A113" s="256" t="s">
        <v>207</v>
      </c>
      <c r="B113" s="258"/>
      <c r="C113" s="258"/>
      <c r="D113" s="258"/>
      <c r="E113" s="258"/>
      <c r="F113" s="258"/>
      <c r="G113" s="219"/>
      <c r="H113" s="219"/>
      <c r="I113" s="219"/>
      <c r="J113" s="217"/>
      <c r="K113" s="221"/>
      <c r="L113" s="221"/>
    </row>
    <row r="114" spans="1:12" x14ac:dyDescent="0.25">
      <c r="A114" s="421" t="s">
        <v>252</v>
      </c>
      <c r="B114" s="252"/>
      <c r="C114" s="252"/>
      <c r="D114" s="252"/>
      <c r="E114" s="252"/>
      <c r="F114" s="252"/>
      <c r="G114" s="221"/>
      <c r="H114" s="221"/>
      <c r="I114" s="221"/>
      <c r="J114" s="222"/>
      <c r="K114" s="221"/>
      <c r="L114" s="221"/>
    </row>
    <row r="115" spans="1:12" x14ac:dyDescent="0.25">
      <c r="A115" s="421" t="s">
        <v>417</v>
      </c>
      <c r="B115" s="252"/>
      <c r="C115" s="252"/>
      <c r="D115" s="252"/>
      <c r="E115" s="252"/>
      <c r="F115" s="252"/>
      <c r="G115" s="221"/>
      <c r="H115" s="221"/>
      <c r="I115" s="221"/>
      <c r="J115" s="222"/>
      <c r="K115" s="221"/>
      <c r="L115" s="221"/>
    </row>
    <row r="116" spans="1:12" x14ac:dyDescent="0.25">
      <c r="A116" s="220" t="s">
        <v>582</v>
      </c>
      <c r="B116" s="252"/>
      <c r="C116" s="252"/>
      <c r="D116" s="252"/>
      <c r="E116" s="252"/>
      <c r="F116" s="252"/>
      <c r="G116" s="221"/>
      <c r="H116" s="221"/>
      <c r="I116" s="221"/>
      <c r="J116" s="222"/>
      <c r="K116" s="221"/>
      <c r="L116" s="221"/>
    </row>
    <row r="117" spans="1:12" x14ac:dyDescent="0.25">
      <c r="A117" s="220" t="s">
        <v>796</v>
      </c>
      <c r="B117" s="252"/>
      <c r="C117" s="252"/>
      <c r="D117" s="252"/>
      <c r="E117" s="252"/>
      <c r="F117" s="252"/>
      <c r="G117" s="221"/>
      <c r="H117" s="221"/>
      <c r="I117" s="221"/>
      <c r="J117" s="222"/>
      <c r="K117" s="221"/>
      <c r="L117" s="221"/>
    </row>
    <row r="118" spans="1:12" ht="12.75" customHeight="1" x14ac:dyDescent="0.25">
      <c r="A118" s="197" t="s">
        <v>981</v>
      </c>
      <c r="B118" s="403"/>
      <c r="C118" s="403"/>
      <c r="D118" s="403"/>
      <c r="E118" s="403"/>
      <c r="F118" s="403"/>
      <c r="G118" s="223"/>
      <c r="H118" s="223"/>
      <c r="I118" s="223"/>
      <c r="J118" s="224"/>
      <c r="K118" s="221"/>
      <c r="L118" s="221"/>
    </row>
    <row r="119" spans="1:12" x14ac:dyDescent="0.25">
      <c r="A119" s="221"/>
      <c r="B119" s="221"/>
      <c r="C119" s="221"/>
      <c r="D119" s="221"/>
      <c r="E119" s="221"/>
      <c r="F119" s="221"/>
      <c r="G119" s="221"/>
      <c r="H119" s="221"/>
      <c r="I119" s="221"/>
      <c r="J119" s="221"/>
      <c r="K119" s="221"/>
      <c r="L119" s="221"/>
    </row>
    <row r="120" spans="1:12" x14ac:dyDescent="0.25">
      <c r="A120" s="571" t="s">
        <v>14</v>
      </c>
      <c r="B120" s="250" t="s">
        <v>636</v>
      </c>
      <c r="C120" s="251" t="s">
        <v>15</v>
      </c>
      <c r="D120" s="252"/>
      <c r="E120" s="252"/>
      <c r="F120" s="252"/>
      <c r="G120" s="221"/>
      <c r="H120" s="221"/>
      <c r="I120" s="221"/>
      <c r="J120" s="221"/>
      <c r="K120" s="221"/>
      <c r="L120" s="221"/>
    </row>
    <row r="121" spans="1:12" x14ac:dyDescent="0.25">
      <c r="A121" s="578" t="s">
        <v>16</v>
      </c>
      <c r="B121" s="324"/>
      <c r="C121" s="251">
        <v>2017</v>
      </c>
      <c r="D121" s="251">
        <v>2018</v>
      </c>
      <c r="E121" s="251">
        <v>2019</v>
      </c>
      <c r="F121" s="251">
        <v>2020</v>
      </c>
      <c r="G121" s="251">
        <v>2021</v>
      </c>
      <c r="H121" s="251">
        <v>2022</v>
      </c>
      <c r="I121" s="251">
        <v>2023</v>
      </c>
      <c r="J121" s="251">
        <v>2024</v>
      </c>
      <c r="K121" s="221"/>
      <c r="L121" s="221"/>
    </row>
    <row r="122" spans="1:12" x14ac:dyDescent="0.25">
      <c r="A122" s="578" t="s">
        <v>17</v>
      </c>
      <c r="B122" s="324"/>
      <c r="C122" s="325">
        <v>130</v>
      </c>
      <c r="D122" s="325">
        <v>130</v>
      </c>
      <c r="E122" s="325">
        <v>130</v>
      </c>
      <c r="F122" s="325">
        <v>130</v>
      </c>
      <c r="G122" s="325">
        <v>130</v>
      </c>
      <c r="H122" s="325">
        <v>130</v>
      </c>
      <c r="I122" s="325">
        <v>130</v>
      </c>
      <c r="J122" s="325">
        <v>130</v>
      </c>
      <c r="K122" s="221"/>
      <c r="L122" s="221"/>
    </row>
    <row r="123" spans="1:12" x14ac:dyDescent="0.25">
      <c r="A123" s="578" t="s">
        <v>18</v>
      </c>
      <c r="B123" s="324"/>
      <c r="C123" s="325">
        <v>257</v>
      </c>
      <c r="D123" s="325">
        <v>257</v>
      </c>
      <c r="E123" s="325">
        <f>E122*1.4+75</f>
        <v>257</v>
      </c>
      <c r="F123" s="325">
        <f>F122*1.4+75</f>
        <v>257</v>
      </c>
      <c r="G123" s="325">
        <f>G122+0.4*E122+75</f>
        <v>257</v>
      </c>
      <c r="H123" s="325">
        <f>H122+0.4*F122+75</f>
        <v>257</v>
      </c>
      <c r="I123" s="325">
        <f>I122+0.4*G122+75</f>
        <v>257</v>
      </c>
      <c r="J123" s="325">
        <f>J122+0.4*H122+75</f>
        <v>257</v>
      </c>
      <c r="K123" s="221"/>
      <c r="L123" s="221"/>
    </row>
    <row r="124" spans="1:12" ht="14.4" customHeight="1" x14ac:dyDescent="0.25">
      <c r="A124" s="578" t="s">
        <v>19</v>
      </c>
      <c r="B124" s="324"/>
      <c r="C124" s="749" t="s">
        <v>167</v>
      </c>
      <c r="D124" s="750"/>
      <c r="E124" s="750"/>
      <c r="F124" s="750"/>
      <c r="G124" s="750"/>
      <c r="H124" s="750"/>
      <c r="I124" s="750"/>
      <c r="J124" s="751"/>
      <c r="K124" s="221"/>
      <c r="L124" s="221"/>
    </row>
    <row r="125" spans="1:12" x14ac:dyDescent="0.25">
      <c r="A125" s="578" t="s">
        <v>20</v>
      </c>
      <c r="B125" s="324"/>
      <c r="C125" s="325">
        <v>59.08</v>
      </c>
      <c r="D125" s="325">
        <v>145.32</v>
      </c>
      <c r="E125" s="325">
        <v>116.8</v>
      </c>
      <c r="F125" s="325">
        <v>110.73</v>
      </c>
      <c r="G125" s="325">
        <v>94</v>
      </c>
      <c r="H125" s="325">
        <v>69.739999999999995</v>
      </c>
      <c r="I125" s="325"/>
      <c r="J125" s="325"/>
      <c r="K125" s="221"/>
      <c r="L125" s="221"/>
    </row>
    <row r="126" spans="1:12" x14ac:dyDescent="0.25">
      <c r="A126" s="578" t="s">
        <v>21</v>
      </c>
      <c r="B126" s="324"/>
      <c r="C126" s="325">
        <f t="shared" ref="C126:H126" si="8">C123-C125</f>
        <v>197.92000000000002</v>
      </c>
      <c r="D126" s="325">
        <f t="shared" si="8"/>
        <v>111.68</v>
      </c>
      <c r="E126" s="325">
        <f t="shared" si="8"/>
        <v>140.19999999999999</v>
      </c>
      <c r="F126" s="325">
        <f t="shared" si="8"/>
        <v>146.26999999999998</v>
      </c>
      <c r="G126" s="325">
        <f t="shared" si="8"/>
        <v>163</v>
      </c>
      <c r="H126" s="325">
        <f t="shared" si="8"/>
        <v>187.26</v>
      </c>
      <c r="I126" s="325"/>
      <c r="J126" s="325"/>
      <c r="K126" s="221"/>
      <c r="L126" s="221"/>
    </row>
    <row r="127" spans="1:12" x14ac:dyDescent="0.25">
      <c r="A127" s="579" t="s">
        <v>22</v>
      </c>
      <c r="B127" s="257"/>
      <c r="C127" s="257">
        <v>2019</v>
      </c>
      <c r="D127" s="257">
        <v>2020</v>
      </c>
      <c r="E127" s="257">
        <v>2021</v>
      </c>
      <c r="F127" s="257">
        <v>2022</v>
      </c>
      <c r="G127" s="257">
        <v>2023</v>
      </c>
      <c r="H127" s="257">
        <v>2024</v>
      </c>
      <c r="I127" s="257">
        <v>2025</v>
      </c>
      <c r="J127" s="257">
        <v>2026</v>
      </c>
      <c r="K127" s="221"/>
      <c r="L127" s="221"/>
    </row>
    <row r="128" spans="1:12" x14ac:dyDescent="0.25">
      <c r="A128" s="256" t="s">
        <v>253</v>
      </c>
      <c r="B128" s="258"/>
      <c r="C128" s="258"/>
      <c r="D128" s="258"/>
      <c r="E128" s="258"/>
      <c r="F128" s="258"/>
      <c r="G128" s="258"/>
      <c r="H128" s="219"/>
      <c r="I128" s="219"/>
      <c r="J128" s="217"/>
      <c r="K128" s="221"/>
      <c r="L128" s="221"/>
    </row>
    <row r="129" spans="1:12" x14ac:dyDescent="0.25">
      <c r="A129" s="421" t="s">
        <v>208</v>
      </c>
      <c r="B129" s="252"/>
      <c r="C129" s="252"/>
      <c r="D129" s="252"/>
      <c r="E129" s="252"/>
      <c r="F129" s="252"/>
      <c r="G129" s="252"/>
      <c r="H129" s="221"/>
      <c r="I129" s="221"/>
      <c r="J129" s="222"/>
      <c r="K129" s="221"/>
      <c r="L129" s="221"/>
    </row>
    <row r="130" spans="1:12" x14ac:dyDescent="0.25">
      <c r="A130" s="421" t="s">
        <v>254</v>
      </c>
      <c r="B130" s="252"/>
      <c r="C130" s="252"/>
      <c r="D130" s="252"/>
      <c r="E130" s="252"/>
      <c r="F130" s="252"/>
      <c r="G130" s="252"/>
      <c r="H130" s="221"/>
      <c r="I130" s="221"/>
      <c r="J130" s="222"/>
      <c r="K130" s="221"/>
      <c r="L130" s="221"/>
    </row>
    <row r="131" spans="1:12" x14ac:dyDescent="0.25">
      <c r="A131" s="421" t="s">
        <v>418</v>
      </c>
      <c r="B131" s="252"/>
      <c r="C131" s="252"/>
      <c r="D131" s="252"/>
      <c r="E131" s="252"/>
      <c r="F131" s="252"/>
      <c r="G131" s="252"/>
      <c r="H131" s="221"/>
      <c r="I131" s="221"/>
      <c r="J131" s="222"/>
      <c r="K131" s="221"/>
      <c r="L131" s="221"/>
    </row>
    <row r="132" spans="1:12" x14ac:dyDescent="0.25">
      <c r="A132" s="421" t="s">
        <v>583</v>
      </c>
      <c r="B132" s="252"/>
      <c r="C132" s="252"/>
      <c r="D132" s="252"/>
      <c r="E132" s="252"/>
      <c r="F132" s="252"/>
      <c r="G132" s="252"/>
      <c r="H132" s="221"/>
      <c r="I132" s="221"/>
      <c r="J132" s="222"/>
      <c r="K132" s="221"/>
      <c r="L132" s="221"/>
    </row>
    <row r="133" spans="1:12" x14ac:dyDescent="0.25">
      <c r="A133" s="421" t="s">
        <v>797</v>
      </c>
      <c r="B133" s="252"/>
      <c r="C133" s="252"/>
      <c r="D133" s="252"/>
      <c r="E133" s="252"/>
      <c r="F133" s="252"/>
      <c r="G133" s="252"/>
      <c r="H133" s="221"/>
      <c r="I133" s="221"/>
      <c r="J133" s="222"/>
      <c r="K133" s="221"/>
      <c r="L133" s="221"/>
    </row>
    <row r="134" spans="1:12" x14ac:dyDescent="0.25">
      <c r="A134" s="321" t="s">
        <v>798</v>
      </c>
      <c r="B134" s="403"/>
      <c r="C134" s="403"/>
      <c r="D134" s="403"/>
      <c r="E134" s="403"/>
      <c r="F134" s="403"/>
      <c r="G134" s="403"/>
      <c r="H134" s="223"/>
      <c r="I134" s="223"/>
      <c r="J134" s="224"/>
      <c r="K134" s="221"/>
      <c r="L134" s="221"/>
    </row>
    <row r="135" spans="1:12" x14ac:dyDescent="0.25">
      <c r="A135" s="221"/>
      <c r="B135" s="221"/>
      <c r="C135" s="221"/>
      <c r="D135" s="221"/>
      <c r="E135" s="221"/>
      <c r="F135" s="221"/>
      <c r="G135" s="221"/>
      <c r="H135" s="221"/>
      <c r="I135" s="221"/>
      <c r="J135" s="221"/>
      <c r="K135" s="221"/>
      <c r="L135" s="221"/>
    </row>
    <row r="136" spans="1:12" x14ac:dyDescent="0.25">
      <c r="A136" s="571" t="s">
        <v>14</v>
      </c>
      <c r="B136" s="250" t="s">
        <v>654</v>
      </c>
      <c r="C136" s="251" t="s">
        <v>15</v>
      </c>
      <c r="D136" s="252"/>
      <c r="E136" s="252"/>
      <c r="F136" s="252"/>
      <c r="G136" s="221"/>
      <c r="H136" s="221"/>
      <c r="I136" s="221"/>
      <c r="J136" s="221"/>
      <c r="K136" s="221"/>
      <c r="L136" s="221"/>
    </row>
    <row r="137" spans="1:12" x14ac:dyDescent="0.25">
      <c r="A137" s="324" t="s">
        <v>16</v>
      </c>
      <c r="B137" s="324"/>
      <c r="C137" s="251">
        <v>2017</v>
      </c>
      <c r="D137" s="251">
        <v>2018</v>
      </c>
      <c r="E137" s="251">
        <v>2019</v>
      </c>
      <c r="F137" s="251">
        <v>2020</v>
      </c>
      <c r="G137" s="251">
        <v>2021</v>
      </c>
      <c r="H137" s="251">
        <v>2022</v>
      </c>
      <c r="I137" s="251">
        <v>2023</v>
      </c>
      <c r="J137" s="251">
        <v>2024</v>
      </c>
      <c r="K137" s="221"/>
      <c r="L137" s="221"/>
    </row>
    <row r="138" spans="1:12" x14ac:dyDescent="0.25">
      <c r="A138" s="324" t="s">
        <v>17</v>
      </c>
      <c r="B138" s="324"/>
      <c r="C138" s="325">
        <v>125</v>
      </c>
      <c r="D138" s="325">
        <v>125</v>
      </c>
      <c r="E138" s="325">
        <v>125</v>
      </c>
      <c r="F138" s="325">
        <v>125</v>
      </c>
      <c r="G138" s="325">
        <v>125</v>
      </c>
      <c r="H138" s="325">
        <v>125</v>
      </c>
      <c r="I138" s="325">
        <v>125</v>
      </c>
      <c r="J138" s="325">
        <v>125</v>
      </c>
      <c r="K138" s="221"/>
      <c r="L138" s="221"/>
    </row>
    <row r="139" spans="1:12" x14ac:dyDescent="0.25">
      <c r="A139" s="324" t="s">
        <v>18</v>
      </c>
      <c r="B139" s="324"/>
      <c r="C139" s="325">
        <v>275</v>
      </c>
      <c r="D139" s="325">
        <v>287.5</v>
      </c>
      <c r="E139" s="325">
        <f>E138*1.2+25+50+50</f>
        <v>275</v>
      </c>
      <c r="F139" s="325">
        <f>F138*1.2+25+50+50</f>
        <v>275</v>
      </c>
      <c r="G139" s="325">
        <f>G138+0.2*E138+25+50+50</f>
        <v>275</v>
      </c>
      <c r="H139" s="325">
        <f>H138+0.2*F138+24.94+50+50</f>
        <v>274.94</v>
      </c>
      <c r="I139" s="325">
        <f>I138+0.2*G138+25+50+50</f>
        <v>275</v>
      </c>
      <c r="J139" s="325">
        <f>J138+0.2*H138+25+50+50</f>
        <v>275</v>
      </c>
      <c r="K139" s="221"/>
      <c r="L139" s="221"/>
    </row>
    <row r="140" spans="1:12" ht="14.4" customHeight="1" x14ac:dyDescent="0.25">
      <c r="A140" s="324" t="s">
        <v>19</v>
      </c>
      <c r="B140" s="324"/>
      <c r="C140" s="749" t="s">
        <v>167</v>
      </c>
      <c r="D140" s="750"/>
      <c r="E140" s="750"/>
      <c r="F140" s="750"/>
      <c r="G140" s="750"/>
      <c r="H140" s="750"/>
      <c r="I140" s="750"/>
      <c r="J140" s="751"/>
      <c r="K140" s="221"/>
      <c r="L140" s="221"/>
    </row>
    <row r="141" spans="1:12" x14ac:dyDescent="0.25">
      <c r="A141" s="324" t="s">
        <v>20</v>
      </c>
      <c r="B141" s="324"/>
      <c r="C141" s="325">
        <v>166.01</v>
      </c>
      <c r="D141" s="325">
        <v>115.22</v>
      </c>
      <c r="E141" s="325">
        <v>55.33</v>
      </c>
      <c r="F141" s="325">
        <v>2.12</v>
      </c>
      <c r="G141" s="325">
        <v>29.08</v>
      </c>
      <c r="H141" s="325">
        <v>0</v>
      </c>
      <c r="I141" s="325"/>
      <c r="J141" s="325"/>
      <c r="K141" s="221"/>
      <c r="L141" s="221"/>
    </row>
    <row r="142" spans="1:12" x14ac:dyDescent="0.25">
      <c r="A142" s="324" t="s">
        <v>21</v>
      </c>
      <c r="B142" s="324"/>
      <c r="C142" s="325">
        <f t="shared" ref="C142:H142" si="9">C139-C141</f>
        <v>108.99000000000001</v>
      </c>
      <c r="D142" s="325">
        <f t="shared" si="9"/>
        <v>172.28</v>
      </c>
      <c r="E142" s="325">
        <f t="shared" si="9"/>
        <v>219.67000000000002</v>
      </c>
      <c r="F142" s="325">
        <f t="shared" si="9"/>
        <v>272.88</v>
      </c>
      <c r="G142" s="325">
        <f t="shared" si="9"/>
        <v>245.92000000000002</v>
      </c>
      <c r="H142" s="325">
        <f t="shared" si="9"/>
        <v>274.94</v>
      </c>
      <c r="I142" s="325"/>
      <c r="J142" s="325"/>
      <c r="K142" s="221"/>
      <c r="L142" s="221"/>
    </row>
    <row r="143" spans="1:12" x14ac:dyDescent="0.25">
      <c r="A143" s="257" t="s">
        <v>22</v>
      </c>
      <c r="B143" s="257"/>
      <c r="C143" s="257">
        <v>2019</v>
      </c>
      <c r="D143" s="257">
        <v>2020</v>
      </c>
      <c r="E143" s="257">
        <v>2021</v>
      </c>
      <c r="F143" s="257">
        <v>2022</v>
      </c>
      <c r="G143" s="257">
        <v>2023</v>
      </c>
      <c r="H143" s="257">
        <v>2024</v>
      </c>
      <c r="I143" s="257">
        <v>2025</v>
      </c>
      <c r="J143" s="257">
        <v>2026</v>
      </c>
      <c r="K143" s="221"/>
      <c r="L143" s="221"/>
    </row>
    <row r="144" spans="1:12" x14ac:dyDescent="0.25">
      <c r="A144" s="256" t="s">
        <v>256</v>
      </c>
      <c r="B144" s="258"/>
      <c r="C144" s="258"/>
      <c r="D144" s="258"/>
      <c r="E144" s="258"/>
      <c r="F144" s="258"/>
      <c r="G144" s="219"/>
      <c r="H144" s="219"/>
      <c r="I144" s="219"/>
      <c r="J144" s="217"/>
      <c r="K144" s="221"/>
      <c r="L144" s="221"/>
    </row>
    <row r="145" spans="1:12" x14ac:dyDescent="0.25">
      <c r="A145" s="421" t="s">
        <v>257</v>
      </c>
      <c r="B145" s="252"/>
      <c r="C145" s="252"/>
      <c r="D145" s="252"/>
      <c r="E145" s="252"/>
      <c r="F145" s="252"/>
      <c r="G145" s="221"/>
      <c r="H145" s="221"/>
      <c r="I145" s="221"/>
      <c r="J145" s="222"/>
      <c r="K145" s="221"/>
      <c r="L145" s="221"/>
    </row>
    <row r="146" spans="1:12" x14ac:dyDescent="0.25">
      <c r="A146" s="421" t="s">
        <v>258</v>
      </c>
      <c r="B146" s="252"/>
      <c r="C146" s="252"/>
      <c r="D146" s="252"/>
      <c r="E146" s="252"/>
      <c r="F146" s="252"/>
      <c r="G146" s="221"/>
      <c r="H146" s="221"/>
      <c r="I146" s="221"/>
      <c r="J146" s="222"/>
      <c r="K146" s="221"/>
      <c r="L146" s="221"/>
    </row>
    <row r="147" spans="1:12" x14ac:dyDescent="0.25">
      <c r="A147" s="421" t="s">
        <v>209</v>
      </c>
      <c r="B147" s="252"/>
      <c r="C147" s="252"/>
      <c r="D147" s="252"/>
      <c r="E147" s="252"/>
      <c r="F147" s="252"/>
      <c r="G147" s="221"/>
      <c r="H147" s="221"/>
      <c r="I147" s="221"/>
      <c r="J147" s="222"/>
      <c r="K147" s="221"/>
      <c r="L147" s="221"/>
    </row>
    <row r="148" spans="1:12" x14ac:dyDescent="0.25">
      <c r="A148" s="421" t="s">
        <v>255</v>
      </c>
      <c r="B148" s="252"/>
      <c r="C148" s="252"/>
      <c r="D148" s="252"/>
      <c r="E148" s="252"/>
      <c r="F148" s="252"/>
      <c r="G148" s="221"/>
      <c r="H148" s="221"/>
      <c r="I148" s="221"/>
      <c r="J148" s="222"/>
      <c r="K148" s="221"/>
      <c r="L148" s="221"/>
    </row>
    <row r="149" spans="1:12" x14ac:dyDescent="0.25">
      <c r="A149" s="421" t="s">
        <v>419</v>
      </c>
      <c r="B149" s="252"/>
      <c r="C149" s="252"/>
      <c r="D149" s="252"/>
      <c r="E149" s="252"/>
      <c r="F149" s="252"/>
      <c r="G149" s="221"/>
      <c r="H149" s="221"/>
      <c r="I149" s="221"/>
      <c r="J149" s="222"/>
      <c r="K149" s="221"/>
      <c r="L149" s="221"/>
    </row>
    <row r="150" spans="1:12" x14ac:dyDescent="0.25">
      <c r="A150" s="220" t="s">
        <v>584</v>
      </c>
      <c r="B150" s="252"/>
      <c r="C150" s="252"/>
      <c r="D150" s="252"/>
      <c r="E150" s="252"/>
      <c r="F150" s="252"/>
      <c r="G150" s="221"/>
      <c r="H150" s="221"/>
      <c r="I150" s="221"/>
      <c r="J150" s="222"/>
      <c r="K150" s="221"/>
      <c r="L150" s="221"/>
    </row>
    <row r="151" spans="1:12" x14ac:dyDescent="0.25">
      <c r="A151" s="220" t="s">
        <v>799</v>
      </c>
      <c r="B151" s="252"/>
      <c r="C151" s="252"/>
      <c r="D151" s="252"/>
      <c r="E151" s="252"/>
      <c r="F151" s="252"/>
      <c r="G151" s="221"/>
      <c r="H151" s="221"/>
      <c r="I151" s="221"/>
      <c r="J151" s="222"/>
      <c r="K151" s="221"/>
      <c r="L151" s="221"/>
    </row>
    <row r="152" spans="1:12" x14ac:dyDescent="0.25">
      <c r="A152" s="211" t="s">
        <v>800</v>
      </c>
      <c r="B152" s="223"/>
      <c r="C152" s="223"/>
      <c r="D152" s="223"/>
      <c r="E152" s="223"/>
      <c r="F152" s="223"/>
      <c r="G152" s="223"/>
      <c r="H152" s="223"/>
      <c r="I152" s="223"/>
      <c r="J152" s="224"/>
      <c r="K152" s="221"/>
      <c r="L152" s="221"/>
    </row>
    <row r="153" spans="1:12" x14ac:dyDescent="0.25">
      <c r="A153" s="221"/>
      <c r="B153" s="221"/>
      <c r="C153" s="221"/>
      <c r="D153" s="221"/>
      <c r="E153" s="221"/>
      <c r="F153" s="221"/>
      <c r="G153" s="221"/>
      <c r="H153" s="221"/>
      <c r="I153" s="221"/>
      <c r="J153" s="221"/>
      <c r="K153" s="221"/>
      <c r="L153" s="221"/>
    </row>
    <row r="154" spans="1:12" x14ac:dyDescent="0.25">
      <c r="A154" s="221"/>
      <c r="B154" s="221"/>
      <c r="C154" s="221"/>
      <c r="D154" s="221"/>
      <c r="E154" s="221"/>
      <c r="F154" s="221"/>
      <c r="G154" s="221"/>
      <c r="H154" s="221"/>
      <c r="I154" s="221"/>
      <c r="J154" s="221"/>
      <c r="K154" s="221"/>
      <c r="L154" s="221"/>
    </row>
    <row r="155" spans="1:12" x14ac:dyDescent="0.25">
      <c r="A155" s="392" t="s">
        <v>12</v>
      </c>
      <c r="B155" s="551" t="s">
        <v>165</v>
      </c>
      <c r="C155" s="252"/>
      <c r="D155" s="252"/>
      <c r="E155" s="252"/>
      <c r="F155" s="252"/>
      <c r="G155" s="252"/>
      <c r="H155" s="221"/>
      <c r="I155" s="221"/>
      <c r="J155" s="221"/>
      <c r="K155" s="221"/>
      <c r="L155" s="221"/>
    </row>
    <row r="156" spans="1:12" x14ac:dyDescent="0.25">
      <c r="A156" s="249" t="s">
        <v>14</v>
      </c>
      <c r="B156" s="250" t="s">
        <v>637</v>
      </c>
      <c r="C156" s="251" t="s">
        <v>15</v>
      </c>
      <c r="D156" s="252"/>
      <c r="E156" s="252"/>
      <c r="F156" s="252"/>
      <c r="G156" s="252"/>
      <c r="H156" s="221"/>
      <c r="I156" s="221"/>
      <c r="J156" s="221"/>
      <c r="K156" s="221"/>
      <c r="L156" s="221"/>
    </row>
    <row r="157" spans="1:12" x14ac:dyDescent="0.25">
      <c r="A157" s="253" t="s">
        <v>16</v>
      </c>
      <c r="B157" s="251">
        <v>2014</v>
      </c>
      <c r="C157" s="251">
        <v>2015</v>
      </c>
      <c r="D157" s="254">
        <v>2016</v>
      </c>
      <c r="E157" s="251">
        <v>2017</v>
      </c>
      <c r="F157" s="250">
        <v>2018</v>
      </c>
      <c r="G157" s="250">
        <v>2019</v>
      </c>
      <c r="H157" s="250">
        <v>2020</v>
      </c>
      <c r="I157" s="250">
        <v>2021</v>
      </c>
      <c r="J157" s="250">
        <v>2022</v>
      </c>
      <c r="K157" s="250">
        <v>2023</v>
      </c>
      <c r="L157" s="221"/>
    </row>
    <row r="158" spans="1:12" x14ac:dyDescent="0.25">
      <c r="A158" s="253" t="s">
        <v>17</v>
      </c>
      <c r="B158" s="580">
        <v>200</v>
      </c>
      <c r="C158" s="580">
        <v>200</v>
      </c>
      <c r="D158" s="580">
        <v>200</v>
      </c>
      <c r="E158" s="580">
        <v>200</v>
      </c>
      <c r="F158" s="581">
        <v>200</v>
      </c>
      <c r="G158" s="581">
        <v>215</v>
      </c>
      <c r="H158" s="581">
        <v>215</v>
      </c>
      <c r="I158" s="581">
        <v>242</v>
      </c>
      <c r="J158" s="581">
        <v>242</v>
      </c>
      <c r="K158" s="581">
        <v>242</v>
      </c>
      <c r="L158" s="221"/>
    </row>
    <row r="159" spans="1:12" x14ac:dyDescent="0.25">
      <c r="A159" s="253" t="s">
        <v>18</v>
      </c>
      <c r="B159" s="580">
        <v>250</v>
      </c>
      <c r="C159" s="580">
        <v>250</v>
      </c>
      <c r="D159" s="580">
        <v>250</v>
      </c>
      <c r="E159" s="580">
        <v>250</v>
      </c>
      <c r="F159" s="581">
        <v>250</v>
      </c>
      <c r="G159" s="581">
        <f>E158*0.25+G158</f>
        <v>265</v>
      </c>
      <c r="H159" s="581">
        <f>H158+0.25*G158</f>
        <v>268.75</v>
      </c>
      <c r="I159" s="581">
        <f>I158+0.25*H158</f>
        <v>295.75</v>
      </c>
      <c r="J159" s="581">
        <f>J158+0.25*I158</f>
        <v>302.5</v>
      </c>
      <c r="K159" s="581">
        <f>K158+0.25*J158</f>
        <v>302.5</v>
      </c>
      <c r="L159" s="221"/>
    </row>
    <row r="160" spans="1:12" x14ac:dyDescent="0.25">
      <c r="A160" s="253" t="s">
        <v>19</v>
      </c>
      <c r="B160" s="440" t="s">
        <v>317</v>
      </c>
      <c r="C160" s="440" t="s">
        <v>317</v>
      </c>
      <c r="D160" s="440" t="s">
        <v>317</v>
      </c>
      <c r="E160" s="440" t="s">
        <v>317</v>
      </c>
      <c r="F160" s="440" t="s">
        <v>317</v>
      </c>
      <c r="G160" s="440" t="s">
        <v>375</v>
      </c>
      <c r="H160" s="440" t="s">
        <v>430</v>
      </c>
      <c r="I160" s="440" t="s">
        <v>665</v>
      </c>
      <c r="J160" s="440" t="s">
        <v>666</v>
      </c>
      <c r="K160" s="440" t="s">
        <v>666</v>
      </c>
      <c r="L160" s="221"/>
    </row>
    <row r="161" spans="1:12" x14ac:dyDescent="0.25">
      <c r="A161" s="253" t="s">
        <v>20</v>
      </c>
      <c r="B161" s="580">
        <v>0</v>
      </c>
      <c r="C161" s="580">
        <v>0</v>
      </c>
      <c r="D161" s="580">
        <v>0</v>
      </c>
      <c r="E161" s="580">
        <v>0</v>
      </c>
      <c r="F161" s="581">
        <v>0</v>
      </c>
      <c r="G161" s="581">
        <v>0</v>
      </c>
      <c r="H161" s="581">
        <v>0</v>
      </c>
      <c r="I161" s="581">
        <v>0</v>
      </c>
      <c r="J161" s="581">
        <v>0</v>
      </c>
      <c r="K161" s="581"/>
      <c r="L161" s="221"/>
    </row>
    <row r="162" spans="1:12" x14ac:dyDescent="0.25">
      <c r="A162" s="253" t="s">
        <v>21</v>
      </c>
      <c r="B162" s="580">
        <v>250</v>
      </c>
      <c r="C162" s="580">
        <v>250</v>
      </c>
      <c r="D162" s="580">
        <v>250</v>
      </c>
      <c r="E162" s="580">
        <v>250</v>
      </c>
      <c r="F162" s="581">
        <v>250</v>
      </c>
      <c r="G162" s="581">
        <f>G159</f>
        <v>265</v>
      </c>
      <c r="H162" s="581">
        <f>H159</f>
        <v>268.75</v>
      </c>
      <c r="I162" s="581">
        <f>I159</f>
        <v>295.75</v>
      </c>
      <c r="J162" s="581">
        <f>J159-J161</f>
        <v>302.5</v>
      </c>
      <c r="K162" s="581"/>
      <c r="L162" s="221"/>
    </row>
    <row r="163" spans="1:12" x14ac:dyDescent="0.25">
      <c r="A163" s="256" t="s">
        <v>22</v>
      </c>
      <c r="B163" s="441">
        <v>2015</v>
      </c>
      <c r="C163" s="441">
        <v>2016</v>
      </c>
      <c r="D163" s="441">
        <v>2017</v>
      </c>
      <c r="E163" s="441">
        <v>2018</v>
      </c>
      <c r="F163" s="441">
        <v>2019</v>
      </c>
      <c r="G163" s="441">
        <v>2020</v>
      </c>
      <c r="H163" s="441">
        <v>2021</v>
      </c>
      <c r="I163" s="441">
        <v>2022</v>
      </c>
      <c r="J163" s="441">
        <v>2023</v>
      </c>
      <c r="K163" s="441">
        <v>2024</v>
      </c>
      <c r="L163" s="221"/>
    </row>
    <row r="164" spans="1:12" x14ac:dyDescent="0.25">
      <c r="A164" s="253" t="s">
        <v>829</v>
      </c>
      <c r="B164" s="582"/>
      <c r="C164" s="582"/>
      <c r="D164" s="582"/>
      <c r="E164" s="582"/>
      <c r="F164" s="582"/>
      <c r="G164" s="582"/>
      <c r="H164" s="582"/>
      <c r="I164" s="582"/>
      <c r="J164" s="232"/>
      <c r="K164" s="232"/>
      <c r="L164" s="221"/>
    </row>
    <row r="165" spans="1:12" x14ac:dyDescent="0.25">
      <c r="A165" s="221"/>
      <c r="B165" s="221"/>
      <c r="C165" s="221"/>
      <c r="D165" s="221"/>
      <c r="E165" s="221"/>
      <c r="F165" s="221"/>
      <c r="G165" s="221"/>
      <c r="H165" s="221"/>
      <c r="I165" s="221"/>
      <c r="J165" s="221"/>
      <c r="K165" s="221"/>
      <c r="L165" s="221"/>
    </row>
    <row r="166" spans="1:12" x14ac:dyDescent="0.25">
      <c r="A166" s="249" t="s">
        <v>14</v>
      </c>
      <c r="B166" s="250" t="s">
        <v>651</v>
      </c>
      <c r="C166" s="251" t="s">
        <v>15</v>
      </c>
      <c r="D166" s="252"/>
      <c r="E166" s="252"/>
      <c r="F166" s="252"/>
      <c r="G166" s="252"/>
      <c r="H166" s="221"/>
      <c r="I166" s="221"/>
      <c r="J166" s="221"/>
      <c r="K166" s="221"/>
      <c r="L166" s="221"/>
    </row>
    <row r="167" spans="1:12" x14ac:dyDescent="0.25">
      <c r="A167" s="253" t="s">
        <v>16</v>
      </c>
      <c r="B167" s="251">
        <v>2014</v>
      </c>
      <c r="C167" s="251">
        <v>2015</v>
      </c>
      <c r="D167" s="254">
        <v>2016</v>
      </c>
      <c r="E167" s="251">
        <v>2017</v>
      </c>
      <c r="F167" s="250">
        <v>2018</v>
      </c>
      <c r="G167" s="250">
        <v>2019</v>
      </c>
      <c r="H167" s="250">
        <v>2020</v>
      </c>
      <c r="I167" s="250">
        <v>2021</v>
      </c>
      <c r="J167" s="250">
        <v>2022</v>
      </c>
      <c r="K167" s="250">
        <v>2023</v>
      </c>
      <c r="L167" s="221"/>
    </row>
    <row r="168" spans="1:12" x14ac:dyDescent="0.25">
      <c r="A168" s="253" t="s">
        <v>17</v>
      </c>
      <c r="B168" s="255">
        <v>2160</v>
      </c>
      <c r="C168" s="255">
        <v>2160</v>
      </c>
      <c r="D168" s="255">
        <v>2160</v>
      </c>
      <c r="E168" s="255">
        <v>2160</v>
      </c>
      <c r="F168" s="583">
        <v>2160</v>
      </c>
      <c r="G168" s="583">
        <v>2160</v>
      </c>
      <c r="H168" s="583">
        <v>2160</v>
      </c>
      <c r="I168" s="583">
        <v>2160</v>
      </c>
      <c r="J168" s="583">
        <v>2160</v>
      </c>
      <c r="K168" s="583">
        <v>2600</v>
      </c>
      <c r="L168" s="221"/>
    </row>
    <row r="169" spans="1:12" x14ac:dyDescent="0.25">
      <c r="A169" s="253" t="s">
        <v>18</v>
      </c>
      <c r="B169" s="255">
        <v>2700</v>
      </c>
      <c r="C169" s="255">
        <v>2700</v>
      </c>
      <c r="D169" s="255">
        <v>2700</v>
      </c>
      <c r="E169" s="255">
        <v>2600</v>
      </c>
      <c r="F169" s="255">
        <v>2600</v>
      </c>
      <c r="G169" s="255">
        <v>2600</v>
      </c>
      <c r="H169" s="255">
        <f>H168+0.25*G168-200</f>
        <v>2500</v>
      </c>
      <c r="I169" s="255">
        <f>I168+0.25*H168</f>
        <v>2700</v>
      </c>
      <c r="J169" s="669">
        <f>2700-259.96</f>
        <v>2440.04</v>
      </c>
      <c r="K169" s="255">
        <f>K168+0.25*I168-100</f>
        <v>3040</v>
      </c>
      <c r="L169" s="221"/>
    </row>
    <row r="170" spans="1:12" ht="27.6" customHeight="1" x14ac:dyDescent="0.25">
      <c r="A170" s="253" t="s">
        <v>19</v>
      </c>
      <c r="B170" s="584" t="s">
        <v>318</v>
      </c>
      <c r="C170" s="584" t="s">
        <v>318</v>
      </c>
      <c r="D170" s="584" t="s">
        <v>318</v>
      </c>
      <c r="E170" s="584" t="s">
        <v>319</v>
      </c>
      <c r="F170" s="584" t="s">
        <v>319</v>
      </c>
      <c r="G170" s="584" t="s">
        <v>319</v>
      </c>
      <c r="H170" s="584" t="s">
        <v>432</v>
      </c>
      <c r="I170" s="584" t="s">
        <v>318</v>
      </c>
      <c r="J170" s="668" t="s">
        <v>968</v>
      </c>
      <c r="K170" s="584" t="s">
        <v>862</v>
      </c>
      <c r="L170" s="221"/>
    </row>
    <row r="171" spans="1:12" x14ac:dyDescent="0.25">
      <c r="A171" s="253" t="s">
        <v>20</v>
      </c>
      <c r="B171" s="255">
        <v>462.36</v>
      </c>
      <c r="C171" s="255">
        <v>490.22</v>
      </c>
      <c r="D171" s="255">
        <v>657.59</v>
      </c>
      <c r="E171" s="255">
        <v>496.85</v>
      </c>
      <c r="F171" s="583">
        <v>396</v>
      </c>
      <c r="G171" s="583">
        <v>1002.664409132517</v>
      </c>
      <c r="H171" s="583">
        <v>617</v>
      </c>
      <c r="I171" s="583">
        <v>516</v>
      </c>
      <c r="J171" s="583">
        <v>543</v>
      </c>
      <c r="K171" s="583"/>
      <c r="L171" s="221"/>
    </row>
    <row r="172" spans="1:12" x14ac:dyDescent="0.25">
      <c r="A172" s="253" t="s">
        <v>21</v>
      </c>
      <c r="B172" s="255">
        <f t="shared" ref="B172:G172" si="10">B169-B171</f>
        <v>2237.64</v>
      </c>
      <c r="C172" s="255">
        <f t="shared" si="10"/>
        <v>2209.7799999999997</v>
      </c>
      <c r="D172" s="255">
        <f t="shared" si="10"/>
        <v>2042.4099999999999</v>
      </c>
      <c r="E172" s="255">
        <f t="shared" si="10"/>
        <v>2103.15</v>
      </c>
      <c r="F172" s="255">
        <f t="shared" si="10"/>
        <v>2204</v>
      </c>
      <c r="G172" s="255">
        <f t="shared" si="10"/>
        <v>1597.335590867483</v>
      </c>
      <c r="H172" s="255">
        <f>H169-H171</f>
        <v>1883</v>
      </c>
      <c r="I172" s="255">
        <f>I169-I171</f>
        <v>2184</v>
      </c>
      <c r="J172" s="669">
        <f>J169-J171</f>
        <v>1897.04</v>
      </c>
      <c r="K172" s="255"/>
      <c r="L172" s="221"/>
    </row>
    <row r="173" spans="1:12" x14ac:dyDescent="0.25">
      <c r="A173" s="256" t="s">
        <v>22</v>
      </c>
      <c r="B173" s="441">
        <v>2016</v>
      </c>
      <c r="C173" s="441">
        <v>2017</v>
      </c>
      <c r="D173" s="441">
        <v>2018</v>
      </c>
      <c r="E173" s="441">
        <v>2019</v>
      </c>
      <c r="F173" s="441">
        <v>2020</v>
      </c>
      <c r="G173" s="441">
        <v>2021</v>
      </c>
      <c r="H173" s="441">
        <v>2022</v>
      </c>
      <c r="I173" s="441">
        <v>2023</v>
      </c>
      <c r="J173" s="441">
        <v>2024</v>
      </c>
      <c r="K173" s="441">
        <v>2025</v>
      </c>
      <c r="L173" s="221"/>
    </row>
    <row r="174" spans="1:12" x14ac:dyDescent="0.25">
      <c r="A174" s="755" t="s">
        <v>830</v>
      </c>
      <c r="B174" s="756"/>
      <c r="C174" s="756"/>
      <c r="D174" s="756"/>
      <c r="E174" s="756"/>
      <c r="F174" s="756"/>
      <c r="G174" s="756"/>
      <c r="H174" s="507"/>
      <c r="I174" s="507"/>
      <c r="J174" s="507"/>
      <c r="K174" s="232"/>
      <c r="L174" s="221"/>
    </row>
    <row r="175" spans="1:12" x14ac:dyDescent="0.25">
      <c r="A175" s="432" t="s">
        <v>320</v>
      </c>
      <c r="B175" s="433"/>
      <c r="C175" s="433"/>
      <c r="D175" s="433"/>
      <c r="E175" s="433"/>
      <c r="F175" s="433"/>
      <c r="G175" s="433"/>
      <c r="H175" s="219"/>
      <c r="I175" s="219"/>
      <c r="J175" s="219"/>
      <c r="K175" s="217"/>
      <c r="L175" s="221"/>
    </row>
    <row r="176" spans="1:12" x14ac:dyDescent="0.25">
      <c r="A176" s="333" t="s">
        <v>431</v>
      </c>
      <c r="B176" s="577"/>
      <c r="C176" s="577"/>
      <c r="D176" s="577"/>
      <c r="E176" s="577"/>
      <c r="F176" s="577"/>
      <c r="G176" s="577"/>
      <c r="H176" s="221"/>
      <c r="I176" s="221"/>
      <c r="J176" s="221"/>
      <c r="K176" s="222"/>
      <c r="L176" s="221"/>
    </row>
    <row r="177" spans="1:12" x14ac:dyDescent="0.25">
      <c r="A177" s="667" t="s">
        <v>967</v>
      </c>
      <c r="B177" s="577"/>
      <c r="C177" s="577"/>
      <c r="D177" s="577"/>
      <c r="E177" s="577"/>
      <c r="F177" s="577"/>
      <c r="G177" s="577"/>
      <c r="H177" s="221"/>
      <c r="I177" s="221"/>
      <c r="J177" s="221"/>
      <c r="K177" s="222"/>
      <c r="L177" s="221"/>
    </row>
    <row r="178" spans="1:12" x14ac:dyDescent="0.25">
      <c r="A178" s="247" t="s">
        <v>861</v>
      </c>
      <c r="B178" s="248"/>
      <c r="C178" s="248"/>
      <c r="D178" s="248"/>
      <c r="E178" s="248"/>
      <c r="F178" s="248"/>
      <c r="G178" s="248"/>
      <c r="H178" s="223"/>
      <c r="I178" s="223"/>
      <c r="J178" s="223"/>
      <c r="K178" s="224"/>
      <c r="L178" s="221"/>
    </row>
    <row r="179" spans="1:12" x14ac:dyDescent="0.25">
      <c r="A179" s="221"/>
      <c r="B179" s="221"/>
      <c r="C179" s="221"/>
      <c r="D179" s="221"/>
      <c r="E179" s="221"/>
      <c r="F179" s="221"/>
      <c r="G179" s="221"/>
      <c r="H179" s="221"/>
      <c r="I179" s="221"/>
      <c r="J179" s="221"/>
      <c r="K179" s="221"/>
      <c r="L179" s="221"/>
    </row>
    <row r="180" spans="1:12" x14ac:dyDescent="0.25">
      <c r="A180" s="249" t="s">
        <v>14</v>
      </c>
      <c r="B180" s="250" t="s">
        <v>636</v>
      </c>
      <c r="C180" s="585" t="s">
        <v>15</v>
      </c>
      <c r="D180" s="252"/>
      <c r="E180" s="252"/>
      <c r="F180" s="252"/>
      <c r="G180" s="221"/>
      <c r="H180" s="221"/>
      <c r="I180" s="221"/>
      <c r="J180" s="221"/>
      <c r="K180" s="221"/>
      <c r="L180" s="221"/>
    </row>
    <row r="181" spans="1:12" x14ac:dyDescent="0.25">
      <c r="A181" s="253" t="s">
        <v>16</v>
      </c>
      <c r="B181" s="251">
        <v>2014</v>
      </c>
      <c r="C181" s="251">
        <v>2015</v>
      </c>
      <c r="D181" s="254">
        <v>2016</v>
      </c>
      <c r="E181" s="251">
        <v>2017</v>
      </c>
      <c r="F181" s="250">
        <v>2018</v>
      </c>
      <c r="G181" s="250">
        <v>2019</v>
      </c>
      <c r="H181" s="250">
        <v>2020</v>
      </c>
      <c r="I181" s="250">
        <v>2021</v>
      </c>
      <c r="J181" s="250">
        <v>2022</v>
      </c>
      <c r="K181" s="250">
        <v>2023</v>
      </c>
      <c r="L181" s="221"/>
    </row>
    <row r="182" spans="1:12" x14ac:dyDescent="0.25">
      <c r="A182" s="253" t="s">
        <v>17</v>
      </c>
      <c r="B182" s="580">
        <v>50</v>
      </c>
      <c r="C182" s="580">
        <v>50</v>
      </c>
      <c r="D182" s="580">
        <v>50</v>
      </c>
      <c r="E182" s="580">
        <v>50</v>
      </c>
      <c r="F182" s="580">
        <v>50</v>
      </c>
      <c r="G182" s="580">
        <v>50</v>
      </c>
      <c r="H182" s="580">
        <v>50</v>
      </c>
      <c r="I182" s="580">
        <v>50</v>
      </c>
      <c r="J182" s="580">
        <v>50</v>
      </c>
      <c r="K182" s="580">
        <v>50</v>
      </c>
      <c r="L182" s="221"/>
    </row>
    <row r="183" spans="1:12" x14ac:dyDescent="0.25">
      <c r="A183" s="253" t="s">
        <v>18</v>
      </c>
      <c r="B183" s="580">
        <v>75</v>
      </c>
      <c r="C183" s="580">
        <v>50</v>
      </c>
      <c r="D183" s="580">
        <v>50</v>
      </c>
      <c r="E183" s="580">
        <f>E182*1.5-25</f>
        <v>50</v>
      </c>
      <c r="F183" s="580">
        <f>F182*1.4-25</f>
        <v>45</v>
      </c>
      <c r="G183" s="580">
        <f>G182*1.4-25</f>
        <v>45</v>
      </c>
      <c r="H183" s="580">
        <f>H182*1.4-25</f>
        <v>45</v>
      </c>
      <c r="I183" s="580">
        <f>I182*1.4-25</f>
        <v>45</v>
      </c>
      <c r="J183" s="580">
        <f>J182*1.4-25</f>
        <v>45</v>
      </c>
      <c r="K183" s="580">
        <f>K182*1.4</f>
        <v>70</v>
      </c>
      <c r="L183" s="221"/>
    </row>
    <row r="184" spans="1:12" x14ac:dyDescent="0.25">
      <c r="A184" s="253" t="s">
        <v>19</v>
      </c>
      <c r="B184" s="580" t="s">
        <v>321</v>
      </c>
      <c r="C184" s="580" t="s">
        <v>322</v>
      </c>
      <c r="D184" s="580" t="s">
        <v>322</v>
      </c>
      <c r="E184" s="580" t="s">
        <v>322</v>
      </c>
      <c r="F184" s="580" t="s">
        <v>323</v>
      </c>
      <c r="G184" s="580" t="s">
        <v>323</v>
      </c>
      <c r="H184" s="580" t="s">
        <v>323</v>
      </c>
      <c r="I184" s="580" t="s">
        <v>323</v>
      </c>
      <c r="J184" s="580" t="s">
        <v>323</v>
      </c>
      <c r="K184" s="580" t="s">
        <v>828</v>
      </c>
      <c r="L184" s="221"/>
    </row>
    <row r="185" spans="1:12" x14ac:dyDescent="0.25">
      <c r="A185" s="253" t="s">
        <v>20</v>
      </c>
      <c r="B185" s="580">
        <v>0</v>
      </c>
      <c r="C185" s="580">
        <v>0</v>
      </c>
      <c r="D185" s="580">
        <v>0</v>
      </c>
      <c r="E185" s="580">
        <v>0</v>
      </c>
      <c r="F185" s="580">
        <v>0</v>
      </c>
      <c r="G185" s="580">
        <v>0</v>
      </c>
      <c r="H185" s="580">
        <v>0</v>
      </c>
      <c r="I185" s="580">
        <v>0</v>
      </c>
      <c r="J185" s="580">
        <v>0</v>
      </c>
      <c r="K185" s="580"/>
      <c r="L185" s="221"/>
    </row>
    <row r="186" spans="1:12" x14ac:dyDescent="0.25">
      <c r="A186" s="253" t="s">
        <v>21</v>
      </c>
      <c r="B186" s="580">
        <f t="shared" ref="B186:I186" si="11">B183</f>
        <v>75</v>
      </c>
      <c r="C186" s="580">
        <f t="shared" si="11"/>
        <v>50</v>
      </c>
      <c r="D186" s="580">
        <f t="shared" si="11"/>
        <v>50</v>
      </c>
      <c r="E186" s="580">
        <f t="shared" si="11"/>
        <v>50</v>
      </c>
      <c r="F186" s="580">
        <f t="shared" si="11"/>
        <v>45</v>
      </c>
      <c r="G186" s="580">
        <f t="shared" si="11"/>
        <v>45</v>
      </c>
      <c r="H186" s="580">
        <f t="shared" si="11"/>
        <v>45</v>
      </c>
      <c r="I186" s="580">
        <f t="shared" si="11"/>
        <v>45</v>
      </c>
      <c r="J186" s="580">
        <f>J183-J185</f>
        <v>45</v>
      </c>
      <c r="K186" s="580"/>
      <c r="L186" s="221"/>
    </row>
    <row r="187" spans="1:12" x14ac:dyDescent="0.25">
      <c r="A187" s="256" t="s">
        <v>22</v>
      </c>
      <c r="B187" s="441">
        <v>2015</v>
      </c>
      <c r="C187" s="441">
        <v>2016</v>
      </c>
      <c r="D187" s="441">
        <v>2017</v>
      </c>
      <c r="E187" s="441">
        <v>2018</v>
      </c>
      <c r="F187" s="441">
        <v>2019</v>
      </c>
      <c r="G187" s="441">
        <v>2020</v>
      </c>
      <c r="H187" s="441">
        <v>2021</v>
      </c>
      <c r="I187" s="441">
        <v>2022</v>
      </c>
      <c r="J187" s="441">
        <v>2023</v>
      </c>
      <c r="K187" s="441">
        <v>2024</v>
      </c>
      <c r="L187" s="221"/>
    </row>
    <row r="188" spans="1:12" x14ac:dyDescent="0.25">
      <c r="A188" s="755" t="s">
        <v>831</v>
      </c>
      <c r="B188" s="756"/>
      <c r="C188" s="756"/>
      <c r="D188" s="756"/>
      <c r="E188" s="756"/>
      <c r="F188" s="756"/>
      <c r="G188" s="756"/>
      <c r="H188" s="507"/>
      <c r="I188" s="507"/>
      <c r="J188" s="507"/>
      <c r="K188" s="232"/>
      <c r="L188" s="221"/>
    </row>
    <row r="189" spans="1:12" x14ac:dyDescent="0.25">
      <c r="A189" s="513" t="s">
        <v>712</v>
      </c>
      <c r="B189" s="514"/>
      <c r="C189" s="514"/>
      <c r="D189" s="514"/>
      <c r="E189" s="514"/>
      <c r="F189" s="514"/>
      <c r="G189" s="514"/>
      <c r="H189" s="507"/>
      <c r="I189" s="507"/>
      <c r="J189" s="507"/>
      <c r="K189" s="232"/>
      <c r="L189" s="221"/>
    </row>
    <row r="190" spans="1:12" x14ac:dyDescent="0.25">
      <c r="A190" s="221"/>
      <c r="B190" s="221"/>
      <c r="C190" s="221"/>
      <c r="D190" s="221"/>
      <c r="E190" s="221"/>
      <c r="F190" s="221"/>
      <c r="G190" s="221"/>
      <c r="H190" s="221"/>
      <c r="I190" s="221"/>
      <c r="J190" s="221"/>
      <c r="K190" s="221"/>
      <c r="L190" s="221"/>
    </row>
    <row r="191" spans="1:12" x14ac:dyDescent="0.25">
      <c r="A191" s="249" t="s">
        <v>14</v>
      </c>
      <c r="B191" s="250" t="s">
        <v>654</v>
      </c>
      <c r="C191" s="251" t="s">
        <v>15</v>
      </c>
      <c r="D191" s="252"/>
      <c r="E191" s="252"/>
      <c r="F191" s="252"/>
      <c r="G191" s="252"/>
      <c r="H191" s="221"/>
      <c r="I191" s="221"/>
      <c r="J191" s="221"/>
      <c r="K191" s="221"/>
      <c r="L191" s="221"/>
    </row>
    <row r="192" spans="1:12" x14ac:dyDescent="0.25">
      <c r="A192" s="253" t="s">
        <v>16</v>
      </c>
      <c r="B192" s="251">
        <v>2014</v>
      </c>
      <c r="C192" s="251">
        <v>2015</v>
      </c>
      <c r="D192" s="254">
        <v>2016</v>
      </c>
      <c r="E192" s="251">
        <v>2017</v>
      </c>
      <c r="F192" s="250">
        <v>2018</v>
      </c>
      <c r="G192" s="250">
        <v>2019</v>
      </c>
      <c r="H192" s="250">
        <v>2020</v>
      </c>
      <c r="I192" s="250">
        <v>2021</v>
      </c>
      <c r="J192" s="250">
        <v>2022</v>
      </c>
      <c r="K192" s="250">
        <v>2023</v>
      </c>
      <c r="L192" s="221"/>
    </row>
    <row r="193" spans="1:12" x14ac:dyDescent="0.25">
      <c r="A193" s="253" t="s">
        <v>17</v>
      </c>
      <c r="B193" s="255">
        <v>3940</v>
      </c>
      <c r="C193" s="255">
        <v>3940</v>
      </c>
      <c r="D193" s="255">
        <v>3940</v>
      </c>
      <c r="E193" s="255">
        <v>3940</v>
      </c>
      <c r="F193" s="255">
        <v>3940</v>
      </c>
      <c r="G193" s="255">
        <v>3940</v>
      </c>
      <c r="H193" s="255">
        <v>3940</v>
      </c>
      <c r="I193" s="255">
        <v>3940</v>
      </c>
      <c r="J193" s="255">
        <v>3940</v>
      </c>
      <c r="K193" s="255">
        <v>3940</v>
      </c>
      <c r="L193" s="221"/>
    </row>
    <row r="194" spans="1:12" x14ac:dyDescent="0.25">
      <c r="A194" s="253" t="s">
        <v>18</v>
      </c>
      <c r="B194" s="255">
        <f>B193*1.3-50</f>
        <v>5072</v>
      </c>
      <c r="C194" s="255">
        <f>C193*1.3-50</f>
        <v>5072</v>
      </c>
      <c r="D194" s="255">
        <f>D193*1.3-50</f>
        <v>5072</v>
      </c>
      <c r="E194" s="255">
        <f>E193*1.3-50</f>
        <v>5072</v>
      </c>
      <c r="F194" s="255">
        <f t="shared" ref="F194:K194" si="12">F193*1.2-50</f>
        <v>4678</v>
      </c>
      <c r="G194" s="255">
        <f t="shared" si="12"/>
        <v>4678</v>
      </c>
      <c r="H194" s="255">
        <f t="shared" si="12"/>
        <v>4678</v>
      </c>
      <c r="I194" s="255">
        <f t="shared" si="12"/>
        <v>4678</v>
      </c>
      <c r="J194" s="255">
        <f t="shared" si="12"/>
        <v>4678</v>
      </c>
      <c r="K194" s="255">
        <f t="shared" si="12"/>
        <v>4678</v>
      </c>
      <c r="L194" s="221"/>
    </row>
    <row r="195" spans="1:12" x14ac:dyDescent="0.25">
      <c r="A195" s="253" t="s">
        <v>19</v>
      </c>
      <c r="B195" s="255" t="s">
        <v>325</v>
      </c>
      <c r="C195" s="255" t="s">
        <v>325</v>
      </c>
      <c r="D195" s="255" t="s">
        <v>325</v>
      </c>
      <c r="E195" s="255" t="s">
        <v>325</v>
      </c>
      <c r="F195" s="255" t="s">
        <v>326</v>
      </c>
      <c r="G195" s="255" t="s">
        <v>326</v>
      </c>
      <c r="H195" s="255" t="s">
        <v>326</v>
      </c>
      <c r="I195" s="255" t="s">
        <v>326</v>
      </c>
      <c r="J195" s="255" t="s">
        <v>326</v>
      </c>
      <c r="K195" s="255" t="s">
        <v>326</v>
      </c>
      <c r="L195" s="221"/>
    </row>
    <row r="196" spans="1:12" x14ac:dyDescent="0.25">
      <c r="A196" s="253" t="s">
        <v>20</v>
      </c>
      <c r="B196" s="255">
        <v>2892.02</v>
      </c>
      <c r="C196" s="255">
        <v>2599.0703200000003</v>
      </c>
      <c r="D196" s="255">
        <v>2934.78017</v>
      </c>
      <c r="E196" s="255">
        <v>2406.0276984999996</v>
      </c>
      <c r="F196" s="255">
        <v>2798</v>
      </c>
      <c r="G196" s="255">
        <v>2858.8298242939013</v>
      </c>
      <c r="H196" s="255">
        <v>2105</v>
      </c>
      <c r="I196" s="255">
        <v>2823</v>
      </c>
      <c r="J196" s="255">
        <v>2197</v>
      </c>
      <c r="K196" s="255"/>
      <c r="L196" s="221"/>
    </row>
    <row r="197" spans="1:12" x14ac:dyDescent="0.25">
      <c r="A197" s="253" t="s">
        <v>21</v>
      </c>
      <c r="B197" s="255">
        <f t="shared" ref="B197:J197" si="13">B194-B196</f>
        <v>2179.98</v>
      </c>
      <c r="C197" s="255">
        <f t="shared" si="13"/>
        <v>2472.9296799999997</v>
      </c>
      <c r="D197" s="255">
        <f t="shared" si="13"/>
        <v>2137.21983</v>
      </c>
      <c r="E197" s="255">
        <f t="shared" si="13"/>
        <v>2665.9723015000004</v>
      </c>
      <c r="F197" s="255">
        <f t="shared" si="13"/>
        <v>1880</v>
      </c>
      <c r="G197" s="255">
        <f t="shared" si="13"/>
        <v>1819.1701757060987</v>
      </c>
      <c r="H197" s="255">
        <f t="shared" si="13"/>
        <v>2573</v>
      </c>
      <c r="I197" s="255">
        <f t="shared" si="13"/>
        <v>1855</v>
      </c>
      <c r="J197" s="255">
        <f t="shared" si="13"/>
        <v>2481</v>
      </c>
      <c r="K197" s="255"/>
      <c r="L197" s="221"/>
    </row>
    <row r="198" spans="1:12" x14ac:dyDescent="0.25">
      <c r="A198" s="256" t="s">
        <v>22</v>
      </c>
      <c r="B198" s="257">
        <v>2015</v>
      </c>
      <c r="C198" s="257">
        <v>2016</v>
      </c>
      <c r="D198" s="258">
        <v>2017</v>
      </c>
      <c r="E198" s="257">
        <v>2018</v>
      </c>
      <c r="F198" s="259">
        <v>2019</v>
      </c>
      <c r="G198" s="259">
        <v>2020</v>
      </c>
      <c r="H198" s="259">
        <v>2021</v>
      </c>
      <c r="I198" s="259">
        <v>2022</v>
      </c>
      <c r="J198" s="259">
        <v>2023</v>
      </c>
      <c r="K198" s="259">
        <v>2024</v>
      </c>
      <c r="L198" s="221"/>
    </row>
    <row r="199" spans="1:12" x14ac:dyDescent="0.25">
      <c r="A199" s="755" t="s">
        <v>832</v>
      </c>
      <c r="B199" s="756"/>
      <c r="C199" s="756"/>
      <c r="D199" s="756"/>
      <c r="E199" s="756"/>
      <c r="F199" s="756"/>
      <c r="G199" s="756"/>
      <c r="H199" s="507"/>
      <c r="I199" s="507"/>
      <c r="J199" s="507"/>
      <c r="K199" s="232"/>
      <c r="L199" s="221"/>
    </row>
    <row r="200" spans="1:12" x14ac:dyDescent="0.25">
      <c r="A200" s="247" t="s">
        <v>667</v>
      </c>
      <c r="B200" s="248"/>
      <c r="C200" s="248"/>
      <c r="D200" s="248"/>
      <c r="E200" s="248"/>
      <c r="F200" s="248"/>
      <c r="G200" s="248"/>
      <c r="H200" s="223"/>
      <c r="I200" s="223"/>
      <c r="J200" s="223"/>
      <c r="K200" s="224"/>
      <c r="L200" s="221"/>
    </row>
    <row r="201" spans="1:12" x14ac:dyDescent="0.25">
      <c r="A201" s="221"/>
      <c r="B201" s="221"/>
      <c r="C201" s="221"/>
      <c r="D201" s="221"/>
      <c r="E201" s="221"/>
      <c r="F201" s="221"/>
      <c r="G201" s="221"/>
      <c r="H201" s="221"/>
      <c r="I201" s="221"/>
      <c r="J201" s="221"/>
      <c r="K201" s="221"/>
      <c r="L201" s="221"/>
    </row>
    <row r="202" spans="1:12" x14ac:dyDescent="0.25">
      <c r="A202" s="249" t="s">
        <v>14</v>
      </c>
      <c r="B202" s="250" t="s">
        <v>66</v>
      </c>
      <c r="C202" s="251" t="s">
        <v>15</v>
      </c>
      <c r="D202" s="252"/>
      <c r="E202" s="252"/>
      <c r="F202" s="252"/>
      <c r="G202" s="221"/>
      <c r="H202" s="221"/>
      <c r="I202" s="221"/>
      <c r="J202" s="221"/>
      <c r="K202" s="221"/>
      <c r="L202" s="221"/>
    </row>
    <row r="203" spans="1:12" x14ac:dyDescent="0.25">
      <c r="A203" s="253" t="s">
        <v>16</v>
      </c>
      <c r="B203" s="324"/>
      <c r="C203" s="262">
        <v>2020</v>
      </c>
      <c r="D203" s="262">
        <v>2021</v>
      </c>
      <c r="E203" s="262">
        <v>2022</v>
      </c>
      <c r="F203" s="262">
        <v>2023</v>
      </c>
      <c r="G203" s="633">
        <v>2024</v>
      </c>
      <c r="H203" s="633">
        <v>2025</v>
      </c>
      <c r="I203" s="633">
        <v>2026</v>
      </c>
      <c r="J203" s="633">
        <v>2027</v>
      </c>
      <c r="K203" s="633">
        <v>2028</v>
      </c>
    </row>
    <row r="204" spans="1:12" x14ac:dyDescent="0.25">
      <c r="A204" s="253" t="s">
        <v>17</v>
      </c>
      <c r="B204" s="325"/>
      <c r="C204" s="215">
        <v>6043</v>
      </c>
      <c r="D204" s="215">
        <v>5946.3120000000008</v>
      </c>
      <c r="E204" s="215">
        <v>5994.6559999999999</v>
      </c>
      <c r="F204" s="215">
        <v>5994.6559999999999</v>
      </c>
      <c r="G204" s="45">
        <v>5994.6559999999999</v>
      </c>
      <c r="H204" s="45">
        <v>5994.6559999999999</v>
      </c>
      <c r="I204" s="45">
        <v>5994.6559999999999</v>
      </c>
      <c r="J204" s="45">
        <v>5994.6559999999999</v>
      </c>
      <c r="K204" s="45">
        <v>5994.6559999999999</v>
      </c>
    </row>
    <row r="205" spans="1:12" x14ac:dyDescent="0.25">
      <c r="A205" s="253" t="s">
        <v>18</v>
      </c>
      <c r="B205" s="325"/>
      <c r="C205" s="215"/>
      <c r="D205" s="215"/>
      <c r="E205" s="215">
        <f>E204+C208</f>
        <v>5753.6559999999999</v>
      </c>
      <c r="F205" s="215">
        <f>F204+D208</f>
        <v>5441.9680000000008</v>
      </c>
      <c r="G205" s="45">
        <f>G204-355.34</f>
        <v>5639.3159999999998</v>
      </c>
      <c r="H205" s="45">
        <f>H204-308</f>
        <v>5686.6559999999999</v>
      </c>
      <c r="I205" s="45">
        <f t="shared" ref="I205:K205" si="14">I204+G208</f>
        <v>5994.6559999999999</v>
      </c>
      <c r="J205" s="45">
        <f t="shared" si="14"/>
        <v>5994.6559999999999</v>
      </c>
      <c r="K205" s="45">
        <f t="shared" si="14"/>
        <v>5994.6559999999999</v>
      </c>
    </row>
    <row r="206" spans="1:12" x14ac:dyDescent="0.25">
      <c r="A206" s="253" t="s">
        <v>19</v>
      </c>
      <c r="B206" s="325"/>
      <c r="C206" s="215"/>
      <c r="D206" s="215"/>
      <c r="E206" s="215" t="s">
        <v>735</v>
      </c>
      <c r="F206" s="215" t="s">
        <v>736</v>
      </c>
      <c r="G206" s="45" t="s">
        <v>997</v>
      </c>
      <c r="H206" s="45" t="s">
        <v>996</v>
      </c>
      <c r="I206" s="45" t="s">
        <v>998</v>
      </c>
      <c r="J206" s="45" t="s">
        <v>999</v>
      </c>
      <c r="K206" s="45" t="s">
        <v>1000</v>
      </c>
    </row>
    <row r="207" spans="1:12" x14ac:dyDescent="0.25">
      <c r="A207" s="253" t="s">
        <v>20</v>
      </c>
      <c r="B207" s="325"/>
      <c r="C207" s="215">
        <v>6284</v>
      </c>
      <c r="D207" s="215">
        <v>6499</v>
      </c>
      <c r="E207" s="215">
        <v>7341</v>
      </c>
      <c r="F207" s="215"/>
      <c r="G207" s="45"/>
      <c r="H207" s="45"/>
      <c r="I207" s="45"/>
      <c r="J207" s="45"/>
      <c r="K207" s="45"/>
    </row>
    <row r="208" spans="1:12" x14ac:dyDescent="0.25">
      <c r="A208" s="253" t="s">
        <v>21</v>
      </c>
      <c r="B208" s="440"/>
      <c r="C208" s="215">
        <f>C204-C207</f>
        <v>-241</v>
      </c>
      <c r="D208" s="215">
        <f>D204-D207</f>
        <v>-552.68799999999919</v>
      </c>
      <c r="E208" s="215">
        <f>E205-E207</f>
        <v>-1587.3440000000001</v>
      </c>
      <c r="F208" s="215"/>
      <c r="G208" s="45"/>
      <c r="H208" s="45"/>
      <c r="I208" s="45"/>
      <c r="J208" s="45"/>
      <c r="K208" s="45"/>
    </row>
    <row r="209" spans="1:12" x14ac:dyDescent="0.25">
      <c r="A209" s="256" t="s">
        <v>22</v>
      </c>
      <c r="B209" s="441"/>
      <c r="C209" s="227">
        <v>2022</v>
      </c>
      <c r="D209" s="227">
        <v>2023</v>
      </c>
      <c r="E209" s="227">
        <v>2024</v>
      </c>
      <c r="F209" s="227">
        <v>2025</v>
      </c>
      <c r="G209" s="610">
        <v>2026</v>
      </c>
      <c r="H209" s="610">
        <v>2027</v>
      </c>
      <c r="I209" s="610">
        <v>2028</v>
      </c>
      <c r="J209" s="610">
        <v>2029</v>
      </c>
      <c r="K209" s="610">
        <v>2030</v>
      </c>
    </row>
    <row r="210" spans="1:12" ht="12.75" customHeight="1" x14ac:dyDescent="0.25">
      <c r="A210" s="710" t="s">
        <v>23</v>
      </c>
      <c r="B210" s="586"/>
      <c r="C210" s="586"/>
      <c r="D210" s="586"/>
      <c r="E210" s="586"/>
      <c r="F210" s="586"/>
      <c r="G210" s="711"/>
      <c r="H210" s="711"/>
      <c r="I210" s="711"/>
      <c r="J210" s="711"/>
      <c r="K210" s="712"/>
      <c r="L210" s="706"/>
    </row>
    <row r="211" spans="1:12" ht="12.75" customHeight="1" x14ac:dyDescent="0.25">
      <c r="A211" s="707" t="s">
        <v>668</v>
      </c>
      <c r="B211" s="706"/>
      <c r="C211" s="706"/>
      <c r="D211" s="706"/>
      <c r="E211" s="706"/>
      <c r="F211" s="706"/>
      <c r="G211" s="339"/>
      <c r="H211" s="339"/>
      <c r="I211" s="221"/>
      <c r="J211" s="221"/>
      <c r="K211" s="222"/>
      <c r="L211" s="221"/>
    </row>
    <row r="212" spans="1:12" ht="12.75" customHeight="1" x14ac:dyDescent="0.25">
      <c r="A212" s="708" t="s">
        <v>995</v>
      </c>
      <c r="B212" s="709"/>
      <c r="C212" s="709"/>
      <c r="D212" s="709"/>
      <c r="E212" s="709"/>
      <c r="F212" s="519"/>
      <c r="G212" s="519"/>
      <c r="H212" s="519"/>
      <c r="I212" s="223"/>
      <c r="J212" s="223"/>
      <c r="K212" s="224"/>
      <c r="L212" s="221"/>
    </row>
    <row r="213" spans="1:12" x14ac:dyDescent="0.25">
      <c r="A213" s="221"/>
      <c r="B213" s="221"/>
      <c r="C213" s="445"/>
      <c r="D213" s="221"/>
      <c r="E213" s="221"/>
      <c r="F213" s="221"/>
      <c r="G213" s="221"/>
      <c r="H213" s="221"/>
      <c r="I213" s="221"/>
      <c r="J213" s="221"/>
      <c r="K213" s="221"/>
      <c r="L213" s="221"/>
    </row>
    <row r="214" spans="1:12" x14ac:dyDescent="0.25">
      <c r="A214" s="249" t="s">
        <v>14</v>
      </c>
      <c r="B214" s="250" t="s">
        <v>74</v>
      </c>
      <c r="C214" s="251" t="s">
        <v>15</v>
      </c>
      <c r="D214" s="252"/>
      <c r="E214" s="252"/>
      <c r="F214" s="252"/>
      <c r="G214" s="221"/>
      <c r="H214" s="221"/>
      <c r="I214" s="221"/>
      <c r="J214" s="221"/>
      <c r="K214" s="221"/>
      <c r="L214" s="221"/>
    </row>
    <row r="215" spans="1:12" x14ac:dyDescent="0.25">
      <c r="A215" s="253" t="s">
        <v>16</v>
      </c>
      <c r="B215" s="251">
        <v>2014</v>
      </c>
      <c r="C215" s="251">
        <v>2015</v>
      </c>
      <c r="D215" s="254">
        <v>2016</v>
      </c>
      <c r="E215" s="251">
        <v>2017</v>
      </c>
      <c r="F215" s="250">
        <v>2018</v>
      </c>
      <c r="G215" s="262">
        <v>2019</v>
      </c>
      <c r="H215" s="262">
        <v>2020</v>
      </c>
      <c r="I215" s="262">
        <v>2021</v>
      </c>
      <c r="J215" s="262">
        <v>2022</v>
      </c>
      <c r="K215" s="221"/>
      <c r="L215" s="221"/>
    </row>
    <row r="216" spans="1:12" x14ac:dyDescent="0.25">
      <c r="A216" s="253" t="s">
        <v>17</v>
      </c>
      <c r="B216" s="325">
        <v>190</v>
      </c>
      <c r="C216" s="325">
        <v>190</v>
      </c>
      <c r="D216" s="325">
        <v>190</v>
      </c>
      <c r="E216" s="325">
        <v>190</v>
      </c>
      <c r="F216" s="429">
        <v>190</v>
      </c>
      <c r="G216" s="215">
        <v>190</v>
      </c>
      <c r="H216" s="215">
        <v>159.80000000000001</v>
      </c>
      <c r="I216" s="215">
        <v>159.80000000000001</v>
      </c>
      <c r="J216" s="215">
        <v>159.80000000000001</v>
      </c>
      <c r="K216" s="221"/>
      <c r="L216" s="221"/>
    </row>
    <row r="217" spans="1:12" x14ac:dyDescent="0.25">
      <c r="A217" s="253" t="s">
        <v>18</v>
      </c>
      <c r="B217" s="325"/>
      <c r="C217" s="325"/>
      <c r="D217" s="325"/>
      <c r="E217" s="325"/>
      <c r="F217" s="429"/>
      <c r="G217" s="215"/>
      <c r="H217" s="215"/>
      <c r="I217" s="215"/>
      <c r="J217" s="215"/>
      <c r="K217" s="221"/>
      <c r="L217" s="221"/>
    </row>
    <row r="218" spans="1:12" x14ac:dyDescent="0.25">
      <c r="A218" s="253" t="s">
        <v>19</v>
      </c>
      <c r="B218" s="325"/>
      <c r="C218" s="325"/>
      <c r="D218" s="325"/>
      <c r="E218" s="325"/>
      <c r="F218" s="429"/>
      <c r="G218" s="215"/>
      <c r="H218" s="215"/>
      <c r="I218" s="215"/>
      <c r="J218" s="215"/>
      <c r="K218" s="221"/>
      <c r="L218" s="221"/>
    </row>
    <row r="219" spans="1:12" x14ac:dyDescent="0.25">
      <c r="A219" s="253" t="s">
        <v>20</v>
      </c>
      <c r="B219" s="325">
        <v>104.95522</v>
      </c>
      <c r="C219" s="325">
        <v>89.182190000000006</v>
      </c>
      <c r="D219" s="325">
        <v>79.192750000000004</v>
      </c>
      <c r="E219" s="338">
        <v>64.003107999999997</v>
      </c>
      <c r="F219" s="325">
        <v>37</v>
      </c>
      <c r="G219" s="215">
        <v>19.91</v>
      </c>
      <c r="H219" s="215">
        <v>13</v>
      </c>
      <c r="I219" s="215">
        <v>2</v>
      </c>
      <c r="J219" s="215">
        <v>3</v>
      </c>
      <c r="K219" s="221"/>
      <c r="L219" s="221"/>
    </row>
    <row r="220" spans="1:12" x14ac:dyDescent="0.25">
      <c r="A220" s="253" t="s">
        <v>21</v>
      </c>
      <c r="B220" s="440"/>
      <c r="C220" s="440"/>
      <c r="D220" s="440"/>
      <c r="E220" s="440"/>
      <c r="F220" s="587"/>
      <c r="G220" s="226"/>
      <c r="H220" s="226"/>
      <c r="I220" s="226"/>
      <c r="J220" s="226"/>
      <c r="K220" s="221"/>
      <c r="L220" s="221"/>
    </row>
    <row r="221" spans="1:12" x14ac:dyDescent="0.25">
      <c r="A221" s="256" t="s">
        <v>22</v>
      </c>
      <c r="B221" s="441"/>
      <c r="C221" s="441"/>
      <c r="D221" s="588"/>
      <c r="E221" s="441"/>
      <c r="F221" s="589"/>
      <c r="G221" s="227"/>
      <c r="H221" s="227"/>
      <c r="I221" s="227"/>
      <c r="J221" s="227"/>
      <c r="K221" s="221"/>
      <c r="L221" s="221"/>
    </row>
    <row r="222" spans="1:12" ht="36" customHeight="1" x14ac:dyDescent="0.25">
      <c r="A222" s="759" t="s">
        <v>324</v>
      </c>
      <c r="B222" s="760"/>
      <c r="C222" s="760"/>
      <c r="D222" s="760"/>
      <c r="E222" s="760"/>
      <c r="F222" s="760"/>
      <c r="G222" s="760"/>
      <c r="H222" s="760"/>
      <c r="I222" s="760"/>
      <c r="J222" s="761"/>
      <c r="K222" s="221"/>
      <c r="L222" s="221"/>
    </row>
    <row r="223" spans="1:12" x14ac:dyDescent="0.25">
      <c r="A223" s="221"/>
      <c r="B223" s="221"/>
      <c r="C223" s="445"/>
      <c r="D223" s="221"/>
      <c r="E223" s="221"/>
      <c r="F223" s="221"/>
      <c r="G223" s="221"/>
      <c r="H223" s="221"/>
      <c r="I223" s="221"/>
      <c r="J223" s="221"/>
      <c r="K223" s="221"/>
      <c r="L223" s="221"/>
    </row>
    <row r="224" spans="1:12" x14ac:dyDescent="0.25">
      <c r="A224" s="249" t="s">
        <v>14</v>
      </c>
      <c r="B224" s="250" t="s">
        <v>79</v>
      </c>
      <c r="C224" s="251" t="s">
        <v>15</v>
      </c>
      <c r="D224" s="252"/>
      <c r="E224" s="252"/>
      <c r="F224" s="252"/>
      <c r="G224" s="221"/>
      <c r="H224" s="221"/>
      <c r="I224" s="221"/>
      <c r="J224" s="221"/>
      <c r="K224" s="221"/>
      <c r="L224" s="221"/>
    </row>
    <row r="225" spans="1:12" x14ac:dyDescent="0.25">
      <c r="A225" s="253" t="s">
        <v>16</v>
      </c>
      <c r="B225" s="251">
        <v>2014</v>
      </c>
      <c r="C225" s="251">
        <v>2015</v>
      </c>
      <c r="D225" s="254">
        <v>2016</v>
      </c>
      <c r="E225" s="251">
        <v>2017</v>
      </c>
      <c r="F225" s="250">
        <v>2018</v>
      </c>
      <c r="G225" s="262">
        <v>2019</v>
      </c>
      <c r="H225" s="262">
        <v>2020</v>
      </c>
      <c r="I225" s="262">
        <v>2021</v>
      </c>
      <c r="J225" s="262">
        <v>2022</v>
      </c>
      <c r="K225" s="221"/>
      <c r="L225" s="221"/>
    </row>
    <row r="226" spans="1:12" x14ac:dyDescent="0.25">
      <c r="A226" s="253" t="s">
        <v>17</v>
      </c>
      <c r="B226" s="440">
        <v>50</v>
      </c>
      <c r="C226" s="440">
        <v>50</v>
      </c>
      <c r="D226" s="440">
        <v>50</v>
      </c>
      <c r="E226" s="440">
        <v>50</v>
      </c>
      <c r="F226" s="587">
        <v>50</v>
      </c>
      <c r="G226" s="215">
        <v>50</v>
      </c>
      <c r="H226" s="215">
        <v>50</v>
      </c>
      <c r="I226" s="215">
        <v>50</v>
      </c>
      <c r="J226" s="215">
        <v>50</v>
      </c>
      <c r="K226" s="221"/>
      <c r="L226" s="221"/>
    </row>
    <row r="227" spans="1:12" x14ac:dyDescent="0.25">
      <c r="A227" s="253" t="s">
        <v>18</v>
      </c>
      <c r="B227" s="440"/>
      <c r="C227" s="440"/>
      <c r="D227" s="440"/>
      <c r="E227" s="440"/>
      <c r="F227" s="587"/>
      <c r="G227" s="226"/>
      <c r="H227" s="215"/>
      <c r="I227" s="215"/>
      <c r="J227" s="215"/>
      <c r="K227" s="221"/>
      <c r="L227" s="221"/>
    </row>
    <row r="228" spans="1:12" x14ac:dyDescent="0.25">
      <c r="A228" s="253" t="s">
        <v>19</v>
      </c>
      <c r="B228" s="440"/>
      <c r="C228" s="440"/>
      <c r="D228" s="440"/>
      <c r="E228" s="440"/>
      <c r="F228" s="587"/>
      <c r="G228" s="226"/>
      <c r="H228" s="215"/>
      <c r="I228" s="215"/>
      <c r="J228" s="215"/>
      <c r="K228" s="221"/>
      <c r="L228" s="221"/>
    </row>
    <row r="229" spans="1:12" x14ac:dyDescent="0.25">
      <c r="A229" s="253" t="s">
        <v>20</v>
      </c>
      <c r="B229" s="440">
        <v>102.32362999999999</v>
      </c>
      <c r="C229" s="440">
        <v>121.20529999999999</v>
      </c>
      <c r="D229" s="440">
        <v>66.934179999999998</v>
      </c>
      <c r="E229" s="440">
        <v>46.581100000000006</v>
      </c>
      <c r="F229" s="440">
        <v>62</v>
      </c>
      <c r="G229" s="226">
        <v>76.31</v>
      </c>
      <c r="H229" s="215">
        <v>46</v>
      </c>
      <c r="I229" s="215">
        <v>0</v>
      </c>
      <c r="J229" s="215">
        <v>0</v>
      </c>
      <c r="K229" s="221"/>
      <c r="L229" s="221"/>
    </row>
    <row r="230" spans="1:12" x14ac:dyDescent="0.25">
      <c r="A230" s="253" t="s">
        <v>21</v>
      </c>
      <c r="B230" s="440"/>
      <c r="C230" s="440"/>
      <c r="D230" s="440"/>
      <c r="E230" s="440"/>
      <c r="F230" s="587"/>
      <c r="G230" s="226"/>
      <c r="H230" s="215"/>
      <c r="I230" s="215"/>
      <c r="J230" s="215"/>
      <c r="K230" s="221"/>
      <c r="L230" s="221"/>
    </row>
    <row r="231" spans="1:12" x14ac:dyDescent="0.25">
      <c r="A231" s="253" t="s">
        <v>22</v>
      </c>
      <c r="B231" s="324"/>
      <c r="C231" s="324"/>
      <c r="D231" s="582"/>
      <c r="E231" s="324"/>
      <c r="F231" s="590"/>
      <c r="G231" s="226"/>
      <c r="H231" s="215"/>
      <c r="I231" s="215"/>
      <c r="J231" s="215"/>
      <c r="K231" s="221"/>
      <c r="L231" s="221"/>
    </row>
    <row r="232" spans="1:12" x14ac:dyDescent="0.25">
      <c r="A232" s="754" t="s">
        <v>23</v>
      </c>
      <c r="B232" s="754"/>
      <c r="C232" s="754"/>
      <c r="D232" s="754"/>
      <c r="E232" s="754"/>
      <c r="F232" s="754"/>
      <c r="G232" s="226"/>
      <c r="H232" s="215"/>
      <c r="I232" s="215"/>
      <c r="J232" s="215"/>
      <c r="K232" s="221"/>
      <c r="L232" s="221"/>
    </row>
    <row r="233" spans="1:12" ht="38.25" customHeight="1" x14ac:dyDescent="0.25">
      <c r="A233" s="752" t="s">
        <v>324</v>
      </c>
      <c r="B233" s="753"/>
      <c r="C233" s="753"/>
      <c r="D233" s="753"/>
      <c r="E233" s="753"/>
      <c r="F233" s="753"/>
      <c r="G233" s="753"/>
      <c r="H233" s="753"/>
      <c r="I233" s="753"/>
      <c r="J233" s="753"/>
      <c r="K233" s="221"/>
      <c r="L233" s="221"/>
    </row>
    <row r="234" spans="1:12" x14ac:dyDescent="0.25">
      <c r="A234" s="252"/>
      <c r="B234" s="252"/>
      <c r="C234" s="252"/>
      <c r="D234" s="252"/>
      <c r="E234" s="252"/>
      <c r="F234" s="252"/>
      <c r="G234" s="221"/>
      <c r="H234" s="221"/>
      <c r="I234" s="221"/>
      <c r="J234" s="221"/>
      <c r="K234" s="221"/>
      <c r="L234" s="221"/>
    </row>
    <row r="235" spans="1:12" x14ac:dyDescent="0.25">
      <c r="A235" s="252"/>
      <c r="B235" s="252"/>
      <c r="C235" s="252"/>
      <c r="D235" s="252"/>
      <c r="E235" s="252"/>
      <c r="F235" s="252"/>
      <c r="G235" s="221"/>
      <c r="H235" s="221"/>
      <c r="I235" s="221"/>
      <c r="J235" s="221"/>
      <c r="K235" s="221"/>
      <c r="L235" s="221"/>
    </row>
    <row r="236" spans="1:12" x14ac:dyDescent="0.25">
      <c r="A236" s="591" t="s">
        <v>12</v>
      </c>
      <c r="B236" s="550" t="s">
        <v>171</v>
      </c>
      <c r="C236" s="221"/>
      <c r="D236" s="221"/>
      <c r="E236" s="221"/>
      <c r="F236" s="221"/>
      <c r="G236" s="221"/>
      <c r="H236" s="221"/>
      <c r="I236" s="221"/>
      <c r="J236" s="221"/>
      <c r="K236" s="221"/>
      <c r="L236" s="221"/>
    </row>
    <row r="237" spans="1:12" x14ac:dyDescent="0.25">
      <c r="A237" s="211" t="s">
        <v>14</v>
      </c>
      <c r="B237" s="362" t="s">
        <v>636</v>
      </c>
      <c r="C237" s="262" t="s">
        <v>15</v>
      </c>
      <c r="D237" s="221"/>
      <c r="E237" s="221"/>
      <c r="F237" s="221"/>
      <c r="G237" s="221"/>
      <c r="H237" s="221"/>
      <c r="I237" s="221"/>
      <c r="J237" s="221"/>
      <c r="K237" s="221"/>
      <c r="L237" s="221"/>
    </row>
    <row r="238" spans="1:12" x14ac:dyDescent="0.25">
      <c r="A238" s="262" t="s">
        <v>16</v>
      </c>
      <c r="B238" s="262"/>
      <c r="C238" s="262">
        <v>2016</v>
      </c>
      <c r="D238" s="262">
        <v>2017</v>
      </c>
      <c r="E238" s="262">
        <v>2018</v>
      </c>
      <c r="F238" s="262">
        <v>2019</v>
      </c>
      <c r="G238" s="262">
        <v>2020</v>
      </c>
      <c r="H238" s="262">
        <v>2021</v>
      </c>
      <c r="I238" s="262">
        <v>2022</v>
      </c>
      <c r="J238" s="262">
        <v>2023</v>
      </c>
      <c r="K238" s="221"/>
      <c r="L238" s="221"/>
    </row>
    <row r="239" spans="1:12" x14ac:dyDescent="0.25">
      <c r="A239" s="226" t="s">
        <v>17</v>
      </c>
      <c r="B239" s="226"/>
      <c r="C239" s="215">
        <v>1348</v>
      </c>
      <c r="D239" s="215">
        <v>1348</v>
      </c>
      <c r="E239" s="215">
        <v>1348</v>
      </c>
      <c r="F239" s="215">
        <v>1348</v>
      </c>
      <c r="G239" s="215">
        <v>1348</v>
      </c>
      <c r="H239" s="215">
        <v>1348</v>
      </c>
      <c r="I239" s="215">
        <v>1348</v>
      </c>
      <c r="J239" s="215">
        <v>1348</v>
      </c>
      <c r="K239" s="221"/>
      <c r="L239" s="221"/>
    </row>
    <row r="240" spans="1:12" x14ac:dyDescent="0.25">
      <c r="A240" s="226" t="s">
        <v>18</v>
      </c>
      <c r="B240" s="226"/>
      <c r="C240" s="215">
        <v>2040.2</v>
      </c>
      <c r="D240" s="215">
        <v>2070.1999999999998</v>
      </c>
      <c r="E240" s="215">
        <v>2070.1999999999998</v>
      </c>
      <c r="F240" s="215">
        <v>2045.1999999999998</v>
      </c>
      <c r="G240" s="215">
        <f>G239*1.15+125+35+35+100</f>
        <v>1845.1999999999998</v>
      </c>
      <c r="H240" s="215">
        <f>H239+0.15*F239+150+35+35+200</f>
        <v>1970.2</v>
      </c>
      <c r="I240" s="215">
        <f>I239+150+35+35+250+202.2</f>
        <v>2020.2</v>
      </c>
      <c r="J240" s="215">
        <f>J239+125+35+35+327+202.2</f>
        <v>2072.1999999999998</v>
      </c>
      <c r="K240" s="221"/>
      <c r="L240" s="221"/>
    </row>
    <row r="241" spans="1:14" x14ac:dyDescent="0.25">
      <c r="A241" s="226" t="s">
        <v>19</v>
      </c>
      <c r="B241" s="226"/>
      <c r="C241" s="215"/>
      <c r="D241" s="215"/>
      <c r="E241" s="215"/>
      <c r="F241" s="215"/>
      <c r="G241" s="215"/>
      <c r="H241" s="215"/>
      <c r="I241" s="215"/>
      <c r="J241" s="215"/>
      <c r="K241" s="221"/>
      <c r="L241" s="221"/>
    </row>
    <row r="242" spans="1:14" x14ac:dyDescent="0.25">
      <c r="A242" s="226" t="s">
        <v>20</v>
      </c>
      <c r="B242" s="226"/>
      <c r="C242" s="215">
        <v>1558.88</v>
      </c>
      <c r="D242" s="215">
        <v>1209.21</v>
      </c>
      <c r="E242" s="215">
        <v>786.81</v>
      </c>
      <c r="F242" s="215">
        <v>997.23400000000004</v>
      </c>
      <c r="G242" s="215">
        <v>1343</v>
      </c>
      <c r="H242" s="215">
        <v>1380.2959000000001</v>
      </c>
      <c r="I242" s="215">
        <v>1341.5989999999999</v>
      </c>
      <c r="J242" s="215"/>
      <c r="K242" s="221"/>
      <c r="L242" s="221"/>
    </row>
    <row r="243" spans="1:14" x14ac:dyDescent="0.25">
      <c r="A243" s="22" t="s">
        <v>21</v>
      </c>
      <c r="B243" s="22"/>
      <c r="C243" s="23">
        <v>481.32</v>
      </c>
      <c r="D243" s="23">
        <v>860.99</v>
      </c>
      <c r="E243" s="23">
        <v>1283.3900000000001</v>
      </c>
      <c r="F243" s="23">
        <v>1047.9659999999999</v>
      </c>
      <c r="G243" s="23">
        <f>G240-G242</f>
        <v>502.19999999999982</v>
      </c>
      <c r="H243" s="23">
        <f>H240-H242</f>
        <v>589.90409999999997</v>
      </c>
      <c r="I243" s="23">
        <f>I240-I242</f>
        <v>678.60100000000011</v>
      </c>
      <c r="J243" s="23"/>
    </row>
    <row r="244" spans="1:14" x14ac:dyDescent="0.25">
      <c r="A244" s="36" t="s">
        <v>22</v>
      </c>
      <c r="B244" s="36"/>
      <c r="C244" s="36">
        <v>2018</v>
      </c>
      <c r="D244" s="36">
        <v>2019</v>
      </c>
      <c r="E244" s="36">
        <v>2020</v>
      </c>
      <c r="F244" s="36">
        <v>2021</v>
      </c>
      <c r="G244" s="36">
        <v>2022</v>
      </c>
      <c r="H244" s="36">
        <v>2023</v>
      </c>
      <c r="I244" s="36">
        <v>2024</v>
      </c>
      <c r="J244" s="36">
        <v>2025</v>
      </c>
    </row>
    <row r="245" spans="1:14" x14ac:dyDescent="0.25">
      <c r="A245" s="1" t="s">
        <v>168</v>
      </c>
      <c r="B245" s="2"/>
      <c r="C245" s="2"/>
      <c r="D245" s="2"/>
      <c r="E245" s="2"/>
      <c r="F245" s="2"/>
      <c r="G245" s="2"/>
      <c r="H245" s="2"/>
      <c r="I245" s="2"/>
      <c r="J245" s="3"/>
      <c r="K245" s="4"/>
      <c r="L245" s="4"/>
      <c r="M245" s="4"/>
      <c r="N245" s="4"/>
    </row>
    <row r="246" spans="1:14" x14ac:dyDescent="0.25">
      <c r="A246" s="5" t="s">
        <v>169</v>
      </c>
      <c r="B246" s="4"/>
      <c r="C246" s="4"/>
      <c r="D246" s="4"/>
      <c r="E246" s="4"/>
      <c r="F246" s="4"/>
      <c r="G246" s="4"/>
      <c r="H246" s="4"/>
      <c r="I246" s="4"/>
      <c r="J246" s="6"/>
      <c r="K246" s="4"/>
      <c r="L246" s="4"/>
      <c r="M246" s="4"/>
      <c r="N246" s="4"/>
    </row>
    <row r="247" spans="1:14" x14ac:dyDescent="0.25">
      <c r="A247" s="5" t="s">
        <v>170</v>
      </c>
      <c r="B247" s="4"/>
      <c r="C247" s="4"/>
      <c r="D247" s="4"/>
      <c r="E247" s="4"/>
      <c r="F247" s="4"/>
      <c r="G247" s="4"/>
      <c r="H247" s="4"/>
      <c r="I247" s="4"/>
      <c r="J247" s="6"/>
      <c r="K247" s="4"/>
      <c r="L247" s="4"/>
      <c r="M247" s="4"/>
      <c r="N247" s="4"/>
    </row>
    <row r="248" spans="1:14" x14ac:dyDescent="0.25">
      <c r="A248" s="5" t="s">
        <v>394</v>
      </c>
      <c r="J248" s="21"/>
    </row>
    <row r="249" spans="1:14" x14ac:dyDescent="0.25">
      <c r="A249" s="5" t="s">
        <v>518</v>
      </c>
      <c r="J249" s="21"/>
    </row>
    <row r="250" spans="1:14" x14ac:dyDescent="0.25">
      <c r="A250" s="5" t="s">
        <v>519</v>
      </c>
      <c r="J250" s="21"/>
    </row>
    <row r="251" spans="1:14" x14ac:dyDescent="0.25">
      <c r="A251" s="5" t="s">
        <v>619</v>
      </c>
      <c r="J251" s="21"/>
    </row>
    <row r="252" spans="1:14" x14ac:dyDescent="0.25">
      <c r="A252" s="71" t="s">
        <v>801</v>
      </c>
      <c r="B252" s="33"/>
      <c r="C252" s="33"/>
      <c r="D252" s="33"/>
      <c r="E252" s="33"/>
      <c r="F252" s="33"/>
      <c r="G252" s="33"/>
      <c r="H252" s="33"/>
      <c r="I252" s="33"/>
      <c r="J252" s="34"/>
    </row>
    <row r="254" spans="1:14" x14ac:dyDescent="0.25">
      <c r="A254" s="260" t="s">
        <v>14</v>
      </c>
      <c r="B254" s="261" t="s">
        <v>658</v>
      </c>
      <c r="C254" s="262" t="s">
        <v>15</v>
      </c>
      <c r="D254" s="221"/>
      <c r="E254" s="221"/>
      <c r="F254" s="221"/>
      <c r="G254" s="221"/>
      <c r="H254" s="221"/>
      <c r="I254" s="221"/>
    </row>
    <row r="255" spans="1:14" x14ac:dyDescent="0.25">
      <c r="A255" s="263" t="s">
        <v>16</v>
      </c>
      <c r="B255" s="263"/>
      <c r="C255" s="264">
        <v>2016</v>
      </c>
      <c r="D255" s="264">
        <v>2017</v>
      </c>
      <c r="E255" s="264">
        <v>2018</v>
      </c>
      <c r="F255" s="264">
        <v>2019</v>
      </c>
      <c r="G255" s="264">
        <v>2020</v>
      </c>
      <c r="H255" s="264">
        <v>2021</v>
      </c>
      <c r="I255" s="264">
        <v>2022</v>
      </c>
      <c r="J255" s="264">
        <v>2023</v>
      </c>
    </row>
    <row r="256" spans="1:14" x14ac:dyDescent="0.25">
      <c r="A256" s="263" t="s">
        <v>17</v>
      </c>
      <c r="B256" s="263"/>
      <c r="C256" s="265">
        <v>452.47</v>
      </c>
      <c r="D256" s="265">
        <v>452.47</v>
      </c>
      <c r="E256" s="265">
        <v>530.59</v>
      </c>
      <c r="F256" s="265">
        <v>530.59</v>
      </c>
      <c r="G256" s="265">
        <v>530.59</v>
      </c>
      <c r="H256" s="265">
        <v>530.59</v>
      </c>
      <c r="I256" s="265">
        <v>558.65</v>
      </c>
      <c r="J256" s="265">
        <v>558.65</v>
      </c>
    </row>
    <row r="257" spans="1:10" x14ac:dyDescent="0.25">
      <c r="A257" s="263" t="s">
        <v>18</v>
      </c>
      <c r="B257" s="263"/>
      <c r="C257" s="265">
        <v>504.74</v>
      </c>
      <c r="D257" s="265">
        <f>D256+C260+55.98</f>
        <v>547.08000000000004</v>
      </c>
      <c r="E257" s="265">
        <f>E256+0.1*D256+73.98</f>
        <v>649.81700000000001</v>
      </c>
      <c r="F257" s="265">
        <f>F256+0.1*E256+9.62+60.44</f>
        <v>653.70900000000006</v>
      </c>
      <c r="G257" s="265">
        <f>G256+F260+79.44+4.78</f>
        <v>635.64900000000011</v>
      </c>
      <c r="H257" s="508">
        <f>H256+G260+100.44+4.78</f>
        <v>679.85600000000022</v>
      </c>
      <c r="I257" s="508">
        <f>I256+H260+60+4.78</f>
        <v>674.7560000000002</v>
      </c>
      <c r="J257" s="508">
        <f>J256+I260+5.18+60</f>
        <v>663.41600000000017</v>
      </c>
    </row>
    <row r="258" spans="1:10" x14ac:dyDescent="0.25">
      <c r="A258" s="263" t="s">
        <v>19</v>
      </c>
      <c r="B258" s="263"/>
      <c r="C258" s="266"/>
      <c r="D258" s="266"/>
      <c r="E258" s="215"/>
      <c r="F258" s="215"/>
      <c r="G258" s="215"/>
      <c r="H258" s="215"/>
      <c r="I258" s="215"/>
      <c r="J258" s="215"/>
    </row>
    <row r="259" spans="1:10" x14ac:dyDescent="0.25">
      <c r="A259" s="263" t="s">
        <v>20</v>
      </c>
      <c r="B259" s="263"/>
      <c r="C259" s="265">
        <v>466.11</v>
      </c>
      <c r="D259" s="266">
        <v>471.65</v>
      </c>
      <c r="E259" s="215">
        <v>553.98</v>
      </c>
      <c r="F259" s="215">
        <v>632.86999999999989</v>
      </c>
      <c r="G259" s="215">
        <v>591.60299999999995</v>
      </c>
      <c r="H259" s="45">
        <v>628.53</v>
      </c>
      <c r="I259" s="215">
        <v>635.16999999999996</v>
      </c>
      <c r="J259" s="215"/>
    </row>
    <row r="260" spans="1:10" x14ac:dyDescent="0.25">
      <c r="A260" s="263" t="s">
        <v>21</v>
      </c>
      <c r="B260" s="263"/>
      <c r="C260" s="215">
        <f t="shared" ref="C260:I260" si="15">C257-C259</f>
        <v>38.629999999999995</v>
      </c>
      <c r="D260" s="215">
        <f t="shared" si="15"/>
        <v>75.430000000000064</v>
      </c>
      <c r="E260" s="215">
        <f t="shared" si="15"/>
        <v>95.836999999999989</v>
      </c>
      <c r="F260" s="215">
        <f t="shared" si="15"/>
        <v>20.839000000000169</v>
      </c>
      <c r="G260" s="215">
        <f t="shared" si="15"/>
        <v>44.046000000000163</v>
      </c>
      <c r="H260" s="45">
        <f t="shared" si="15"/>
        <v>51.326000000000249</v>
      </c>
      <c r="I260" s="215">
        <f t="shared" si="15"/>
        <v>39.58600000000024</v>
      </c>
      <c r="J260" s="215"/>
    </row>
    <row r="261" spans="1:10" x14ac:dyDescent="0.25">
      <c r="A261" s="218" t="s">
        <v>22</v>
      </c>
      <c r="B261" s="218"/>
      <c r="C261" s="267">
        <v>2017</v>
      </c>
      <c r="D261" s="268">
        <v>2018</v>
      </c>
      <c r="E261" s="227">
        <v>2019</v>
      </c>
      <c r="F261" s="227">
        <v>2020</v>
      </c>
      <c r="G261" s="227">
        <v>2021</v>
      </c>
      <c r="H261" s="227">
        <v>2022</v>
      </c>
      <c r="I261" s="227">
        <v>2023</v>
      </c>
      <c r="J261" s="227">
        <v>2024</v>
      </c>
    </row>
    <row r="262" spans="1:10" x14ac:dyDescent="0.25">
      <c r="A262" s="269" t="s">
        <v>749</v>
      </c>
      <c r="B262" s="270"/>
      <c r="C262" s="270"/>
      <c r="D262" s="270"/>
      <c r="E262" s="270"/>
      <c r="F262" s="270"/>
      <c r="G262" s="270"/>
      <c r="H262" s="219"/>
      <c r="I262" s="219"/>
      <c r="J262" s="31"/>
    </row>
    <row r="263" spans="1:10" x14ac:dyDescent="0.25">
      <c r="A263" s="271" t="s">
        <v>750</v>
      </c>
      <c r="B263" s="272"/>
      <c r="C263" s="272"/>
      <c r="D263" s="272"/>
      <c r="E263" s="272"/>
      <c r="F263" s="272"/>
      <c r="G263" s="272"/>
      <c r="H263" s="221"/>
      <c r="I263" s="221"/>
      <c r="J263" s="21"/>
    </row>
    <row r="264" spans="1:10" x14ac:dyDescent="0.25">
      <c r="A264" s="271" t="s">
        <v>751</v>
      </c>
      <c r="B264" s="272"/>
      <c r="C264" s="272"/>
      <c r="D264" s="272"/>
      <c r="E264" s="272"/>
      <c r="F264" s="272"/>
      <c r="G264" s="272"/>
      <c r="H264" s="221"/>
      <c r="I264" s="221"/>
      <c r="J264" s="21"/>
    </row>
    <row r="265" spans="1:10" x14ac:dyDescent="0.25">
      <c r="A265" s="220" t="s">
        <v>752</v>
      </c>
      <c r="B265" s="221"/>
      <c r="C265" s="221"/>
      <c r="D265" s="221"/>
      <c r="E265" s="221"/>
      <c r="F265" s="221"/>
      <c r="G265" s="221"/>
      <c r="H265" s="221"/>
      <c r="I265" s="221"/>
      <c r="J265" s="21"/>
    </row>
    <row r="266" spans="1:10" x14ac:dyDescent="0.25">
      <c r="A266" s="220" t="s">
        <v>753</v>
      </c>
      <c r="B266" s="221"/>
      <c r="C266" s="221"/>
      <c r="D266" s="221"/>
      <c r="E266" s="221"/>
      <c r="F266" s="221"/>
      <c r="G266" s="221"/>
      <c r="H266" s="221"/>
      <c r="I266" s="221"/>
      <c r="J266" s="21"/>
    </row>
    <row r="267" spans="1:10" x14ac:dyDescent="0.25">
      <c r="A267" s="220" t="s">
        <v>754</v>
      </c>
      <c r="B267" s="221"/>
      <c r="C267" s="221"/>
      <c r="D267" s="221"/>
      <c r="E267" s="221"/>
      <c r="F267" s="221"/>
      <c r="G267" s="221"/>
      <c r="H267" s="221"/>
      <c r="I267" s="221"/>
      <c r="J267" s="21"/>
    </row>
    <row r="268" spans="1:10" x14ac:dyDescent="0.25">
      <c r="A268" s="203" t="s">
        <v>802</v>
      </c>
      <c r="B268" s="221"/>
      <c r="C268" s="221"/>
      <c r="D268" s="221"/>
      <c r="E268" s="221"/>
      <c r="F268" s="221"/>
      <c r="G268" s="221"/>
      <c r="H268" s="221"/>
      <c r="I268" s="221"/>
      <c r="J268" s="21"/>
    </row>
    <row r="269" spans="1:10" x14ac:dyDescent="0.25">
      <c r="A269" s="203" t="s">
        <v>934</v>
      </c>
      <c r="B269" s="221"/>
      <c r="C269" s="221"/>
      <c r="D269" s="221"/>
      <c r="E269" s="221"/>
      <c r="F269" s="221"/>
      <c r="G269" s="221"/>
      <c r="H269" s="221"/>
      <c r="I269" s="221"/>
      <c r="J269" s="21"/>
    </row>
    <row r="270" spans="1:10" x14ac:dyDescent="0.25">
      <c r="A270" s="211" t="s">
        <v>620</v>
      </c>
      <c r="B270" s="223"/>
      <c r="C270" s="223"/>
      <c r="D270" s="223"/>
      <c r="E270" s="223"/>
      <c r="F270" s="223"/>
      <c r="G270" s="223"/>
      <c r="H270" s="223"/>
      <c r="I270" s="223"/>
      <c r="J270" s="34"/>
    </row>
    <row r="272" spans="1:10" x14ac:dyDescent="0.25">
      <c r="A272" s="114" t="s">
        <v>12</v>
      </c>
      <c r="B272" s="548" t="s">
        <v>153</v>
      </c>
    </row>
    <row r="273" spans="1:15" x14ac:dyDescent="0.25">
      <c r="A273" s="72" t="s">
        <v>14</v>
      </c>
      <c r="B273" s="55" t="s">
        <v>637</v>
      </c>
      <c r="C273" s="40" t="s">
        <v>15</v>
      </c>
    </row>
    <row r="274" spans="1:15" x14ac:dyDescent="0.25">
      <c r="A274" s="73" t="s">
        <v>16</v>
      </c>
      <c r="B274" s="74">
        <v>2010</v>
      </c>
      <c r="C274" s="74">
        <v>2011</v>
      </c>
      <c r="D274" s="74">
        <v>2012</v>
      </c>
      <c r="E274" s="74">
        <v>2013</v>
      </c>
      <c r="F274" s="74">
        <v>2014</v>
      </c>
      <c r="G274" s="74">
        <v>2015</v>
      </c>
      <c r="H274" s="74">
        <v>2016</v>
      </c>
      <c r="I274" s="74">
        <v>2017</v>
      </c>
      <c r="J274" s="74">
        <v>2018</v>
      </c>
      <c r="K274" s="74">
        <v>2019</v>
      </c>
      <c r="L274" s="51">
        <v>2020</v>
      </c>
      <c r="M274" s="51">
        <v>2021</v>
      </c>
      <c r="N274" s="51">
        <v>2022</v>
      </c>
      <c r="O274" s="51">
        <v>2023</v>
      </c>
    </row>
    <row r="275" spans="1:15" x14ac:dyDescent="0.25">
      <c r="A275" s="73" t="s">
        <v>17</v>
      </c>
      <c r="B275" s="48">
        <v>200</v>
      </c>
      <c r="C275" s="48">
        <v>200</v>
      </c>
      <c r="D275" s="48">
        <v>200</v>
      </c>
      <c r="E275" s="48">
        <v>200</v>
      </c>
      <c r="F275" s="48">
        <v>200</v>
      </c>
      <c r="G275" s="48">
        <v>200</v>
      </c>
      <c r="H275" s="47">
        <v>200</v>
      </c>
      <c r="I275" s="48">
        <v>200</v>
      </c>
      <c r="J275" s="48">
        <v>200</v>
      </c>
      <c r="K275" s="48">
        <v>215</v>
      </c>
      <c r="L275" s="23">
        <v>215</v>
      </c>
      <c r="M275" s="23">
        <v>242</v>
      </c>
      <c r="N275" s="23">
        <v>242</v>
      </c>
      <c r="O275" s="23">
        <v>242</v>
      </c>
    </row>
    <row r="276" spans="1:15" x14ac:dyDescent="0.25">
      <c r="A276" s="73" t="s">
        <v>18</v>
      </c>
      <c r="B276" s="48">
        <v>250</v>
      </c>
      <c r="C276" s="48">
        <v>250</v>
      </c>
      <c r="D276" s="48">
        <v>250</v>
      </c>
      <c r="E276" s="48">
        <v>250</v>
      </c>
      <c r="F276" s="48">
        <v>200</v>
      </c>
      <c r="G276" s="48">
        <v>250</v>
      </c>
      <c r="H276" s="47">
        <v>250</v>
      </c>
      <c r="I276" s="48">
        <v>250</v>
      </c>
      <c r="J276" s="48">
        <v>250</v>
      </c>
      <c r="K276" s="48">
        <v>265</v>
      </c>
      <c r="L276" s="48">
        <v>265</v>
      </c>
      <c r="M276" s="48">
        <f>M275+0.25*K275</f>
        <v>295.75</v>
      </c>
      <c r="N276" s="48">
        <f>N275+0.25*L275</f>
        <v>295.75</v>
      </c>
      <c r="O276" s="48">
        <f>O275+M279</f>
        <v>246.43</v>
      </c>
    </row>
    <row r="277" spans="1:15" x14ac:dyDescent="0.25">
      <c r="A277" s="73" t="s">
        <v>19</v>
      </c>
      <c r="B277" s="48"/>
      <c r="C277" s="48"/>
      <c r="D277" s="48"/>
      <c r="E277" s="48"/>
      <c r="F277" s="48"/>
      <c r="G277" s="48"/>
      <c r="H277" s="47"/>
      <c r="I277" s="47"/>
      <c r="J277" s="47"/>
      <c r="K277" s="47"/>
      <c r="L277" s="47"/>
      <c r="M277" s="23"/>
      <c r="N277" s="23"/>
      <c r="O277" s="23"/>
    </row>
    <row r="278" spans="1:15" x14ac:dyDescent="0.25">
      <c r="A278" s="73" t="s">
        <v>20</v>
      </c>
      <c r="B278" s="48">
        <v>150</v>
      </c>
      <c r="C278" s="48">
        <v>101</v>
      </c>
      <c r="D278" s="48">
        <v>21</v>
      </c>
      <c r="E278" s="48">
        <v>81.085999999999999</v>
      </c>
      <c r="F278" s="48">
        <v>34.866999999999997</v>
      </c>
      <c r="G278" s="48">
        <v>20.963999999999999</v>
      </c>
      <c r="H278" s="47">
        <v>103.196</v>
      </c>
      <c r="I278" s="47">
        <v>123.654</v>
      </c>
      <c r="J278" s="47">
        <v>123.839</v>
      </c>
      <c r="K278" s="47">
        <v>129.16</v>
      </c>
      <c r="L278" s="47">
        <v>207.66</v>
      </c>
      <c r="M278" s="23">
        <v>291.32</v>
      </c>
      <c r="N278" s="23">
        <v>239.87</v>
      </c>
      <c r="O278" s="23"/>
    </row>
    <row r="279" spans="1:15" x14ac:dyDescent="0.25">
      <c r="A279" s="73" t="s">
        <v>21</v>
      </c>
      <c r="B279" s="48">
        <v>100</v>
      </c>
      <c r="C279" s="48">
        <v>149</v>
      </c>
      <c r="D279" s="48">
        <v>229</v>
      </c>
      <c r="E279" s="48">
        <v>168.91399999999999</v>
      </c>
      <c r="F279" s="48">
        <v>165.13300000000001</v>
      </c>
      <c r="G279" s="48">
        <v>229.036</v>
      </c>
      <c r="H279" s="47">
        <v>146.804</v>
      </c>
      <c r="I279" s="47">
        <v>126.364</v>
      </c>
      <c r="J279" s="47">
        <v>126.161</v>
      </c>
      <c r="K279" s="47">
        <v>135.84</v>
      </c>
      <c r="L279" s="47">
        <f>L276-L278</f>
        <v>57.34</v>
      </c>
      <c r="M279" s="47">
        <f>M276-M278</f>
        <v>4.4300000000000068</v>
      </c>
      <c r="N279" s="47">
        <f>N276-N278</f>
        <v>55.879999999999995</v>
      </c>
      <c r="O279" s="23"/>
    </row>
    <row r="280" spans="1:15" x14ac:dyDescent="0.25">
      <c r="A280" s="73" t="s">
        <v>22</v>
      </c>
      <c r="B280" s="62">
        <v>2012</v>
      </c>
      <c r="C280" s="62">
        <v>2013</v>
      </c>
      <c r="D280" s="62">
        <v>2014</v>
      </c>
      <c r="E280" s="62">
        <v>2015</v>
      </c>
      <c r="F280" s="62">
        <v>2016</v>
      </c>
      <c r="G280" s="62">
        <v>2017</v>
      </c>
      <c r="H280" s="54">
        <v>2018</v>
      </c>
      <c r="I280" s="54">
        <v>2019</v>
      </c>
      <c r="J280" s="54">
        <v>2020</v>
      </c>
      <c r="K280" s="54">
        <v>2021</v>
      </c>
      <c r="L280" s="54">
        <v>2022</v>
      </c>
      <c r="M280" s="54">
        <v>2023</v>
      </c>
      <c r="N280" s="54">
        <v>2024</v>
      </c>
      <c r="O280" s="54">
        <v>2025</v>
      </c>
    </row>
    <row r="281" spans="1:15" x14ac:dyDescent="0.25">
      <c r="A281" s="745" t="s">
        <v>154</v>
      </c>
      <c r="B281" s="746"/>
      <c r="C281" s="746"/>
      <c r="D281" s="746"/>
      <c r="E281" s="746"/>
      <c r="F281" s="746"/>
      <c r="G281" s="746"/>
      <c r="H281" s="746"/>
      <c r="I281" s="746"/>
      <c r="J281" s="746"/>
      <c r="K281" s="746"/>
      <c r="L281" s="746"/>
      <c r="M281" s="746"/>
      <c r="N281" s="746"/>
      <c r="O281" s="747"/>
    </row>
    <row r="282" spans="1:15" x14ac:dyDescent="0.25">
      <c r="A282" s="75" t="s">
        <v>329</v>
      </c>
      <c r="B282" s="30"/>
      <c r="C282" s="30"/>
      <c r="D282" s="30"/>
      <c r="E282" s="30"/>
      <c r="F282" s="30"/>
      <c r="G282" s="30"/>
      <c r="H282" s="30"/>
      <c r="I282" s="30"/>
      <c r="J282" s="30"/>
      <c r="K282" s="30"/>
      <c r="L282" s="30"/>
      <c r="M282" s="30"/>
      <c r="N282" s="31"/>
    </row>
    <row r="283" spans="1:15" x14ac:dyDescent="0.25">
      <c r="A283" s="76" t="s">
        <v>376</v>
      </c>
      <c r="N283" s="21"/>
    </row>
    <row r="284" spans="1:15" x14ac:dyDescent="0.25">
      <c r="A284" s="76" t="s">
        <v>377</v>
      </c>
      <c r="N284" s="21"/>
    </row>
    <row r="285" spans="1:15" x14ac:dyDescent="0.25">
      <c r="A285" s="76" t="s">
        <v>437</v>
      </c>
      <c r="N285" s="21"/>
    </row>
    <row r="286" spans="1:15" x14ac:dyDescent="0.25">
      <c r="A286" s="76" t="s">
        <v>621</v>
      </c>
      <c r="N286" s="21"/>
    </row>
    <row r="287" spans="1:15" x14ac:dyDescent="0.25">
      <c r="A287" s="59" t="s">
        <v>803</v>
      </c>
      <c r="B287" s="33"/>
      <c r="C287" s="33"/>
      <c r="D287" s="33"/>
      <c r="E287" s="33"/>
      <c r="F287" s="33"/>
      <c r="G287" s="33"/>
      <c r="H287" s="33"/>
      <c r="I287" s="33"/>
      <c r="J287" s="33"/>
      <c r="K287" s="33"/>
      <c r="L287" s="33"/>
      <c r="M287" s="33"/>
      <c r="N287" s="34"/>
    </row>
    <row r="289" spans="1:16" x14ac:dyDescent="0.25">
      <c r="A289" s="40" t="s">
        <v>14</v>
      </c>
      <c r="B289" s="40" t="s">
        <v>651</v>
      </c>
      <c r="C289" s="40" t="s">
        <v>15</v>
      </c>
    </row>
    <row r="290" spans="1:16" x14ac:dyDescent="0.25">
      <c r="A290" s="73" t="s">
        <v>16</v>
      </c>
      <c r="B290" s="74">
        <v>2010</v>
      </c>
      <c r="C290" s="74">
        <v>2011</v>
      </c>
      <c r="D290" s="74">
        <v>2012</v>
      </c>
      <c r="E290" s="74">
        <v>2013</v>
      </c>
      <c r="F290" s="74">
        <v>2014</v>
      </c>
      <c r="G290" s="74">
        <v>2015</v>
      </c>
      <c r="H290" s="74">
        <v>2016</v>
      </c>
      <c r="I290" s="74">
        <v>2017</v>
      </c>
      <c r="J290" s="74">
        <v>2018</v>
      </c>
      <c r="K290" s="74">
        <v>2019</v>
      </c>
      <c r="L290" s="74">
        <v>2020</v>
      </c>
      <c r="M290" s="51">
        <v>2021</v>
      </c>
      <c r="N290" s="51">
        <v>2022</v>
      </c>
      <c r="O290" s="51">
        <v>2023</v>
      </c>
      <c r="P290" s="198">
        <v>2024</v>
      </c>
    </row>
    <row r="291" spans="1:16" x14ac:dyDescent="0.25">
      <c r="A291" s="73" t="s">
        <v>17</v>
      </c>
      <c r="B291" s="48">
        <v>100</v>
      </c>
      <c r="C291" s="48">
        <v>100</v>
      </c>
      <c r="D291" s="48">
        <v>100</v>
      </c>
      <c r="E291" s="48">
        <v>100</v>
      </c>
      <c r="F291" s="48">
        <v>100</v>
      </c>
      <c r="G291" s="48">
        <v>100</v>
      </c>
      <c r="H291" s="47">
        <v>100</v>
      </c>
      <c r="I291" s="48">
        <v>200</v>
      </c>
      <c r="J291" s="47">
        <v>200</v>
      </c>
      <c r="K291" s="48">
        <v>200</v>
      </c>
      <c r="L291" s="48">
        <v>200</v>
      </c>
      <c r="M291" s="47">
        <v>200</v>
      </c>
      <c r="N291" s="47">
        <v>200</v>
      </c>
      <c r="O291" s="199">
        <v>240</v>
      </c>
      <c r="P291" s="199">
        <v>240</v>
      </c>
    </row>
    <row r="292" spans="1:16" x14ac:dyDescent="0.25">
      <c r="A292" s="73" t="s">
        <v>18</v>
      </c>
      <c r="B292" s="48">
        <v>100</v>
      </c>
      <c r="C292" s="48">
        <v>100</v>
      </c>
      <c r="D292" s="48">
        <v>100</v>
      </c>
      <c r="E292" s="48">
        <v>100</v>
      </c>
      <c r="F292" s="48">
        <v>100</v>
      </c>
      <c r="G292" s="48">
        <v>125</v>
      </c>
      <c r="H292" s="47">
        <v>125</v>
      </c>
      <c r="I292" s="48">
        <f>200+G295</f>
        <v>204.595</v>
      </c>
      <c r="J292" s="48">
        <v>250</v>
      </c>
      <c r="K292" s="48">
        <f>K291+I295</f>
        <v>220.04499999999999</v>
      </c>
      <c r="L292" s="48">
        <v>250</v>
      </c>
      <c r="M292" s="47">
        <f>M291*1.25</f>
        <v>250</v>
      </c>
      <c r="N292" s="47">
        <f>N291*1.25</f>
        <v>250</v>
      </c>
      <c r="O292" s="199">
        <f>O291+0.25*M291</f>
        <v>290</v>
      </c>
      <c r="P292" s="199">
        <f>P291+2.98</f>
        <v>242.98</v>
      </c>
    </row>
    <row r="293" spans="1:16" x14ac:dyDescent="0.25">
      <c r="A293" s="73" t="s">
        <v>19</v>
      </c>
      <c r="B293" s="117"/>
      <c r="C293" s="117"/>
      <c r="D293" s="117"/>
      <c r="E293" s="117"/>
      <c r="F293" s="117"/>
      <c r="G293" s="117"/>
      <c r="H293" s="23"/>
      <c r="I293" s="23"/>
      <c r="J293" s="23"/>
      <c r="K293" s="23"/>
      <c r="L293" s="23"/>
      <c r="M293" s="23"/>
      <c r="N293" s="23"/>
      <c r="O293" s="45"/>
      <c r="P293" s="45"/>
    </row>
    <row r="294" spans="1:16" x14ac:dyDescent="0.25">
      <c r="A294" s="73" t="s">
        <v>20</v>
      </c>
      <c r="B294" s="48">
        <v>100</v>
      </c>
      <c r="C294" s="48">
        <v>80.05</v>
      </c>
      <c r="D294" s="48">
        <v>61.02</v>
      </c>
      <c r="E294" s="48">
        <v>65.126999999999995</v>
      </c>
      <c r="F294" s="48">
        <v>33.822000000000003</v>
      </c>
      <c r="G294" s="48">
        <v>120.405</v>
      </c>
      <c r="H294" s="47">
        <v>94.369</v>
      </c>
      <c r="I294" s="47">
        <v>184.55</v>
      </c>
      <c r="J294" s="47">
        <v>116.455</v>
      </c>
      <c r="K294" s="47">
        <v>132.07</v>
      </c>
      <c r="L294" s="47">
        <v>183.94</v>
      </c>
      <c r="M294" s="47">
        <v>9.66</v>
      </c>
      <c r="N294" s="47">
        <v>31.19</v>
      </c>
      <c r="O294" s="47"/>
      <c r="P294" s="199"/>
    </row>
    <row r="295" spans="1:16" x14ac:dyDescent="0.25">
      <c r="A295" s="73" t="s">
        <v>21</v>
      </c>
      <c r="B295" s="48">
        <f>B292-B294</f>
        <v>0</v>
      </c>
      <c r="C295" s="48">
        <f t="shared" ref="C295:N295" si="16">C292-C294</f>
        <v>19.950000000000003</v>
      </c>
      <c r="D295" s="48">
        <f t="shared" si="16"/>
        <v>38.979999999999997</v>
      </c>
      <c r="E295" s="48">
        <f t="shared" si="16"/>
        <v>34.873000000000005</v>
      </c>
      <c r="F295" s="48">
        <f t="shared" si="16"/>
        <v>66.177999999999997</v>
      </c>
      <c r="G295" s="48">
        <f t="shared" si="16"/>
        <v>4.5949999999999989</v>
      </c>
      <c r="H295" s="48">
        <f t="shared" si="16"/>
        <v>30.631</v>
      </c>
      <c r="I295" s="48">
        <f t="shared" si="16"/>
        <v>20.044999999999987</v>
      </c>
      <c r="J295" s="48">
        <f t="shared" si="16"/>
        <v>133.54500000000002</v>
      </c>
      <c r="K295" s="48">
        <f t="shared" si="16"/>
        <v>87.974999999999994</v>
      </c>
      <c r="L295" s="48">
        <f t="shared" si="16"/>
        <v>66.06</v>
      </c>
      <c r="M295" s="48">
        <f t="shared" si="16"/>
        <v>240.34</v>
      </c>
      <c r="N295" s="48">
        <f t="shared" si="16"/>
        <v>218.81</v>
      </c>
      <c r="O295" s="47"/>
      <c r="P295" s="199"/>
    </row>
    <row r="296" spans="1:16" x14ac:dyDescent="0.25">
      <c r="A296" s="118" t="s">
        <v>22</v>
      </c>
      <c r="B296" s="119">
        <v>2012</v>
      </c>
      <c r="C296" s="119">
        <v>2013</v>
      </c>
      <c r="D296" s="119">
        <v>2014</v>
      </c>
      <c r="E296" s="119">
        <v>2015</v>
      </c>
      <c r="F296" s="119">
        <v>2016</v>
      </c>
      <c r="G296" s="119">
        <v>2017</v>
      </c>
      <c r="H296" s="57">
        <v>2018</v>
      </c>
      <c r="I296" s="57">
        <v>2019</v>
      </c>
      <c r="J296" s="57">
        <v>2020</v>
      </c>
      <c r="K296" s="57">
        <v>2021</v>
      </c>
      <c r="L296" s="57">
        <v>2022</v>
      </c>
      <c r="M296" s="57">
        <v>2023</v>
      </c>
      <c r="N296" s="57">
        <v>2024</v>
      </c>
      <c r="O296" s="57">
        <v>2025</v>
      </c>
      <c r="P296" s="200">
        <v>2026</v>
      </c>
    </row>
    <row r="297" spans="1:16" x14ac:dyDescent="0.25">
      <c r="A297" s="49" t="s">
        <v>154</v>
      </c>
      <c r="B297" s="30"/>
      <c r="C297" s="30"/>
      <c r="D297" s="30"/>
      <c r="E297" s="30"/>
      <c r="F297" s="30"/>
      <c r="G297" s="30"/>
      <c r="H297" s="30"/>
      <c r="I297" s="30"/>
      <c r="J297" s="30"/>
      <c r="K297" s="30"/>
      <c r="L297" s="30"/>
      <c r="M297" s="30"/>
      <c r="N297" s="30"/>
      <c r="O297" s="30"/>
      <c r="P297" s="31"/>
    </row>
    <row r="298" spans="1:16" x14ac:dyDescent="0.25">
      <c r="A298" s="75" t="s">
        <v>155</v>
      </c>
      <c r="B298" s="30"/>
      <c r="C298" s="30"/>
      <c r="D298" s="30"/>
      <c r="E298" s="30"/>
      <c r="F298" s="30"/>
      <c r="G298" s="30"/>
      <c r="H298" s="30"/>
      <c r="I298" s="30"/>
      <c r="J298" s="30"/>
      <c r="K298" s="30"/>
      <c r="L298" s="30"/>
      <c r="M298" s="30"/>
      <c r="N298" s="30"/>
      <c r="O298" s="30"/>
      <c r="P298" s="31"/>
    </row>
    <row r="299" spans="1:16" x14ac:dyDescent="0.25">
      <c r="A299" s="76" t="s">
        <v>337</v>
      </c>
      <c r="P299" s="21"/>
    </row>
    <row r="300" spans="1:16" x14ac:dyDescent="0.25">
      <c r="A300" s="76" t="s">
        <v>156</v>
      </c>
      <c r="P300" s="21"/>
    </row>
    <row r="301" spans="1:16" x14ac:dyDescent="0.25">
      <c r="A301" s="76" t="s">
        <v>338</v>
      </c>
      <c r="P301" s="21"/>
    </row>
    <row r="302" spans="1:16" x14ac:dyDescent="0.25">
      <c r="A302" s="76" t="s">
        <v>438</v>
      </c>
      <c r="P302" s="21"/>
    </row>
    <row r="303" spans="1:16" x14ac:dyDescent="0.25">
      <c r="A303" s="76" t="s">
        <v>586</v>
      </c>
      <c r="P303" s="21"/>
    </row>
    <row r="304" spans="1:16" x14ac:dyDescent="0.25">
      <c r="A304" s="76" t="s">
        <v>804</v>
      </c>
      <c r="P304" s="21"/>
    </row>
    <row r="305" spans="1:16" x14ac:dyDescent="0.25">
      <c r="A305" s="692" t="s">
        <v>982</v>
      </c>
      <c r="B305" s="33"/>
      <c r="C305" s="33"/>
      <c r="D305" s="33"/>
      <c r="E305" s="33"/>
      <c r="F305" s="33"/>
      <c r="G305" s="33"/>
      <c r="H305" s="33"/>
      <c r="I305" s="33"/>
      <c r="J305" s="33"/>
      <c r="K305" s="33"/>
      <c r="L305" s="33"/>
      <c r="M305" s="33"/>
      <c r="N305" s="33"/>
      <c r="O305" s="33"/>
      <c r="P305" s="34"/>
    </row>
    <row r="307" spans="1:16" x14ac:dyDescent="0.25">
      <c r="A307" s="91" t="s">
        <v>14</v>
      </c>
      <c r="B307" s="55" t="s">
        <v>636</v>
      </c>
      <c r="C307" s="55" t="s">
        <v>15</v>
      </c>
    </row>
    <row r="308" spans="1:16" x14ac:dyDescent="0.25">
      <c r="A308" s="120" t="s">
        <v>16</v>
      </c>
      <c r="B308" s="121">
        <v>2010</v>
      </c>
      <c r="C308" s="74">
        <v>2011</v>
      </c>
      <c r="D308" s="74">
        <v>2012</v>
      </c>
      <c r="E308" s="74">
        <v>2013</v>
      </c>
      <c r="F308" s="74">
        <v>2014</v>
      </c>
      <c r="G308" s="74">
        <v>2015</v>
      </c>
      <c r="H308" s="74">
        <v>2016</v>
      </c>
      <c r="I308" s="74">
        <v>2017</v>
      </c>
      <c r="J308" s="74">
        <v>2018</v>
      </c>
      <c r="K308" s="74">
        <v>2019</v>
      </c>
      <c r="L308" s="74">
        <v>2020</v>
      </c>
      <c r="M308" s="51">
        <v>2021</v>
      </c>
      <c r="N308" s="51">
        <v>2022</v>
      </c>
      <c r="O308" s="51">
        <v>2023</v>
      </c>
    </row>
    <row r="309" spans="1:16" x14ac:dyDescent="0.25">
      <c r="A309" s="73" t="s">
        <v>17</v>
      </c>
      <c r="B309" s="48">
        <v>75</v>
      </c>
      <c r="C309" s="48">
        <v>75</v>
      </c>
      <c r="D309" s="48">
        <v>75</v>
      </c>
      <c r="E309" s="48">
        <v>75</v>
      </c>
      <c r="F309" s="48">
        <v>75</v>
      </c>
      <c r="G309" s="48">
        <v>75</v>
      </c>
      <c r="H309" s="48">
        <v>75</v>
      </c>
      <c r="I309" s="48">
        <v>75</v>
      </c>
      <c r="J309" s="47">
        <v>100</v>
      </c>
      <c r="K309" s="48">
        <v>100</v>
      </c>
      <c r="L309" s="48">
        <v>100</v>
      </c>
      <c r="M309" s="47">
        <v>100</v>
      </c>
      <c r="N309" s="47">
        <v>100</v>
      </c>
      <c r="O309" s="47">
        <v>100</v>
      </c>
    </row>
    <row r="310" spans="1:16" x14ac:dyDescent="0.25">
      <c r="A310" s="73" t="s">
        <v>18</v>
      </c>
      <c r="B310" s="48">
        <v>79</v>
      </c>
      <c r="C310" s="48">
        <v>80</v>
      </c>
      <c r="D310" s="48">
        <v>105.3</v>
      </c>
      <c r="E310" s="48">
        <v>100</v>
      </c>
      <c r="F310" s="48">
        <v>100</v>
      </c>
      <c r="G310" s="47">
        <v>104.054</v>
      </c>
      <c r="H310" s="48">
        <v>137.5</v>
      </c>
      <c r="I310" s="48">
        <v>88</v>
      </c>
      <c r="J310" s="47">
        <v>90.442999999999998</v>
      </c>
      <c r="K310" s="48">
        <f>K309-12.726+6.69</f>
        <v>93.963999999999999</v>
      </c>
      <c r="L310" s="48">
        <v>103.95</v>
      </c>
      <c r="M310" s="47">
        <f>M309+K313</f>
        <v>102.404</v>
      </c>
      <c r="N310" s="47">
        <f>N309+L313</f>
        <v>107.78</v>
      </c>
      <c r="O310" s="47">
        <f>O309+0.15*M309</f>
        <v>115</v>
      </c>
    </row>
    <row r="311" spans="1:16" x14ac:dyDescent="0.25">
      <c r="A311" s="73" t="s">
        <v>19</v>
      </c>
      <c r="B311" s="48"/>
      <c r="C311" s="48"/>
      <c r="D311" s="48"/>
      <c r="E311" s="48"/>
      <c r="F311" s="48"/>
      <c r="G311" s="47"/>
      <c r="H311" s="47"/>
      <c r="I311" s="47"/>
      <c r="J311" s="53"/>
      <c r="K311" s="47"/>
      <c r="L311" s="47"/>
      <c r="M311" s="47"/>
      <c r="N311" s="47"/>
      <c r="O311" s="47"/>
    </row>
    <row r="312" spans="1:16" x14ac:dyDescent="0.25">
      <c r="A312" s="73" t="s">
        <v>20</v>
      </c>
      <c r="B312" s="48">
        <v>74</v>
      </c>
      <c r="C312" s="48">
        <v>74.7</v>
      </c>
      <c r="D312" s="48">
        <v>59</v>
      </c>
      <c r="E312" s="48">
        <v>95.945999999999998</v>
      </c>
      <c r="F312" s="48">
        <v>60.292999999999999</v>
      </c>
      <c r="G312" s="47">
        <v>140.78</v>
      </c>
      <c r="H312" s="47">
        <v>135.05699999999999</v>
      </c>
      <c r="I312" s="47">
        <v>81.31</v>
      </c>
      <c r="J312" s="47">
        <v>86.498000000000005</v>
      </c>
      <c r="K312" s="47">
        <v>91.56</v>
      </c>
      <c r="L312" s="47">
        <v>96.17</v>
      </c>
      <c r="M312" s="47">
        <v>58.583999999999996</v>
      </c>
      <c r="N312" s="47">
        <v>37.61</v>
      </c>
      <c r="O312" s="47"/>
    </row>
    <row r="313" spans="1:16" x14ac:dyDescent="0.25">
      <c r="A313" s="73" t="s">
        <v>21</v>
      </c>
      <c r="B313" s="48">
        <v>5</v>
      </c>
      <c r="C313" s="48">
        <v>5.3</v>
      </c>
      <c r="D313" s="48">
        <v>46.3</v>
      </c>
      <c r="E313" s="48">
        <v>4.0540000000000003</v>
      </c>
      <c r="F313" s="48">
        <v>39.707000000000001</v>
      </c>
      <c r="G313" s="47">
        <v>-36.725999999999999</v>
      </c>
      <c r="H313" s="47">
        <v>2.4430000000000001</v>
      </c>
      <c r="I313" s="47">
        <v>6.6899999999999977</v>
      </c>
      <c r="J313" s="47">
        <v>3.9449999999999998</v>
      </c>
      <c r="K313" s="47">
        <f>K310-K312</f>
        <v>2.4039999999999964</v>
      </c>
      <c r="L313" s="47">
        <f>L310-L312</f>
        <v>7.7800000000000011</v>
      </c>
      <c r="M313" s="47">
        <f>M310-M312</f>
        <v>43.82</v>
      </c>
      <c r="N313" s="47">
        <f>N310-N312</f>
        <v>70.17</v>
      </c>
      <c r="O313" s="47"/>
    </row>
    <row r="314" spans="1:16" x14ac:dyDescent="0.25">
      <c r="A314" s="118" t="s">
        <v>22</v>
      </c>
      <c r="B314" s="119">
        <v>2011</v>
      </c>
      <c r="C314" s="119">
        <v>2012</v>
      </c>
      <c r="D314" s="119">
        <v>2014</v>
      </c>
      <c r="E314" s="119">
        <v>2015</v>
      </c>
      <c r="F314" s="119">
        <v>2016</v>
      </c>
      <c r="G314" s="57">
        <v>2017</v>
      </c>
      <c r="H314" s="57">
        <v>2018</v>
      </c>
      <c r="I314" s="57">
        <v>2019</v>
      </c>
      <c r="J314" s="57">
        <v>2020</v>
      </c>
      <c r="K314" s="57">
        <v>2021</v>
      </c>
      <c r="L314" s="57">
        <v>2022</v>
      </c>
      <c r="M314" s="36">
        <v>2023</v>
      </c>
      <c r="N314" s="36">
        <v>2024</v>
      </c>
      <c r="O314" s="36">
        <v>2025</v>
      </c>
    </row>
    <row r="315" spans="1:16" x14ac:dyDescent="0.25">
      <c r="A315" s="745" t="s">
        <v>154</v>
      </c>
      <c r="B315" s="746"/>
      <c r="C315" s="746"/>
      <c r="D315" s="746"/>
      <c r="E315" s="746"/>
      <c r="F315" s="746"/>
      <c r="G315" s="746"/>
      <c r="H315" s="746"/>
      <c r="I315" s="746"/>
      <c r="J315" s="746"/>
      <c r="K315" s="746"/>
      <c r="L315" s="746"/>
      <c r="M315" s="746"/>
      <c r="N315" s="746"/>
      <c r="O315" s="747"/>
    </row>
    <row r="316" spans="1:16" x14ac:dyDescent="0.25">
      <c r="A316" s="745" t="s">
        <v>439</v>
      </c>
      <c r="B316" s="746"/>
      <c r="C316" s="746"/>
      <c r="D316" s="746"/>
      <c r="E316" s="746"/>
      <c r="F316" s="746"/>
      <c r="G316" s="746"/>
      <c r="H316" s="746"/>
      <c r="I316" s="746"/>
      <c r="J316" s="746"/>
      <c r="K316" s="746"/>
      <c r="L316" s="746"/>
      <c r="M316" s="746"/>
      <c r="N316" s="30"/>
      <c r="O316" s="31"/>
    </row>
    <row r="317" spans="1:16" x14ac:dyDescent="0.25">
      <c r="A317" s="76" t="s">
        <v>339</v>
      </c>
      <c r="O317" s="21"/>
    </row>
    <row r="318" spans="1:16" x14ac:dyDescent="0.25">
      <c r="A318" s="20" t="s">
        <v>157</v>
      </c>
      <c r="O318" s="21"/>
    </row>
    <row r="319" spans="1:16" x14ac:dyDescent="0.25">
      <c r="A319" s="20" t="s">
        <v>440</v>
      </c>
      <c r="O319" s="21"/>
    </row>
    <row r="320" spans="1:16" x14ac:dyDescent="0.25">
      <c r="A320" s="20" t="s">
        <v>441</v>
      </c>
      <c r="O320" s="21"/>
    </row>
    <row r="321" spans="1:15" x14ac:dyDescent="0.25">
      <c r="A321" s="20" t="s">
        <v>622</v>
      </c>
      <c r="O321" s="21"/>
    </row>
    <row r="322" spans="1:15" x14ac:dyDescent="0.25">
      <c r="A322" s="32" t="s">
        <v>805</v>
      </c>
      <c r="B322" s="33"/>
      <c r="C322" s="33"/>
      <c r="D322" s="33"/>
      <c r="E322" s="33"/>
      <c r="F322" s="33"/>
      <c r="G322" s="33"/>
      <c r="H322" s="33"/>
      <c r="I322" s="33"/>
      <c r="J322" s="33"/>
      <c r="K322" s="33"/>
      <c r="L322" s="33"/>
      <c r="M322" s="33"/>
      <c r="N322" s="33"/>
      <c r="O322" s="34"/>
    </row>
    <row r="324" spans="1:15" x14ac:dyDescent="0.25">
      <c r="A324" s="91" t="s">
        <v>14</v>
      </c>
      <c r="B324" s="55" t="s">
        <v>654</v>
      </c>
      <c r="C324" s="55" t="s">
        <v>15</v>
      </c>
    </row>
    <row r="325" spans="1:15" x14ac:dyDescent="0.25">
      <c r="A325" s="73" t="s">
        <v>16</v>
      </c>
      <c r="B325" s="74">
        <v>2010</v>
      </c>
      <c r="C325" s="74">
        <v>2011</v>
      </c>
      <c r="D325" s="74">
        <v>2012</v>
      </c>
      <c r="E325" s="74">
        <v>2013</v>
      </c>
      <c r="F325" s="74">
        <v>2014</v>
      </c>
      <c r="G325" s="74">
        <v>2015</v>
      </c>
      <c r="H325" s="74">
        <v>2016</v>
      </c>
      <c r="I325" s="74">
        <v>2017</v>
      </c>
      <c r="J325" s="51">
        <v>2018</v>
      </c>
      <c r="K325" s="74">
        <v>2019</v>
      </c>
      <c r="L325" s="74">
        <v>2020</v>
      </c>
      <c r="M325" s="51">
        <v>2021</v>
      </c>
      <c r="N325" s="51">
        <v>2022</v>
      </c>
      <c r="O325" s="51">
        <v>2023</v>
      </c>
    </row>
    <row r="326" spans="1:15" x14ac:dyDescent="0.25">
      <c r="A326" s="73" t="s">
        <v>17</v>
      </c>
      <c r="B326" s="48">
        <v>263</v>
      </c>
      <c r="C326" s="48">
        <v>263</v>
      </c>
      <c r="D326" s="48">
        <v>263</v>
      </c>
      <c r="E326" s="48">
        <v>263</v>
      </c>
      <c r="F326" s="48">
        <v>263</v>
      </c>
      <c r="G326" s="48">
        <v>263</v>
      </c>
      <c r="H326" s="48">
        <v>263</v>
      </c>
      <c r="I326" s="48">
        <v>313</v>
      </c>
      <c r="J326" s="47">
        <v>313</v>
      </c>
      <c r="K326" s="48">
        <v>313</v>
      </c>
      <c r="L326" s="48">
        <v>313</v>
      </c>
      <c r="M326" s="48">
        <v>313</v>
      </c>
      <c r="N326" s="48">
        <v>313</v>
      </c>
      <c r="O326" s="48">
        <v>313</v>
      </c>
    </row>
    <row r="327" spans="1:15" x14ac:dyDescent="0.25">
      <c r="A327" s="73" t="s">
        <v>18</v>
      </c>
      <c r="B327" s="48">
        <v>393</v>
      </c>
      <c r="C327" s="48">
        <v>362</v>
      </c>
      <c r="D327" s="48">
        <v>377.49</v>
      </c>
      <c r="E327" s="48">
        <v>263</v>
      </c>
      <c r="F327" s="48">
        <v>324.99</v>
      </c>
      <c r="G327" s="47">
        <v>330.03800000000001</v>
      </c>
      <c r="H327" s="48">
        <v>341.9</v>
      </c>
      <c r="I327" s="48">
        <v>315.34399999999999</v>
      </c>
      <c r="J327" s="47">
        <v>391.9</v>
      </c>
      <c r="K327" s="48">
        <v>326.76</v>
      </c>
      <c r="L327" s="48">
        <v>350.05</v>
      </c>
      <c r="M327" s="23">
        <f>M326+0.2*K326</f>
        <v>375.6</v>
      </c>
      <c r="N327" s="23">
        <f>N326+0.2*L326</f>
        <v>375.6</v>
      </c>
      <c r="O327" s="23">
        <f>O326+0.1*M326</f>
        <v>344.3</v>
      </c>
    </row>
    <row r="328" spans="1:15" x14ac:dyDescent="0.25">
      <c r="A328" s="73" t="s">
        <v>19</v>
      </c>
      <c r="B328" s="48"/>
      <c r="C328" s="48"/>
      <c r="D328" s="48"/>
      <c r="E328" s="48"/>
      <c r="F328" s="48"/>
      <c r="G328" s="47"/>
      <c r="H328" s="47"/>
      <c r="I328" s="47"/>
      <c r="J328" s="47"/>
      <c r="K328" s="47"/>
      <c r="L328" s="47"/>
      <c r="M328" s="22"/>
      <c r="N328" s="22"/>
      <c r="O328" s="22"/>
    </row>
    <row r="329" spans="1:15" x14ac:dyDescent="0.25">
      <c r="A329" s="73" t="s">
        <v>20</v>
      </c>
      <c r="B329" s="48">
        <v>294</v>
      </c>
      <c r="C329" s="48">
        <v>247.51</v>
      </c>
      <c r="D329" s="48">
        <v>315.5</v>
      </c>
      <c r="E329" s="48">
        <v>195.96199999999999</v>
      </c>
      <c r="F329" s="48">
        <v>205.89400000000001</v>
      </c>
      <c r="G329" s="47">
        <v>327.69600000000003</v>
      </c>
      <c r="H329" s="47">
        <v>222.22</v>
      </c>
      <c r="I329" s="47">
        <v>301.58</v>
      </c>
      <c r="J329" s="47">
        <v>354.85</v>
      </c>
      <c r="K329" s="47">
        <v>210.91</v>
      </c>
      <c r="L329" s="47">
        <v>88.54</v>
      </c>
      <c r="M329" s="22">
        <v>36.729999999999997</v>
      </c>
      <c r="N329" s="22">
        <v>187.61</v>
      </c>
      <c r="O329" s="22"/>
    </row>
    <row r="330" spans="1:15" x14ac:dyDescent="0.25">
      <c r="A330" s="73" t="s">
        <v>21</v>
      </c>
      <c r="B330" s="48">
        <v>99</v>
      </c>
      <c r="C330" s="48">
        <v>114.49</v>
      </c>
      <c r="D330" s="48">
        <v>61.99</v>
      </c>
      <c r="E330" s="48">
        <v>67.037999999999997</v>
      </c>
      <c r="F330" s="48">
        <v>119.096</v>
      </c>
      <c r="G330" s="47">
        <v>2.3439999999999999</v>
      </c>
      <c r="H330" s="47">
        <v>119.68</v>
      </c>
      <c r="I330" s="47">
        <v>13.759999999999991</v>
      </c>
      <c r="J330" s="47">
        <v>37.049999999999997</v>
      </c>
      <c r="K330" s="47">
        <f>K327-K329</f>
        <v>115.85</v>
      </c>
      <c r="L330" s="47">
        <f>L327-L329</f>
        <v>261.51</v>
      </c>
      <c r="M330" s="47">
        <f>M327-M329</f>
        <v>338.87</v>
      </c>
      <c r="N330" s="47">
        <f>N327-N329</f>
        <v>187.99</v>
      </c>
      <c r="O330" s="47"/>
    </row>
    <row r="331" spans="1:15" x14ac:dyDescent="0.25">
      <c r="A331" s="118" t="s">
        <v>22</v>
      </c>
      <c r="B331" s="230">
        <v>2011</v>
      </c>
      <c r="C331" s="230">
        <v>2012</v>
      </c>
      <c r="D331" s="230">
        <v>2014</v>
      </c>
      <c r="E331" s="230">
        <v>2015</v>
      </c>
      <c r="F331" s="230">
        <v>2016</v>
      </c>
      <c r="G331" s="81">
        <v>2017</v>
      </c>
      <c r="H331" s="81">
        <v>2018</v>
      </c>
      <c r="I331" s="81">
        <v>2019</v>
      </c>
      <c r="J331" s="81">
        <v>2020</v>
      </c>
      <c r="K331" s="81">
        <v>2021</v>
      </c>
      <c r="L331" s="81">
        <v>2022</v>
      </c>
      <c r="M331" s="193">
        <v>2023</v>
      </c>
      <c r="N331" s="193">
        <v>2024</v>
      </c>
      <c r="O331" s="193">
        <v>2025</v>
      </c>
    </row>
    <row r="332" spans="1:15" x14ac:dyDescent="0.25">
      <c r="A332" s="745" t="s">
        <v>154</v>
      </c>
      <c r="B332" s="746"/>
      <c r="C332" s="746"/>
      <c r="D332" s="746"/>
      <c r="E332" s="746"/>
      <c r="F332" s="746"/>
      <c r="G332" s="746"/>
      <c r="H332" s="746"/>
      <c r="I332" s="746"/>
      <c r="J332" s="746"/>
      <c r="K332" s="746"/>
      <c r="L332" s="746"/>
      <c r="M332" s="746"/>
      <c r="N332" s="746"/>
      <c r="O332" s="747"/>
    </row>
    <row r="333" spans="1:15" x14ac:dyDescent="0.25">
      <c r="A333" s="75" t="s">
        <v>158</v>
      </c>
      <c r="B333" s="30"/>
      <c r="C333" s="30"/>
      <c r="D333" s="30"/>
      <c r="E333" s="30"/>
      <c r="F333" s="30"/>
      <c r="G333" s="30"/>
      <c r="H333" s="30"/>
      <c r="I333" s="30"/>
      <c r="J333" s="30"/>
      <c r="K333" s="30"/>
      <c r="L333" s="30"/>
      <c r="M333" s="30"/>
      <c r="N333" s="30"/>
      <c r="O333" s="31"/>
    </row>
    <row r="334" spans="1:15" x14ac:dyDescent="0.25">
      <c r="A334" s="76" t="s">
        <v>340</v>
      </c>
      <c r="O334" s="21"/>
    </row>
    <row r="335" spans="1:15" x14ac:dyDescent="0.25">
      <c r="A335" s="76" t="s">
        <v>341</v>
      </c>
      <c r="O335" s="21"/>
    </row>
    <row r="336" spans="1:15" x14ac:dyDescent="0.25">
      <c r="A336" s="76" t="s">
        <v>442</v>
      </c>
      <c r="O336" s="21"/>
    </row>
    <row r="337" spans="1:15" x14ac:dyDescent="0.25">
      <c r="A337" s="76" t="s">
        <v>623</v>
      </c>
      <c r="O337" s="21"/>
    </row>
    <row r="338" spans="1:15" x14ac:dyDescent="0.25">
      <c r="A338" s="32" t="s">
        <v>806</v>
      </c>
      <c r="B338" s="33"/>
      <c r="C338" s="33"/>
      <c r="D338" s="33"/>
      <c r="E338" s="33"/>
      <c r="F338" s="33"/>
      <c r="G338" s="33"/>
      <c r="H338" s="33"/>
      <c r="I338" s="33"/>
      <c r="J338" s="33"/>
      <c r="K338" s="33"/>
      <c r="L338" s="33"/>
      <c r="M338" s="33"/>
      <c r="N338" s="33"/>
      <c r="O338" s="34"/>
    </row>
    <row r="340" spans="1:15" x14ac:dyDescent="0.25">
      <c r="A340" s="91" t="s">
        <v>14</v>
      </c>
      <c r="B340" s="55" t="s">
        <v>66</v>
      </c>
      <c r="C340" s="55" t="s">
        <v>15</v>
      </c>
    </row>
    <row r="341" spans="1:15" x14ac:dyDescent="0.25">
      <c r="A341" s="120" t="s">
        <v>16</v>
      </c>
      <c r="B341" s="121">
        <v>2010</v>
      </c>
      <c r="C341" s="74">
        <v>2011</v>
      </c>
      <c r="D341" s="74">
        <v>2012</v>
      </c>
      <c r="E341" s="74">
        <v>2013</v>
      </c>
      <c r="F341" s="74">
        <v>2014</v>
      </c>
      <c r="G341" s="74">
        <v>2015</v>
      </c>
      <c r="H341" s="74">
        <v>2016</v>
      </c>
      <c r="I341" s="74">
        <v>2017</v>
      </c>
      <c r="J341" s="74">
        <v>2018</v>
      </c>
      <c r="K341" s="51">
        <v>2019</v>
      </c>
      <c r="L341" s="51">
        <v>2020</v>
      </c>
      <c r="M341" s="212">
        <v>2021</v>
      </c>
      <c r="N341" s="212">
        <v>2022</v>
      </c>
      <c r="O341" s="212">
        <v>2023</v>
      </c>
    </row>
    <row r="342" spans="1:15" x14ac:dyDescent="0.25">
      <c r="A342" s="73" t="s">
        <v>17</v>
      </c>
      <c r="B342" s="48">
        <v>5900</v>
      </c>
      <c r="C342" s="48">
        <v>5572</v>
      </c>
      <c r="D342" s="48">
        <v>5572</v>
      </c>
      <c r="E342" s="48">
        <v>5572</v>
      </c>
      <c r="F342" s="48">
        <v>5572</v>
      </c>
      <c r="G342" s="48">
        <v>5572</v>
      </c>
      <c r="H342" s="48">
        <v>5376</v>
      </c>
      <c r="I342" s="48">
        <v>5376</v>
      </c>
      <c r="J342" s="47">
        <v>5376</v>
      </c>
      <c r="K342" s="47">
        <v>5376</v>
      </c>
      <c r="L342" s="47">
        <v>4462.08</v>
      </c>
      <c r="M342" s="231">
        <v>4390.6867200000006</v>
      </c>
      <c r="N342" s="231">
        <v>4426.38</v>
      </c>
      <c r="O342" s="231">
        <v>4426.38</v>
      </c>
    </row>
    <row r="343" spans="1:15" x14ac:dyDescent="0.25">
      <c r="A343" s="73" t="s">
        <v>18</v>
      </c>
      <c r="B343" s="48">
        <v>9670</v>
      </c>
      <c r="C343" s="48">
        <v>8572</v>
      </c>
      <c r="D343" s="48">
        <v>10173</v>
      </c>
      <c r="E343" s="48">
        <v>8502</v>
      </c>
      <c r="F343" s="48">
        <v>10173.6</v>
      </c>
      <c r="G343" s="48">
        <v>10173.6</v>
      </c>
      <c r="H343" s="48">
        <v>7182.4</v>
      </c>
      <c r="I343" s="48">
        <v>7182.4</v>
      </c>
      <c r="J343" s="48">
        <v>7182.4</v>
      </c>
      <c r="K343" s="47">
        <v>7182.4</v>
      </c>
      <c r="L343" s="47">
        <f>L342+0.15*J342+600</f>
        <v>5868.48</v>
      </c>
      <c r="M343" s="231">
        <f>M342+0.1*K342+600</f>
        <v>5528.286720000001</v>
      </c>
      <c r="N343" s="231">
        <f>N342+0.1*L342+600</f>
        <v>5472.5879999999997</v>
      </c>
      <c r="O343" s="231">
        <f>O342+0.1*M342+600</f>
        <v>5465.4486720000004</v>
      </c>
    </row>
    <row r="344" spans="1:15" x14ac:dyDescent="0.25">
      <c r="A344" s="73" t="s">
        <v>19</v>
      </c>
      <c r="B344" s="73"/>
      <c r="C344" s="73"/>
      <c r="D344" s="73"/>
      <c r="E344" s="73"/>
      <c r="F344" s="73"/>
      <c r="G344" s="22"/>
      <c r="H344" s="22"/>
      <c r="I344" s="22"/>
      <c r="J344" s="52"/>
      <c r="K344" s="22"/>
      <c r="L344" s="22"/>
      <c r="M344" s="226"/>
      <c r="N344" s="226"/>
      <c r="O344" s="226"/>
    </row>
    <row r="345" spans="1:15" x14ac:dyDescent="0.25">
      <c r="A345" s="73" t="s">
        <v>20</v>
      </c>
      <c r="B345" s="48">
        <v>5489</v>
      </c>
      <c r="C345" s="48">
        <v>3720.78</v>
      </c>
      <c r="D345" s="48">
        <v>3231</v>
      </c>
      <c r="E345" s="48">
        <v>2371.0340000000001</v>
      </c>
      <c r="F345" s="48">
        <v>2231.75</v>
      </c>
      <c r="G345" s="47">
        <v>4941.848</v>
      </c>
      <c r="H345" s="47">
        <v>5852.39</v>
      </c>
      <c r="I345" s="47">
        <v>5514.3580000000002</v>
      </c>
      <c r="J345" s="47">
        <v>4823.0860000000002</v>
      </c>
      <c r="K345" s="47">
        <v>5718.49</v>
      </c>
      <c r="L345" s="47">
        <v>3613.58</v>
      </c>
      <c r="M345" s="231">
        <v>1638.49</v>
      </c>
      <c r="N345" s="231">
        <v>3248.94</v>
      </c>
      <c r="O345" s="231"/>
    </row>
    <row r="346" spans="1:15" x14ac:dyDescent="0.25">
      <c r="A346" s="73" t="s">
        <v>21</v>
      </c>
      <c r="B346" s="48">
        <v>4181</v>
      </c>
      <c r="C346" s="48">
        <v>4581.22</v>
      </c>
      <c r="D346" s="48">
        <v>6942</v>
      </c>
      <c r="E346" s="48">
        <v>6130.6959999999999</v>
      </c>
      <c r="F346" s="48">
        <v>7941.85</v>
      </c>
      <c r="G346" s="47">
        <v>5232.116</v>
      </c>
      <c r="H346" s="47">
        <v>1330.01</v>
      </c>
      <c r="I346" s="47">
        <v>1449.932</v>
      </c>
      <c r="J346" s="47">
        <v>2359.3139999999999</v>
      </c>
      <c r="K346" s="47">
        <f>K343-K345</f>
        <v>1463.9099999999999</v>
      </c>
      <c r="L346" s="47">
        <f>L343-L345</f>
        <v>2254.8999999999996</v>
      </c>
      <c r="M346" s="47">
        <f>M343-M345</f>
        <v>3889.7967200000012</v>
      </c>
      <c r="N346" s="47">
        <f>N343-N345</f>
        <v>2223.6479999999997</v>
      </c>
      <c r="O346" s="231"/>
    </row>
    <row r="347" spans="1:15" x14ac:dyDescent="0.25">
      <c r="A347" s="118" t="s">
        <v>22</v>
      </c>
      <c r="B347" s="118">
        <v>2012</v>
      </c>
      <c r="C347" s="118">
        <v>2013</v>
      </c>
      <c r="D347" s="118">
        <v>2014</v>
      </c>
      <c r="E347" s="118">
        <v>2015</v>
      </c>
      <c r="F347" s="118">
        <v>2016</v>
      </c>
      <c r="G347" s="36">
        <v>2017</v>
      </c>
      <c r="H347" s="36">
        <v>2018</v>
      </c>
      <c r="I347" s="36">
        <v>2019</v>
      </c>
      <c r="J347" s="36">
        <v>2020</v>
      </c>
      <c r="K347" s="36">
        <v>2021</v>
      </c>
      <c r="L347" s="36">
        <v>2022</v>
      </c>
      <c r="M347" s="36">
        <v>2023</v>
      </c>
      <c r="N347" s="227"/>
      <c r="O347" s="227"/>
    </row>
    <row r="348" spans="1:15" x14ac:dyDescent="0.25">
      <c r="A348" s="745" t="s">
        <v>154</v>
      </c>
      <c r="B348" s="746"/>
      <c r="C348" s="746"/>
      <c r="D348" s="746"/>
      <c r="E348" s="746"/>
      <c r="F348" s="746"/>
      <c r="G348" s="746"/>
      <c r="H348" s="746"/>
      <c r="I348" s="746"/>
      <c r="J348" s="746"/>
      <c r="K348" s="746"/>
      <c r="L348" s="746"/>
      <c r="M348" s="746"/>
      <c r="N348" s="746"/>
      <c r="O348" s="747"/>
    </row>
    <row r="349" spans="1:15" x14ac:dyDescent="0.25">
      <c r="A349" s="75" t="s">
        <v>159</v>
      </c>
      <c r="B349" s="30"/>
      <c r="C349" s="30"/>
      <c r="D349" s="30"/>
      <c r="E349" s="30"/>
      <c r="F349" s="30"/>
      <c r="G349" s="30"/>
      <c r="H349" s="30"/>
      <c r="I349" s="30"/>
      <c r="J349" s="30"/>
      <c r="K349" s="30"/>
      <c r="L349" s="30"/>
      <c r="M349" s="30"/>
      <c r="N349" s="30"/>
      <c r="O349" s="31"/>
    </row>
    <row r="350" spans="1:15" x14ac:dyDescent="0.25">
      <c r="A350" s="76" t="s">
        <v>160</v>
      </c>
      <c r="O350" s="21"/>
    </row>
    <row r="351" spans="1:15" x14ac:dyDescent="0.25">
      <c r="A351" s="76" t="s">
        <v>443</v>
      </c>
      <c r="O351" s="21"/>
    </row>
    <row r="352" spans="1:15" x14ac:dyDescent="0.25">
      <c r="A352" s="273" t="s">
        <v>599</v>
      </c>
      <c r="O352" s="21"/>
    </row>
    <row r="353" spans="1:15" x14ac:dyDescent="0.25">
      <c r="A353" s="273" t="s">
        <v>624</v>
      </c>
      <c r="O353" s="21"/>
    </row>
    <row r="354" spans="1:15" x14ac:dyDescent="0.25">
      <c r="A354" s="233" t="s">
        <v>807</v>
      </c>
      <c r="B354" s="33"/>
      <c r="C354" s="33"/>
      <c r="D354" s="33"/>
      <c r="E354" s="33"/>
      <c r="F354" s="33"/>
      <c r="G354" s="33"/>
      <c r="H354" s="33"/>
      <c r="I354" s="33"/>
      <c r="J354" s="33"/>
      <c r="K354" s="33"/>
      <c r="L354" s="33"/>
      <c r="M354" s="33"/>
      <c r="N354" s="33"/>
      <c r="O354" s="34"/>
    </row>
    <row r="356" spans="1:15" x14ac:dyDescent="0.25">
      <c r="A356" s="91" t="s">
        <v>14</v>
      </c>
      <c r="B356" s="55" t="s">
        <v>74</v>
      </c>
      <c r="C356" s="55" t="s">
        <v>15</v>
      </c>
    </row>
    <row r="357" spans="1:15" x14ac:dyDescent="0.25">
      <c r="A357" s="120" t="s">
        <v>16</v>
      </c>
      <c r="B357" s="121">
        <v>2010</v>
      </c>
      <c r="C357" s="74">
        <v>2011</v>
      </c>
      <c r="D357" s="74">
        <v>2012</v>
      </c>
      <c r="E357" s="74">
        <v>2013</v>
      </c>
      <c r="F357" s="74">
        <v>2014</v>
      </c>
      <c r="G357" s="74">
        <v>2015</v>
      </c>
      <c r="H357" s="74">
        <v>2016</v>
      </c>
      <c r="I357" s="74">
        <v>2017</v>
      </c>
      <c r="J357" s="74">
        <v>2018</v>
      </c>
      <c r="K357" s="51">
        <v>2019</v>
      </c>
      <c r="L357" s="51">
        <v>2020</v>
      </c>
      <c r="M357" s="51">
        <v>2021</v>
      </c>
      <c r="N357" s="51">
        <v>2022</v>
      </c>
    </row>
    <row r="358" spans="1:15" x14ac:dyDescent="0.25">
      <c r="A358" s="73" t="s">
        <v>17</v>
      </c>
      <c r="B358" s="48">
        <v>100.5</v>
      </c>
      <c r="C358" s="48">
        <v>100.5</v>
      </c>
      <c r="D358" s="48">
        <v>100.5</v>
      </c>
      <c r="E358" s="48">
        <v>45</v>
      </c>
      <c r="F358" s="48">
        <v>45</v>
      </c>
      <c r="G358" s="48">
        <v>45</v>
      </c>
      <c r="H358" s="48">
        <v>45</v>
      </c>
      <c r="I358" s="48">
        <v>45</v>
      </c>
      <c r="J358" s="47">
        <v>45</v>
      </c>
      <c r="K358" s="47">
        <v>45</v>
      </c>
      <c r="L358" s="47">
        <v>37.9</v>
      </c>
      <c r="M358" s="47">
        <v>37.9</v>
      </c>
      <c r="N358" s="47">
        <v>37.9</v>
      </c>
    </row>
    <row r="359" spans="1:15" x14ac:dyDescent="0.25">
      <c r="A359" s="73" t="s">
        <v>18</v>
      </c>
      <c r="B359" s="48">
        <v>100.5</v>
      </c>
      <c r="C359" s="48">
        <v>100.5</v>
      </c>
      <c r="D359" s="48">
        <v>100.5</v>
      </c>
      <c r="E359" s="48">
        <v>45</v>
      </c>
      <c r="F359" s="48">
        <v>45</v>
      </c>
      <c r="G359" s="48">
        <v>45</v>
      </c>
      <c r="H359" s="48">
        <v>50.34</v>
      </c>
      <c r="I359" s="48">
        <v>45.585000000000001</v>
      </c>
      <c r="J359" s="48">
        <v>45.628999999999998</v>
      </c>
      <c r="K359" s="47">
        <v>50.27</v>
      </c>
      <c r="L359" s="47">
        <f>L358+J362</f>
        <v>41.338000000000001</v>
      </c>
      <c r="M359" s="47">
        <f>M358+K362</f>
        <v>41.77</v>
      </c>
      <c r="N359" s="47"/>
    </row>
    <row r="360" spans="1:15" x14ac:dyDescent="0.25">
      <c r="A360" s="73" t="s">
        <v>19</v>
      </c>
      <c r="B360" s="73"/>
      <c r="C360" s="73"/>
      <c r="D360" s="73"/>
      <c r="E360" s="73"/>
      <c r="F360" s="73"/>
      <c r="G360" s="22"/>
      <c r="H360" s="22"/>
      <c r="I360" s="22"/>
      <c r="J360" s="22"/>
      <c r="K360" s="22"/>
      <c r="L360" s="22"/>
      <c r="M360" s="22"/>
      <c r="N360" s="22"/>
    </row>
    <row r="361" spans="1:15" x14ac:dyDescent="0.25">
      <c r="A361" s="73" t="s">
        <v>20</v>
      </c>
      <c r="B361" s="48">
        <v>77</v>
      </c>
      <c r="C361" s="48">
        <v>99.5</v>
      </c>
      <c r="D361" s="48">
        <v>35</v>
      </c>
      <c r="E361" s="48">
        <v>44.86</v>
      </c>
      <c r="F361" s="48">
        <v>39.659999999999997</v>
      </c>
      <c r="G361" s="47">
        <v>44.414999999999999</v>
      </c>
      <c r="H361" s="47">
        <v>49.710999999999999</v>
      </c>
      <c r="I361" s="47">
        <v>40.31</v>
      </c>
      <c r="J361" s="47">
        <v>42.191000000000003</v>
      </c>
      <c r="K361" s="47">
        <v>46.4</v>
      </c>
      <c r="L361" s="47">
        <v>37.24</v>
      </c>
      <c r="M361" s="47">
        <v>4.03</v>
      </c>
      <c r="N361" s="47">
        <v>10.41</v>
      </c>
    </row>
    <row r="362" spans="1:15" x14ac:dyDescent="0.25">
      <c r="A362" s="73" t="s">
        <v>21</v>
      </c>
      <c r="B362" s="48">
        <v>23.5</v>
      </c>
      <c r="C362" s="48">
        <v>1</v>
      </c>
      <c r="D362" s="48">
        <v>65.5</v>
      </c>
      <c r="E362" s="48">
        <v>0.14199999999999999</v>
      </c>
      <c r="F362" s="48">
        <v>5.34</v>
      </c>
      <c r="G362" s="47">
        <v>0.58499999999999996</v>
      </c>
      <c r="H362" s="47">
        <v>0.629</v>
      </c>
      <c r="I362" s="47">
        <v>5.269999999999996</v>
      </c>
      <c r="J362" s="47">
        <v>3.4380000000000002</v>
      </c>
      <c r="K362" s="47">
        <f>K359-K361</f>
        <v>3.8700000000000045</v>
      </c>
      <c r="L362" s="47">
        <f>L359-L361</f>
        <v>4.097999999999999</v>
      </c>
      <c r="M362" s="47">
        <f>M359-M361</f>
        <v>37.74</v>
      </c>
      <c r="N362" s="47">
        <f>N358-N361</f>
        <v>27.49</v>
      </c>
    </row>
    <row r="363" spans="1:15" x14ac:dyDescent="0.25">
      <c r="A363" s="118" t="s">
        <v>22</v>
      </c>
      <c r="B363" s="119" t="s">
        <v>161</v>
      </c>
      <c r="C363" s="119" t="s">
        <v>161</v>
      </c>
      <c r="D363" s="119" t="s">
        <v>161</v>
      </c>
      <c r="E363" s="119">
        <v>2015</v>
      </c>
      <c r="F363" s="119">
        <v>2016</v>
      </c>
      <c r="G363" s="57">
        <v>2017</v>
      </c>
      <c r="H363" s="57">
        <v>2018</v>
      </c>
      <c r="I363" s="57">
        <v>2019</v>
      </c>
      <c r="J363" s="57">
        <v>2020</v>
      </c>
      <c r="K363" s="57">
        <v>2021</v>
      </c>
      <c r="L363" s="119"/>
      <c r="M363" s="119"/>
      <c r="N363" s="119"/>
    </row>
    <row r="364" spans="1:15" x14ac:dyDescent="0.25">
      <c r="A364" s="46" t="s">
        <v>154</v>
      </c>
      <c r="B364" s="58"/>
      <c r="C364" s="58"/>
      <c r="D364" s="58"/>
      <c r="E364" s="58"/>
      <c r="F364" s="58"/>
      <c r="G364" s="58"/>
      <c r="H364" s="58"/>
      <c r="I364" s="58"/>
      <c r="J364" s="58"/>
      <c r="K364" s="58"/>
      <c r="L364" s="58"/>
      <c r="M364" s="58"/>
      <c r="N364" s="56"/>
    </row>
    <row r="365" spans="1:15" x14ac:dyDescent="0.25">
      <c r="A365" s="20" t="s">
        <v>625</v>
      </c>
      <c r="N365" s="21"/>
    </row>
    <row r="366" spans="1:15" x14ac:dyDescent="0.25">
      <c r="A366" s="76" t="s">
        <v>162</v>
      </c>
      <c r="N366" s="21"/>
    </row>
    <row r="367" spans="1:15" x14ac:dyDescent="0.25">
      <c r="A367" s="76" t="s">
        <v>342</v>
      </c>
      <c r="N367" s="21"/>
    </row>
    <row r="368" spans="1:15" x14ac:dyDescent="0.25">
      <c r="A368" s="20" t="s">
        <v>343</v>
      </c>
      <c r="N368" s="21"/>
    </row>
    <row r="369" spans="1:14" x14ac:dyDescent="0.25">
      <c r="A369" s="20" t="s">
        <v>444</v>
      </c>
      <c r="N369" s="21"/>
    </row>
    <row r="370" spans="1:14" x14ac:dyDescent="0.25">
      <c r="A370" s="32" t="s">
        <v>808</v>
      </c>
      <c r="B370" s="33"/>
      <c r="C370" s="33"/>
      <c r="D370" s="33"/>
      <c r="E370" s="33"/>
      <c r="F370" s="33"/>
      <c r="G370" s="33"/>
      <c r="H370" s="33"/>
      <c r="I370" s="33"/>
      <c r="J370" s="33"/>
      <c r="K370" s="33"/>
      <c r="L370" s="33"/>
      <c r="M370" s="33"/>
      <c r="N370" s="34"/>
    </row>
    <row r="372" spans="1:14" x14ac:dyDescent="0.25">
      <c r="A372" s="91" t="s">
        <v>14</v>
      </c>
      <c r="B372" s="55" t="s">
        <v>79</v>
      </c>
      <c r="C372" s="55" t="s">
        <v>15</v>
      </c>
    </row>
    <row r="373" spans="1:14" x14ac:dyDescent="0.25">
      <c r="A373" s="120" t="s">
        <v>16</v>
      </c>
      <c r="B373" s="121">
        <v>2010</v>
      </c>
      <c r="C373" s="74">
        <v>2011</v>
      </c>
      <c r="D373" s="74">
        <v>2012</v>
      </c>
      <c r="E373" s="74">
        <v>2013</v>
      </c>
      <c r="F373" s="74">
        <v>2014</v>
      </c>
      <c r="G373" s="74">
        <v>2015</v>
      </c>
      <c r="H373" s="74">
        <v>2016</v>
      </c>
      <c r="I373" s="74">
        <v>2017</v>
      </c>
      <c r="J373" s="74">
        <v>2018</v>
      </c>
      <c r="K373" s="51">
        <v>2019</v>
      </c>
      <c r="L373" s="51">
        <v>2020</v>
      </c>
      <c r="M373" s="51">
        <v>2021</v>
      </c>
      <c r="N373" s="51">
        <v>2022</v>
      </c>
    </row>
    <row r="374" spans="1:14" x14ac:dyDescent="0.25">
      <c r="A374" s="73" t="s">
        <v>17</v>
      </c>
      <c r="B374" s="48">
        <v>9.9</v>
      </c>
      <c r="C374" s="48">
        <v>9.9</v>
      </c>
      <c r="D374" s="48">
        <v>9.9</v>
      </c>
      <c r="E374" s="48">
        <v>10</v>
      </c>
      <c r="F374" s="48">
        <v>10</v>
      </c>
      <c r="G374" s="48">
        <v>10</v>
      </c>
      <c r="H374" s="47">
        <v>10</v>
      </c>
      <c r="I374" s="47">
        <v>10</v>
      </c>
      <c r="J374" s="47">
        <v>10</v>
      </c>
      <c r="K374" s="47">
        <v>10</v>
      </c>
      <c r="L374" s="47">
        <v>10</v>
      </c>
      <c r="M374" s="47">
        <v>10</v>
      </c>
      <c r="N374" s="47">
        <v>10</v>
      </c>
    </row>
    <row r="375" spans="1:14" x14ac:dyDescent="0.25">
      <c r="A375" s="73" t="s">
        <v>18</v>
      </c>
      <c r="B375" s="48">
        <v>9.9</v>
      </c>
      <c r="C375" s="48">
        <v>9.9</v>
      </c>
      <c r="D375" s="48">
        <v>9.9</v>
      </c>
      <c r="E375" s="48">
        <v>10</v>
      </c>
      <c r="F375" s="48">
        <v>10</v>
      </c>
      <c r="G375" s="48">
        <v>12</v>
      </c>
      <c r="H375" s="47">
        <v>12</v>
      </c>
      <c r="I375" s="47">
        <v>12</v>
      </c>
      <c r="J375" s="48">
        <v>12</v>
      </c>
      <c r="K375" s="47">
        <v>12</v>
      </c>
      <c r="L375" s="47">
        <f>L374*1.2</f>
        <v>12</v>
      </c>
      <c r="M375" s="47">
        <f>M374*1.2</f>
        <v>12</v>
      </c>
      <c r="N375" s="47"/>
    </row>
    <row r="376" spans="1:14" x14ac:dyDescent="0.25">
      <c r="A376" s="73" t="s">
        <v>19</v>
      </c>
      <c r="B376" s="73"/>
      <c r="C376" s="73"/>
      <c r="D376" s="73"/>
      <c r="E376" s="73"/>
      <c r="F376" s="73"/>
      <c r="G376" s="22"/>
      <c r="H376" s="22"/>
      <c r="I376" s="22"/>
      <c r="J376" s="22"/>
      <c r="K376" s="22"/>
      <c r="L376" s="22"/>
      <c r="M376" s="22"/>
      <c r="N376" s="22"/>
    </row>
    <row r="377" spans="1:14" x14ac:dyDescent="0.25">
      <c r="A377" s="73" t="s">
        <v>20</v>
      </c>
      <c r="B377" s="48">
        <v>8</v>
      </c>
      <c r="C377" s="48">
        <v>0.73</v>
      </c>
      <c r="D377" s="48">
        <v>0.21</v>
      </c>
      <c r="E377" s="48">
        <v>2.1179999999999999</v>
      </c>
      <c r="F377" s="48">
        <v>0</v>
      </c>
      <c r="G377" s="47">
        <v>0.34799999999999998</v>
      </c>
      <c r="H377" s="47">
        <v>0.26300000000000001</v>
      </c>
      <c r="I377" s="47">
        <v>2.5299999999999998</v>
      </c>
      <c r="J377" s="47">
        <v>3.23</v>
      </c>
      <c r="K377" s="47">
        <v>2.88</v>
      </c>
      <c r="L377" s="47">
        <v>1.81</v>
      </c>
      <c r="M377" s="47">
        <v>1.57</v>
      </c>
      <c r="N377" s="47">
        <v>2.13</v>
      </c>
    </row>
    <row r="378" spans="1:14" x14ac:dyDescent="0.25">
      <c r="A378" s="73" t="s">
        <v>21</v>
      </c>
      <c r="B378" s="48">
        <v>1.9</v>
      </c>
      <c r="C378" s="48">
        <v>9.17</v>
      </c>
      <c r="D378" s="48">
        <v>9.69</v>
      </c>
      <c r="E378" s="48">
        <v>7.8819999999999997</v>
      </c>
      <c r="F378" s="48">
        <v>10</v>
      </c>
      <c r="G378" s="47">
        <v>11.651999999999999</v>
      </c>
      <c r="H378" s="47">
        <v>11.737</v>
      </c>
      <c r="I378" s="47">
        <v>9.4700000000000006</v>
      </c>
      <c r="J378" s="47">
        <v>8.77</v>
      </c>
      <c r="K378" s="47">
        <f>K375-K377</f>
        <v>9.120000000000001</v>
      </c>
      <c r="L378" s="47">
        <f>L375-L377</f>
        <v>10.19</v>
      </c>
      <c r="M378" s="47">
        <f>M375-M377</f>
        <v>10.43</v>
      </c>
      <c r="N378" s="47">
        <f>N374-N377</f>
        <v>7.87</v>
      </c>
    </row>
    <row r="379" spans="1:14" x14ac:dyDescent="0.25">
      <c r="A379" s="118" t="s">
        <v>22</v>
      </c>
      <c r="B379" s="119" t="s">
        <v>161</v>
      </c>
      <c r="C379" s="119" t="s">
        <v>161</v>
      </c>
      <c r="D379" s="119" t="s">
        <v>161</v>
      </c>
      <c r="E379" s="119">
        <v>2015</v>
      </c>
      <c r="F379" s="119">
        <v>2016</v>
      </c>
      <c r="G379" s="57">
        <v>2017</v>
      </c>
      <c r="H379" s="57">
        <v>2018</v>
      </c>
      <c r="I379" s="57">
        <v>2019</v>
      </c>
      <c r="J379" s="57">
        <v>2020</v>
      </c>
      <c r="K379" s="57">
        <v>2021</v>
      </c>
      <c r="L379" s="119"/>
      <c r="M379" s="119"/>
      <c r="N379" s="119"/>
    </row>
    <row r="380" spans="1:14" x14ac:dyDescent="0.25">
      <c r="A380" s="46" t="s">
        <v>154</v>
      </c>
      <c r="B380" s="58"/>
      <c r="C380" s="58"/>
      <c r="D380" s="58"/>
      <c r="E380" s="58"/>
      <c r="F380" s="58"/>
      <c r="G380" s="58"/>
      <c r="H380" s="58"/>
      <c r="I380" s="58"/>
      <c r="J380" s="58"/>
      <c r="K380" s="58"/>
      <c r="L380" s="58"/>
      <c r="M380" s="58"/>
      <c r="N380" s="56"/>
    </row>
    <row r="381" spans="1:14" x14ac:dyDescent="0.25">
      <c r="A381" s="20" t="s">
        <v>626</v>
      </c>
      <c r="N381" s="21"/>
    </row>
    <row r="382" spans="1:14" x14ac:dyDescent="0.25">
      <c r="A382" s="20" t="s">
        <v>163</v>
      </c>
      <c r="N382" s="21"/>
    </row>
    <row r="383" spans="1:14" x14ac:dyDescent="0.25">
      <c r="A383" s="20" t="s">
        <v>344</v>
      </c>
      <c r="N383" s="21"/>
    </row>
    <row r="384" spans="1:14" x14ac:dyDescent="0.25">
      <c r="A384" s="20" t="s">
        <v>445</v>
      </c>
      <c r="N384" s="21"/>
    </row>
    <row r="385" spans="1:15" x14ac:dyDescent="0.25">
      <c r="A385" s="32" t="s">
        <v>808</v>
      </c>
      <c r="B385" s="33"/>
      <c r="C385" s="33"/>
      <c r="D385" s="33"/>
      <c r="E385" s="33"/>
      <c r="F385" s="33"/>
      <c r="G385" s="33"/>
      <c r="H385" s="33"/>
      <c r="I385" s="33"/>
      <c r="J385" s="33"/>
      <c r="K385" s="33"/>
      <c r="L385" s="33"/>
      <c r="M385" s="33"/>
      <c r="N385" s="34"/>
    </row>
    <row r="387" spans="1:15" x14ac:dyDescent="0.25">
      <c r="A387" s="114" t="s">
        <v>12</v>
      </c>
      <c r="B387" s="548" t="s">
        <v>85</v>
      </c>
    </row>
    <row r="388" spans="1:15" x14ac:dyDescent="0.25">
      <c r="A388" s="260" t="s">
        <v>14</v>
      </c>
      <c r="B388" s="274" t="s">
        <v>637</v>
      </c>
      <c r="C388" s="262" t="s">
        <v>15</v>
      </c>
      <c r="D388" s="221"/>
      <c r="E388" s="221"/>
      <c r="F388" s="221"/>
      <c r="G388" s="221"/>
      <c r="H388" s="221"/>
      <c r="I388" s="221"/>
      <c r="J388" s="221"/>
      <c r="K388" s="221"/>
      <c r="L388" s="221"/>
      <c r="M388" s="221"/>
      <c r="N388" s="221"/>
      <c r="O388" s="221"/>
    </row>
    <row r="389" spans="1:15" x14ac:dyDescent="0.25">
      <c r="A389" s="263" t="s">
        <v>16</v>
      </c>
      <c r="B389" s="212">
        <v>2015</v>
      </c>
      <c r="C389" s="275">
        <v>2016</v>
      </c>
      <c r="D389" s="212">
        <v>2017</v>
      </c>
      <c r="E389" s="276">
        <v>2018</v>
      </c>
      <c r="F389" s="276">
        <v>2019</v>
      </c>
      <c r="G389" s="212">
        <v>2020</v>
      </c>
      <c r="H389" s="212">
        <v>2021</v>
      </c>
      <c r="I389" s="212">
        <v>2022</v>
      </c>
      <c r="J389" s="212">
        <v>2023</v>
      </c>
      <c r="K389" s="221"/>
      <c r="L389" s="221"/>
      <c r="M389" s="221"/>
      <c r="N389" s="221"/>
      <c r="O389" s="221"/>
    </row>
    <row r="390" spans="1:15" x14ac:dyDescent="0.25">
      <c r="A390" s="263" t="s">
        <v>17</v>
      </c>
      <c r="B390" s="231">
        <v>3271.7</v>
      </c>
      <c r="C390" s="277">
        <v>3271.7</v>
      </c>
      <c r="D390" s="231">
        <v>3271.7</v>
      </c>
      <c r="E390" s="213">
        <v>3926</v>
      </c>
      <c r="F390" s="213">
        <v>3926</v>
      </c>
      <c r="G390" s="231">
        <v>3926</v>
      </c>
      <c r="H390" s="231">
        <v>4416.8999999999996</v>
      </c>
      <c r="I390" s="231">
        <v>4416.8999999999996</v>
      </c>
      <c r="J390" s="231">
        <v>4416.8999999999996</v>
      </c>
      <c r="K390" s="221"/>
      <c r="L390" s="221"/>
      <c r="M390" s="221"/>
      <c r="N390" s="221"/>
      <c r="O390" s="221"/>
    </row>
    <row r="391" spans="1:15" x14ac:dyDescent="0.25">
      <c r="A391" s="263" t="s">
        <v>18</v>
      </c>
      <c r="B391" s="231">
        <v>3789.62</v>
      </c>
      <c r="C391" s="277">
        <v>3789.62</v>
      </c>
      <c r="D391" s="231">
        <v>3789.62</v>
      </c>
      <c r="E391" s="213">
        <v>4281.62</v>
      </c>
      <c r="F391" s="213">
        <v>4543.9250000000002</v>
      </c>
      <c r="G391" s="213">
        <v>4707.5</v>
      </c>
      <c r="H391" s="213">
        <f>H390+0.25*F390-200</f>
        <v>5198.3999999999996</v>
      </c>
      <c r="I391" s="213">
        <f>I390+0.25*G390-200</f>
        <v>5198.3999999999996</v>
      </c>
      <c r="J391" s="213">
        <f>J390+0.25*H390-200</f>
        <v>5321.125</v>
      </c>
      <c r="K391" s="221"/>
      <c r="L391" s="221"/>
      <c r="M391" s="221"/>
      <c r="N391" s="221"/>
      <c r="O391" s="221"/>
    </row>
    <row r="392" spans="1:15" x14ac:dyDescent="0.25">
      <c r="A392" s="263" t="s">
        <v>19</v>
      </c>
      <c r="B392" s="278" t="s">
        <v>86</v>
      </c>
      <c r="C392" s="278" t="s">
        <v>86</v>
      </c>
      <c r="D392" s="278" t="s">
        <v>86</v>
      </c>
      <c r="E392" s="279" t="s">
        <v>87</v>
      </c>
      <c r="F392" s="279" t="s">
        <v>395</v>
      </c>
      <c r="G392" s="279" t="s">
        <v>396</v>
      </c>
      <c r="H392" s="279" t="s">
        <v>448</v>
      </c>
      <c r="I392" s="279" t="s">
        <v>448</v>
      </c>
      <c r="J392" s="279" t="s">
        <v>810</v>
      </c>
      <c r="K392" s="221"/>
      <c r="L392" s="221"/>
      <c r="M392" s="221"/>
      <c r="N392" s="221"/>
      <c r="O392" s="221"/>
    </row>
    <row r="393" spans="1:15" x14ac:dyDescent="0.25">
      <c r="A393" s="263" t="s">
        <v>20</v>
      </c>
      <c r="B393" s="231">
        <v>2857</v>
      </c>
      <c r="C393" s="277">
        <v>3134</v>
      </c>
      <c r="D393" s="231">
        <v>2385</v>
      </c>
      <c r="E393" s="231">
        <v>2926</v>
      </c>
      <c r="F393" s="213">
        <v>2770</v>
      </c>
      <c r="G393" s="231">
        <v>3549</v>
      </c>
      <c r="H393" s="231">
        <v>2896</v>
      </c>
      <c r="I393" s="231">
        <v>2806</v>
      </c>
      <c r="J393" s="231"/>
      <c r="K393" s="221"/>
      <c r="L393" s="221"/>
      <c r="M393" s="221"/>
      <c r="N393" s="221"/>
      <c r="O393" s="221"/>
    </row>
    <row r="394" spans="1:15" x14ac:dyDescent="0.25">
      <c r="A394" s="263" t="s">
        <v>21</v>
      </c>
      <c r="B394" s="231">
        <v>932.62</v>
      </c>
      <c r="C394" s="277">
        <v>655.62</v>
      </c>
      <c r="D394" s="231">
        <v>1404.62</v>
      </c>
      <c r="E394" s="231">
        <v>1355.62</v>
      </c>
      <c r="F394" s="213">
        <v>1773.9250000000002</v>
      </c>
      <c r="G394" s="213">
        <f>G391-G393</f>
        <v>1158.5</v>
      </c>
      <c r="H394" s="213">
        <f>H391-H393</f>
        <v>2302.3999999999996</v>
      </c>
      <c r="I394" s="213">
        <f>I391-I393</f>
        <v>2392.3999999999996</v>
      </c>
      <c r="J394" s="231"/>
      <c r="K394" s="221"/>
      <c r="L394" s="221"/>
      <c r="M394" s="221"/>
      <c r="N394" s="221"/>
      <c r="O394" s="221"/>
    </row>
    <row r="395" spans="1:15" x14ac:dyDescent="0.25">
      <c r="A395" s="218" t="s">
        <v>22</v>
      </c>
      <c r="B395" s="244">
        <v>2017</v>
      </c>
      <c r="C395" s="280">
        <v>2018</v>
      </c>
      <c r="D395" s="244">
        <v>2019</v>
      </c>
      <c r="E395" s="245">
        <v>2020</v>
      </c>
      <c r="F395" s="245">
        <v>2021</v>
      </c>
      <c r="G395" s="244">
        <v>2022</v>
      </c>
      <c r="H395" s="244">
        <v>2023</v>
      </c>
      <c r="I395" s="244">
        <v>2024</v>
      </c>
      <c r="J395" s="244">
        <v>2025</v>
      </c>
      <c r="K395" s="221"/>
      <c r="L395" s="221"/>
      <c r="M395" s="221"/>
      <c r="N395" s="221"/>
      <c r="O395" s="221"/>
    </row>
    <row r="396" spans="1:15" x14ac:dyDescent="0.25">
      <c r="A396" s="263" t="s">
        <v>23</v>
      </c>
      <c r="B396" s="507"/>
      <c r="C396" s="507"/>
      <c r="D396" s="507"/>
      <c r="E396" s="507"/>
      <c r="F396" s="507"/>
      <c r="G396" s="507"/>
      <c r="H396" s="507"/>
      <c r="I396" s="507"/>
      <c r="J396" s="232"/>
      <c r="K396" s="221"/>
      <c r="L396" s="221"/>
      <c r="M396" s="221"/>
      <c r="N396" s="221"/>
      <c r="O396" s="221"/>
    </row>
    <row r="397" spans="1:15" x14ac:dyDescent="0.25">
      <c r="A397" s="218" t="s">
        <v>88</v>
      </c>
      <c r="B397" s="219"/>
      <c r="C397" s="219"/>
      <c r="D397" s="219"/>
      <c r="E397" s="219"/>
      <c r="F397" s="219"/>
      <c r="G397" s="219"/>
      <c r="H397" s="219"/>
      <c r="I397" s="219"/>
      <c r="J397" s="217"/>
      <c r="K397" s="221"/>
      <c r="L397" s="221"/>
      <c r="M397" s="221"/>
      <c r="N397" s="221"/>
      <c r="O397" s="221"/>
    </row>
    <row r="398" spans="1:15" x14ac:dyDescent="0.25">
      <c r="A398" s="717" t="s">
        <v>397</v>
      </c>
      <c r="B398" s="718"/>
      <c r="C398" s="718"/>
      <c r="D398" s="718"/>
      <c r="E398" s="718"/>
      <c r="F398" s="718"/>
      <c r="G398" s="718"/>
      <c r="H398" s="221"/>
      <c r="I398" s="221"/>
      <c r="J398" s="222"/>
      <c r="K398" s="221"/>
      <c r="L398" s="221"/>
      <c r="M398" s="221"/>
      <c r="N398" s="221"/>
      <c r="O398" s="221"/>
    </row>
    <row r="399" spans="1:15" x14ac:dyDescent="0.25">
      <c r="A399" s="220" t="s">
        <v>345</v>
      </c>
      <c r="B399" s="221"/>
      <c r="C399" s="221"/>
      <c r="D399" s="221"/>
      <c r="E399" s="221"/>
      <c r="F399" s="221"/>
      <c r="G399" s="221"/>
      <c r="H399" s="221"/>
      <c r="I399" s="221"/>
      <c r="J399" s="222"/>
      <c r="K399" s="221"/>
      <c r="L399" s="221"/>
      <c r="M399" s="221"/>
      <c r="N399" s="221"/>
      <c r="O399" s="221"/>
    </row>
    <row r="400" spans="1:15" x14ac:dyDescent="0.25">
      <c r="A400" s="220" t="s">
        <v>398</v>
      </c>
      <c r="B400" s="221"/>
      <c r="C400" s="221"/>
      <c r="D400" s="221"/>
      <c r="E400" s="221"/>
      <c r="F400" s="221"/>
      <c r="G400" s="221"/>
      <c r="H400" s="221"/>
      <c r="I400" s="221"/>
      <c r="J400" s="222"/>
      <c r="K400" s="221"/>
      <c r="L400" s="221"/>
      <c r="M400" s="221"/>
      <c r="N400" s="221"/>
      <c r="O400" s="221"/>
    </row>
    <row r="401" spans="1:15" x14ac:dyDescent="0.25">
      <c r="A401" s="220" t="s">
        <v>446</v>
      </c>
      <c r="B401" s="221"/>
      <c r="C401" s="221"/>
      <c r="D401" s="221"/>
      <c r="E401" s="221"/>
      <c r="F401" s="221"/>
      <c r="G401" s="221"/>
      <c r="H401" s="221"/>
      <c r="I401" s="221"/>
      <c r="J401" s="222"/>
      <c r="K401" s="221"/>
      <c r="L401" s="221"/>
      <c r="M401" s="221"/>
      <c r="N401" s="221"/>
      <c r="O401" s="221"/>
    </row>
    <row r="402" spans="1:15" x14ac:dyDescent="0.25">
      <c r="A402" s="220" t="s">
        <v>447</v>
      </c>
      <c r="B402" s="221"/>
      <c r="C402" s="221"/>
      <c r="D402" s="221"/>
      <c r="E402" s="221"/>
      <c r="F402" s="221"/>
      <c r="G402" s="221"/>
      <c r="H402" s="221"/>
      <c r="I402" s="221"/>
      <c r="J402" s="222"/>
      <c r="K402" s="221"/>
      <c r="L402" s="221"/>
      <c r="M402" s="221"/>
      <c r="N402" s="221"/>
      <c r="O402" s="221"/>
    </row>
    <row r="403" spans="1:15" x14ac:dyDescent="0.25">
      <c r="A403" s="220" t="s">
        <v>594</v>
      </c>
      <c r="B403" s="221"/>
      <c r="C403" s="221"/>
      <c r="D403" s="221"/>
      <c r="E403" s="221"/>
      <c r="F403" s="221"/>
      <c r="G403" s="221"/>
      <c r="H403" s="221"/>
      <c r="I403" s="221"/>
      <c r="J403" s="222"/>
      <c r="K403" s="221"/>
      <c r="L403" s="221"/>
      <c r="M403" s="221"/>
      <c r="N403" s="221"/>
      <c r="O403" s="221"/>
    </row>
    <row r="404" spans="1:15" x14ac:dyDescent="0.25">
      <c r="A404" s="724" t="s">
        <v>809</v>
      </c>
      <c r="B404" s="725"/>
      <c r="C404" s="725"/>
      <c r="D404" s="725"/>
      <c r="E404" s="725"/>
      <c r="F404" s="725"/>
      <c r="G404" s="725"/>
      <c r="H404" s="223"/>
      <c r="I404" s="223"/>
      <c r="J404" s="224"/>
      <c r="K404" s="221"/>
      <c r="L404" s="221"/>
      <c r="M404" s="221"/>
      <c r="N404" s="221"/>
      <c r="O404" s="221"/>
    </row>
    <row r="405" spans="1:15" x14ac:dyDescent="0.25">
      <c r="A405" s="221"/>
      <c r="B405" s="221"/>
      <c r="C405" s="221"/>
      <c r="D405" s="221"/>
      <c r="E405" s="221"/>
      <c r="F405" s="221"/>
      <c r="G405" s="221"/>
      <c r="H405" s="221"/>
      <c r="I405" s="221"/>
      <c r="J405" s="221"/>
      <c r="K405" s="221"/>
      <c r="L405" s="221"/>
      <c r="M405" s="221"/>
      <c r="N405" s="221"/>
      <c r="O405" s="221"/>
    </row>
    <row r="406" spans="1:15" x14ac:dyDescent="0.25">
      <c r="A406" s="260" t="s">
        <v>14</v>
      </c>
      <c r="B406" s="274" t="s">
        <v>651</v>
      </c>
      <c r="C406" s="262" t="s">
        <v>15</v>
      </c>
      <c r="D406" s="221"/>
      <c r="E406" s="221"/>
      <c r="F406" s="221"/>
      <c r="G406" s="221"/>
      <c r="H406" s="221"/>
      <c r="I406" s="221"/>
      <c r="J406" s="221"/>
      <c r="K406" s="221"/>
      <c r="L406" s="221"/>
      <c r="M406" s="221"/>
      <c r="N406" s="221"/>
      <c r="O406" s="221"/>
    </row>
    <row r="407" spans="1:15" x14ac:dyDescent="0.25">
      <c r="A407" s="263" t="s">
        <v>16</v>
      </c>
      <c r="B407" s="212">
        <v>2015</v>
      </c>
      <c r="C407" s="275">
        <v>2016</v>
      </c>
      <c r="D407" s="212">
        <v>2017</v>
      </c>
      <c r="E407" s="276">
        <v>2018</v>
      </c>
      <c r="F407" s="276">
        <v>2019</v>
      </c>
      <c r="G407" s="212">
        <v>2020</v>
      </c>
      <c r="H407" s="212">
        <v>2021</v>
      </c>
      <c r="I407" s="212">
        <v>2022</v>
      </c>
      <c r="J407" s="212">
        <v>2023</v>
      </c>
      <c r="K407" s="198">
        <v>2024</v>
      </c>
      <c r="L407" s="221"/>
      <c r="M407" s="221"/>
      <c r="N407" s="221"/>
      <c r="O407" s="221"/>
    </row>
    <row r="408" spans="1:15" x14ac:dyDescent="0.25">
      <c r="A408" s="263" t="s">
        <v>17</v>
      </c>
      <c r="B408" s="231">
        <v>9400</v>
      </c>
      <c r="C408" s="277">
        <v>9400</v>
      </c>
      <c r="D408" s="231">
        <v>9400</v>
      </c>
      <c r="E408" s="213">
        <v>9400</v>
      </c>
      <c r="F408" s="213">
        <v>9400</v>
      </c>
      <c r="G408" s="231">
        <v>9400</v>
      </c>
      <c r="H408" s="231">
        <v>9400</v>
      </c>
      <c r="I408" s="231">
        <v>9400</v>
      </c>
      <c r="J408" s="199">
        <v>10340</v>
      </c>
      <c r="K408" s="199">
        <v>10340</v>
      </c>
      <c r="L408" s="221"/>
      <c r="M408" s="221"/>
      <c r="N408" s="221"/>
      <c r="O408" s="221"/>
    </row>
    <row r="409" spans="1:15" x14ac:dyDescent="0.25">
      <c r="A409" s="263" t="s">
        <v>18</v>
      </c>
      <c r="B409" s="231">
        <v>11506.75</v>
      </c>
      <c r="C409" s="277">
        <v>11750</v>
      </c>
      <c r="D409" s="231">
        <v>11750</v>
      </c>
      <c r="E409" s="213">
        <v>11750</v>
      </c>
      <c r="F409" s="213">
        <f>F408*1.25</f>
        <v>11750</v>
      </c>
      <c r="G409" s="231">
        <f>G408*1.25-200</f>
        <v>11550</v>
      </c>
      <c r="H409" s="231">
        <f>H408+F412</f>
        <v>11524</v>
      </c>
      <c r="I409" s="231">
        <f>I408+G412+85</f>
        <v>11184</v>
      </c>
      <c r="J409" s="199">
        <f>J408+H412</f>
        <v>11345</v>
      </c>
      <c r="K409" s="199">
        <f>K408+139.98</f>
        <v>10479.98</v>
      </c>
      <c r="L409" s="221"/>
      <c r="M409" s="221"/>
      <c r="N409" s="221"/>
      <c r="O409" s="221"/>
    </row>
    <row r="410" spans="1:15" x14ac:dyDescent="0.25">
      <c r="A410" s="263" t="s">
        <v>19</v>
      </c>
      <c r="B410" s="278" t="s">
        <v>89</v>
      </c>
      <c r="C410" s="278" t="s">
        <v>90</v>
      </c>
      <c r="D410" s="278" t="s">
        <v>90</v>
      </c>
      <c r="E410" s="279" t="s">
        <v>90</v>
      </c>
      <c r="F410" s="279" t="s">
        <v>90</v>
      </c>
      <c r="G410" s="282" t="s">
        <v>347</v>
      </c>
      <c r="H410" s="282" t="s">
        <v>450</v>
      </c>
      <c r="I410" s="282" t="s">
        <v>733</v>
      </c>
      <c r="J410" s="246" t="s">
        <v>917</v>
      </c>
      <c r="K410" s="246" t="s">
        <v>983</v>
      </c>
      <c r="L410" s="221"/>
      <c r="M410" s="221"/>
      <c r="N410" s="221"/>
      <c r="O410" s="221"/>
    </row>
    <row r="411" spans="1:15" x14ac:dyDescent="0.25">
      <c r="A411" s="263" t="s">
        <v>20</v>
      </c>
      <c r="B411" s="231">
        <v>7157</v>
      </c>
      <c r="C411" s="277">
        <v>8907</v>
      </c>
      <c r="D411" s="231">
        <v>9090</v>
      </c>
      <c r="E411" s="231">
        <v>9227</v>
      </c>
      <c r="F411" s="213">
        <v>9626</v>
      </c>
      <c r="G411" s="231">
        <v>9851</v>
      </c>
      <c r="H411" s="231">
        <v>10519</v>
      </c>
      <c r="I411" s="231">
        <v>8894</v>
      </c>
      <c r="J411" s="231"/>
      <c r="K411" s="199"/>
      <c r="L411" s="221"/>
      <c r="M411" s="221"/>
      <c r="N411" s="221"/>
      <c r="O411" s="221"/>
    </row>
    <row r="412" spans="1:15" x14ac:dyDescent="0.25">
      <c r="A412" s="263" t="s">
        <v>21</v>
      </c>
      <c r="B412" s="231">
        <v>4349.75</v>
      </c>
      <c r="C412" s="277">
        <v>2843</v>
      </c>
      <c r="D412" s="231">
        <v>2660</v>
      </c>
      <c r="E412" s="231">
        <v>2523</v>
      </c>
      <c r="F412" s="213">
        <f>F409-F411</f>
        <v>2124</v>
      </c>
      <c r="G412" s="231">
        <f>G409-G411</f>
        <v>1699</v>
      </c>
      <c r="H412" s="231">
        <v>1005</v>
      </c>
      <c r="I412" s="231">
        <f>I409-I411</f>
        <v>2290</v>
      </c>
      <c r="J412" s="231"/>
      <c r="K412" s="199"/>
      <c r="L412" s="221"/>
      <c r="M412" s="221"/>
      <c r="N412" s="221"/>
      <c r="O412" s="221"/>
    </row>
    <row r="413" spans="1:15" x14ac:dyDescent="0.25">
      <c r="A413" s="218" t="s">
        <v>22</v>
      </c>
      <c r="B413" s="244">
        <v>2017</v>
      </c>
      <c r="C413" s="280">
        <v>2018</v>
      </c>
      <c r="D413" s="244">
        <v>2019</v>
      </c>
      <c r="E413" s="245">
        <v>2020</v>
      </c>
      <c r="F413" s="245">
        <v>2021</v>
      </c>
      <c r="G413" s="245">
        <v>2022</v>
      </c>
      <c r="H413" s="245">
        <v>2023</v>
      </c>
      <c r="I413" s="245">
        <v>2024</v>
      </c>
      <c r="J413" s="245">
        <v>2025</v>
      </c>
      <c r="K413" s="693">
        <v>2026</v>
      </c>
      <c r="L413" s="221"/>
      <c r="M413" s="221"/>
      <c r="N413" s="221"/>
      <c r="O413" s="221"/>
    </row>
    <row r="414" spans="1:15" x14ac:dyDescent="0.25">
      <c r="A414" s="218" t="s">
        <v>23</v>
      </c>
      <c r="B414" s="219"/>
      <c r="C414" s="219"/>
      <c r="D414" s="219"/>
      <c r="E414" s="219"/>
      <c r="F414" s="219"/>
      <c r="G414" s="219"/>
      <c r="H414" s="219"/>
      <c r="I414" s="219"/>
      <c r="J414" s="219"/>
      <c r="K414" s="217"/>
      <c r="L414" s="221"/>
      <c r="M414" s="221"/>
      <c r="N414" s="221"/>
      <c r="O414" s="221"/>
    </row>
    <row r="415" spans="1:15" x14ac:dyDescent="0.25">
      <c r="A415" s="719" t="s">
        <v>91</v>
      </c>
      <c r="B415" s="720"/>
      <c r="C415" s="720"/>
      <c r="D415" s="720"/>
      <c r="E415" s="720"/>
      <c r="F415" s="720"/>
      <c r="G415" s="219"/>
      <c r="H415" s="219"/>
      <c r="I415" s="219"/>
      <c r="J415" s="219"/>
      <c r="K415" s="217"/>
      <c r="L415" s="221"/>
      <c r="M415" s="221"/>
      <c r="N415" s="221"/>
      <c r="O415" s="221"/>
    </row>
    <row r="416" spans="1:15" x14ac:dyDescent="0.25">
      <c r="A416" s="273" t="s">
        <v>346</v>
      </c>
      <c r="B416" s="509"/>
      <c r="C416" s="509"/>
      <c r="D416" s="509"/>
      <c r="E416" s="509"/>
      <c r="F416" s="509"/>
      <c r="G416" s="221"/>
      <c r="H416" s="221"/>
      <c r="I416" s="221"/>
      <c r="J416" s="221"/>
      <c r="K416" s="222"/>
      <c r="L416" s="221"/>
      <c r="M416" s="221"/>
      <c r="N416" s="221"/>
      <c r="O416" s="221"/>
    </row>
    <row r="417" spans="1:15" x14ac:dyDescent="0.25">
      <c r="A417" s="273" t="s">
        <v>449</v>
      </c>
      <c r="B417" s="509"/>
      <c r="C417" s="509"/>
      <c r="D417" s="509"/>
      <c r="E417" s="509"/>
      <c r="F417" s="509"/>
      <c r="G417" s="221"/>
      <c r="H417" s="221"/>
      <c r="I417" s="221"/>
      <c r="J417" s="221"/>
      <c r="K417" s="222"/>
      <c r="L417" s="221"/>
      <c r="M417" s="221"/>
      <c r="N417" s="221"/>
      <c r="O417" s="221"/>
    </row>
    <row r="418" spans="1:15" x14ac:dyDescent="0.25">
      <c r="A418" s="273" t="s">
        <v>734</v>
      </c>
      <c r="B418" s="509"/>
      <c r="C418" s="509"/>
      <c r="D418" s="509"/>
      <c r="E418" s="509"/>
      <c r="F418" s="509"/>
      <c r="G418" s="221"/>
      <c r="H418" s="221"/>
      <c r="I418" s="221"/>
      <c r="J418" s="221"/>
      <c r="K418" s="222"/>
      <c r="L418" s="221"/>
      <c r="M418" s="221"/>
      <c r="N418" s="221"/>
      <c r="O418" s="221"/>
    </row>
    <row r="419" spans="1:15" x14ac:dyDescent="0.25">
      <c r="A419" s="273" t="s">
        <v>918</v>
      </c>
      <c r="B419" s="509"/>
      <c r="C419" s="509"/>
      <c r="D419" s="509"/>
      <c r="E419" s="509"/>
      <c r="F419" s="509"/>
      <c r="G419" s="221"/>
      <c r="H419" s="221"/>
      <c r="I419" s="221"/>
      <c r="J419" s="221"/>
      <c r="K419" s="222"/>
      <c r="L419" s="221"/>
      <c r="M419" s="221"/>
      <c r="N419" s="221"/>
      <c r="O419" s="221"/>
    </row>
    <row r="420" spans="1:15" x14ac:dyDescent="0.25">
      <c r="A420" s="692" t="s">
        <v>984</v>
      </c>
      <c r="B420" s="281"/>
      <c r="C420" s="281"/>
      <c r="D420" s="281"/>
      <c r="E420" s="281"/>
      <c r="F420" s="281"/>
      <c r="G420" s="223"/>
      <c r="H420" s="223"/>
      <c r="I420" s="223"/>
      <c r="J420" s="223"/>
      <c r="K420" s="224"/>
      <c r="L420" s="221"/>
      <c r="M420" s="221"/>
      <c r="N420" s="221"/>
      <c r="O420" s="221"/>
    </row>
    <row r="422" spans="1:15" x14ac:dyDescent="0.25">
      <c r="A422" s="91" t="s">
        <v>14</v>
      </c>
      <c r="B422" s="55" t="s">
        <v>636</v>
      </c>
      <c r="C422" s="40" t="s">
        <v>15</v>
      </c>
    </row>
    <row r="423" spans="1:15" x14ac:dyDescent="0.25">
      <c r="A423" s="46" t="s">
        <v>16</v>
      </c>
      <c r="B423" s="51">
        <v>2015</v>
      </c>
      <c r="C423" s="88">
        <v>2016</v>
      </c>
      <c r="D423" s="51">
        <v>2017</v>
      </c>
      <c r="E423" s="102">
        <v>2018</v>
      </c>
      <c r="F423" s="102">
        <v>2019</v>
      </c>
      <c r="G423" s="51">
        <v>2020</v>
      </c>
      <c r="H423" s="51">
        <v>2021</v>
      </c>
      <c r="I423" s="51">
        <v>2022</v>
      </c>
      <c r="J423" s="51">
        <v>2023</v>
      </c>
    </row>
    <row r="424" spans="1:15" x14ac:dyDescent="0.25">
      <c r="A424" s="46" t="s">
        <v>17</v>
      </c>
      <c r="B424" s="47">
        <v>270</v>
      </c>
      <c r="C424" s="89">
        <v>270</v>
      </c>
      <c r="D424" s="47">
        <v>270</v>
      </c>
      <c r="E424" s="90">
        <v>270</v>
      </c>
      <c r="F424" s="90">
        <v>270</v>
      </c>
      <c r="G424" s="47">
        <v>270</v>
      </c>
      <c r="H424" s="47">
        <v>270</v>
      </c>
      <c r="I424" s="47">
        <v>270</v>
      </c>
      <c r="J424" s="47">
        <v>270</v>
      </c>
    </row>
    <row r="425" spans="1:15" x14ac:dyDescent="0.25">
      <c r="A425" s="46" t="s">
        <v>18</v>
      </c>
      <c r="B425" s="47">
        <v>370</v>
      </c>
      <c r="C425" s="89">
        <v>370</v>
      </c>
      <c r="D425" s="47">
        <v>370</v>
      </c>
      <c r="E425" s="90">
        <v>343</v>
      </c>
      <c r="F425" s="90">
        <v>343</v>
      </c>
      <c r="G425" s="47">
        <f>G424*1.4-35-20</f>
        <v>323</v>
      </c>
      <c r="H425" s="47">
        <f>H424*1.4-35-20</f>
        <v>323</v>
      </c>
      <c r="I425" s="47">
        <f>I424*1.4-35-20</f>
        <v>323</v>
      </c>
      <c r="J425" s="47">
        <v>323</v>
      </c>
    </row>
    <row r="426" spans="1:15" x14ac:dyDescent="0.25">
      <c r="A426" s="46" t="s">
        <v>19</v>
      </c>
      <c r="B426" s="122" t="s">
        <v>92</v>
      </c>
      <c r="C426" s="122" t="s">
        <v>92</v>
      </c>
      <c r="D426" s="122" t="s">
        <v>92</v>
      </c>
      <c r="E426" s="123" t="s">
        <v>93</v>
      </c>
      <c r="F426" s="123" t="s">
        <v>93</v>
      </c>
      <c r="G426" s="124" t="s">
        <v>352</v>
      </c>
      <c r="H426" s="124" t="s">
        <v>352</v>
      </c>
      <c r="I426" s="124" t="s">
        <v>352</v>
      </c>
      <c r="J426" s="124" t="s">
        <v>352</v>
      </c>
    </row>
    <row r="427" spans="1:15" x14ac:dyDescent="0.25">
      <c r="A427" s="46" t="s">
        <v>20</v>
      </c>
      <c r="B427" s="47">
        <v>115</v>
      </c>
      <c r="C427" s="47">
        <v>151.72</v>
      </c>
      <c r="D427" s="47">
        <v>95.51</v>
      </c>
      <c r="E427" s="47">
        <v>169.22</v>
      </c>
      <c r="F427" s="90">
        <v>122.25</v>
      </c>
      <c r="G427" s="199">
        <v>157.75</v>
      </c>
      <c r="H427" s="47">
        <v>68</v>
      </c>
      <c r="I427" s="47">
        <v>150</v>
      </c>
      <c r="J427" s="47"/>
    </row>
    <row r="428" spans="1:15" x14ac:dyDescent="0.25">
      <c r="A428" s="46" t="s">
        <v>21</v>
      </c>
      <c r="B428" s="47">
        <v>255</v>
      </c>
      <c r="C428" s="47">
        <f>C425-C427</f>
        <v>218.28</v>
      </c>
      <c r="D428" s="47">
        <f>D425-D427</f>
        <v>274.49</v>
      </c>
      <c r="E428" s="47">
        <v>173.78</v>
      </c>
      <c r="F428" s="90">
        <f>F425-F427</f>
        <v>220.75</v>
      </c>
      <c r="G428" s="199">
        <f>G425-G427</f>
        <v>165.25</v>
      </c>
      <c r="H428" s="47">
        <f>H425-H427</f>
        <v>255</v>
      </c>
      <c r="I428" s="47">
        <f>I425-I427</f>
        <v>173</v>
      </c>
      <c r="J428" s="47"/>
    </row>
    <row r="429" spans="1:15" x14ac:dyDescent="0.25">
      <c r="A429" s="49" t="s">
        <v>22</v>
      </c>
      <c r="B429" s="57">
        <v>2017</v>
      </c>
      <c r="C429" s="79">
        <v>2018</v>
      </c>
      <c r="D429" s="57">
        <v>2019</v>
      </c>
      <c r="E429" s="80">
        <v>2020</v>
      </c>
      <c r="F429" s="80">
        <v>2021</v>
      </c>
      <c r="G429" s="80">
        <v>2022</v>
      </c>
      <c r="H429" s="80">
        <v>2023</v>
      </c>
      <c r="I429" s="80">
        <v>2024</v>
      </c>
      <c r="J429" s="80">
        <v>2025</v>
      </c>
    </row>
    <row r="430" spans="1:15" x14ac:dyDescent="0.25">
      <c r="A430" s="49" t="s">
        <v>23</v>
      </c>
      <c r="B430" s="46"/>
      <c r="C430" s="58"/>
      <c r="D430" s="58"/>
      <c r="E430" s="58"/>
      <c r="F430" s="58"/>
      <c r="G430" s="58"/>
      <c r="H430" s="58"/>
      <c r="I430" s="58"/>
      <c r="J430" s="56"/>
    </row>
    <row r="431" spans="1:15" x14ac:dyDescent="0.25">
      <c r="A431" s="722" t="s">
        <v>94</v>
      </c>
      <c r="B431" s="716"/>
      <c r="C431" s="716"/>
      <c r="D431" s="716"/>
      <c r="E431" s="716"/>
      <c r="F431" s="716"/>
      <c r="J431" s="21"/>
    </row>
    <row r="432" spans="1:15" x14ac:dyDescent="0.25">
      <c r="A432" s="76" t="s">
        <v>349</v>
      </c>
      <c r="B432" s="107"/>
      <c r="C432" s="107"/>
      <c r="D432" s="107"/>
      <c r="E432" s="107"/>
      <c r="F432" s="107"/>
      <c r="J432" s="21"/>
    </row>
    <row r="433" spans="1:10" x14ac:dyDescent="0.25">
      <c r="A433" s="76" t="s">
        <v>350</v>
      </c>
      <c r="B433" s="107"/>
      <c r="C433" s="107"/>
      <c r="D433" s="107"/>
      <c r="E433" s="107"/>
      <c r="F433" s="107"/>
      <c r="J433" s="21"/>
    </row>
    <row r="434" spans="1:10" ht="13.2" customHeight="1" x14ac:dyDescent="0.25">
      <c r="A434" s="20" t="s">
        <v>351</v>
      </c>
      <c r="J434" s="21"/>
    </row>
    <row r="435" spans="1:10" x14ac:dyDescent="0.25">
      <c r="A435" s="76" t="s">
        <v>451</v>
      </c>
      <c r="B435" s="107"/>
      <c r="C435" s="107"/>
      <c r="D435" s="107"/>
      <c r="E435" s="107"/>
      <c r="F435" s="107"/>
      <c r="J435" s="21"/>
    </row>
    <row r="436" spans="1:10" x14ac:dyDescent="0.25">
      <c r="A436" s="76" t="s">
        <v>452</v>
      </c>
      <c r="B436" s="107"/>
      <c r="C436" s="107"/>
      <c r="D436" s="107"/>
      <c r="E436" s="107"/>
      <c r="F436" s="107"/>
      <c r="J436" s="21"/>
    </row>
    <row r="437" spans="1:10" x14ac:dyDescent="0.25">
      <c r="A437" s="20" t="s">
        <v>669</v>
      </c>
      <c r="B437" s="107"/>
      <c r="C437" s="107"/>
      <c r="D437" s="107"/>
      <c r="E437" s="107"/>
      <c r="F437" s="107"/>
      <c r="J437" s="21"/>
    </row>
    <row r="438" spans="1:10" x14ac:dyDescent="0.25">
      <c r="A438" s="32" t="s">
        <v>811</v>
      </c>
      <c r="B438" s="33"/>
      <c r="C438" s="33"/>
      <c r="D438" s="33"/>
      <c r="E438" s="33"/>
      <c r="F438" s="33"/>
      <c r="G438" s="33"/>
      <c r="H438" s="33"/>
      <c r="I438" s="33"/>
      <c r="J438" s="34"/>
    </row>
    <row r="440" spans="1:10" x14ac:dyDescent="0.25">
      <c r="A440" s="91" t="s">
        <v>14</v>
      </c>
      <c r="B440" s="55" t="s">
        <v>654</v>
      </c>
      <c r="C440" s="40" t="s">
        <v>15</v>
      </c>
    </row>
    <row r="441" spans="1:10" x14ac:dyDescent="0.25">
      <c r="A441" s="46" t="s">
        <v>16</v>
      </c>
      <c r="B441" s="51">
        <v>2015</v>
      </c>
      <c r="C441" s="88">
        <v>2016</v>
      </c>
      <c r="D441" s="51">
        <v>2017</v>
      </c>
      <c r="E441" s="102">
        <v>2018</v>
      </c>
      <c r="F441" s="102">
        <v>2019</v>
      </c>
      <c r="G441" s="51">
        <v>2020</v>
      </c>
      <c r="H441" s="51">
        <v>2021</v>
      </c>
      <c r="I441" s="51">
        <v>2022</v>
      </c>
      <c r="J441" s="51">
        <v>2023</v>
      </c>
    </row>
    <row r="442" spans="1:10" x14ac:dyDescent="0.25">
      <c r="A442" s="46" t="s">
        <v>17</v>
      </c>
      <c r="B442" s="47">
        <v>459</v>
      </c>
      <c r="C442" s="89">
        <v>459</v>
      </c>
      <c r="D442" s="47">
        <v>459</v>
      </c>
      <c r="E442" s="90">
        <v>459</v>
      </c>
      <c r="F442" s="90">
        <v>459</v>
      </c>
      <c r="G442" s="47">
        <v>459</v>
      </c>
      <c r="H442" s="47">
        <v>459</v>
      </c>
      <c r="I442" s="47">
        <v>459</v>
      </c>
      <c r="J442" s="47">
        <v>459</v>
      </c>
    </row>
    <row r="443" spans="1:10" x14ac:dyDescent="0.25">
      <c r="A443" s="46" t="s">
        <v>18</v>
      </c>
      <c r="B443" s="47">
        <v>587.9</v>
      </c>
      <c r="C443" s="89">
        <v>535.9</v>
      </c>
      <c r="D443" s="47">
        <v>516.9</v>
      </c>
      <c r="E443" s="90">
        <v>559.9</v>
      </c>
      <c r="F443" s="90">
        <v>546.79999999999995</v>
      </c>
      <c r="G443" s="47">
        <v>550.79999999999995</v>
      </c>
      <c r="H443" s="47">
        <v>550.79999999999995</v>
      </c>
      <c r="I443" s="47">
        <f>I442+H446</f>
        <v>477.79999999999995</v>
      </c>
      <c r="J443" s="47">
        <f>J442+0.1*I442</f>
        <v>504.9</v>
      </c>
    </row>
    <row r="444" spans="1:10" x14ac:dyDescent="0.25">
      <c r="A444" s="46" t="s">
        <v>19</v>
      </c>
      <c r="B444" s="122" t="s">
        <v>95</v>
      </c>
      <c r="C444" s="122" t="s">
        <v>96</v>
      </c>
      <c r="D444" s="122" t="s">
        <v>97</v>
      </c>
      <c r="E444" s="123" t="s">
        <v>380</v>
      </c>
      <c r="F444" s="123" t="s">
        <v>381</v>
      </c>
      <c r="G444" s="22" t="s">
        <v>353</v>
      </c>
      <c r="H444" s="22" t="s">
        <v>353</v>
      </c>
      <c r="I444" s="22" t="str">
        <f>"=459+18.8"</f>
        <v>=459+18.8</v>
      </c>
      <c r="J444" s="22" t="s">
        <v>812</v>
      </c>
    </row>
    <row r="445" spans="1:10" x14ac:dyDescent="0.25">
      <c r="A445" s="46" t="s">
        <v>20</v>
      </c>
      <c r="B445" s="47">
        <v>511</v>
      </c>
      <c r="C445" s="89">
        <v>478</v>
      </c>
      <c r="D445" s="47">
        <v>416</v>
      </c>
      <c r="E445" s="47">
        <v>472.1</v>
      </c>
      <c r="F445" s="90">
        <v>395.31</v>
      </c>
      <c r="G445" s="199">
        <v>353.05</v>
      </c>
      <c r="H445" s="47">
        <v>532</v>
      </c>
      <c r="I445" s="47">
        <v>420</v>
      </c>
      <c r="J445" s="47"/>
    </row>
    <row r="446" spans="1:10" x14ac:dyDescent="0.25">
      <c r="A446" s="46" t="s">
        <v>21</v>
      </c>
      <c r="B446" s="47">
        <v>76.900000000000006</v>
      </c>
      <c r="C446" s="89">
        <v>57.9</v>
      </c>
      <c r="D446" s="47">
        <v>100.9</v>
      </c>
      <c r="E446" s="47">
        <v>87.799999999999955</v>
      </c>
      <c r="F446" s="90">
        <v>151.48999999999995</v>
      </c>
      <c r="G446" s="199">
        <f>G443-G445</f>
        <v>197.74999999999994</v>
      </c>
      <c r="H446" s="231">
        <f>H443-H445</f>
        <v>18.799999999999955</v>
      </c>
      <c r="I446" s="231">
        <f>I443-I445</f>
        <v>57.799999999999955</v>
      </c>
      <c r="J446" s="47"/>
    </row>
    <row r="447" spans="1:10" x14ac:dyDescent="0.25">
      <c r="A447" s="49" t="s">
        <v>22</v>
      </c>
      <c r="B447" s="57">
        <v>2016</v>
      </c>
      <c r="C447" s="79">
        <v>2017</v>
      </c>
      <c r="D447" s="57">
        <v>2018</v>
      </c>
      <c r="E447" s="80">
        <v>2019</v>
      </c>
      <c r="F447" s="80">
        <v>2020</v>
      </c>
      <c r="G447" s="80">
        <v>2021</v>
      </c>
      <c r="H447" s="80">
        <v>2022</v>
      </c>
      <c r="I447" s="80">
        <v>2023</v>
      </c>
      <c r="J447" s="80">
        <v>2024</v>
      </c>
    </row>
    <row r="448" spans="1:10" x14ac:dyDescent="0.25">
      <c r="A448" s="46" t="s">
        <v>23</v>
      </c>
      <c r="B448" s="58"/>
      <c r="C448" s="58"/>
      <c r="D448" s="58"/>
      <c r="E448" s="58"/>
      <c r="F448" s="58"/>
      <c r="G448" s="58"/>
      <c r="H448" s="58"/>
      <c r="I448" s="58"/>
      <c r="J448" s="56"/>
    </row>
    <row r="449" spans="1:10" ht="13.2" customHeight="1" x14ac:dyDescent="0.25">
      <c r="A449" s="20" t="s">
        <v>98</v>
      </c>
      <c r="J449" s="21"/>
    </row>
    <row r="450" spans="1:10" ht="13.2" customHeight="1" x14ac:dyDescent="0.25">
      <c r="A450" s="721" t="s">
        <v>382</v>
      </c>
      <c r="B450" s="716"/>
      <c r="C450" s="716"/>
      <c r="D450" s="716"/>
      <c r="E450" s="716"/>
      <c r="F450" s="716"/>
      <c r="J450" s="21"/>
    </row>
    <row r="451" spans="1:10" x14ac:dyDescent="0.25">
      <c r="A451" s="76" t="s">
        <v>354</v>
      </c>
      <c r="B451" s="107"/>
      <c r="C451" s="107"/>
      <c r="D451" s="107"/>
      <c r="E451" s="107"/>
      <c r="F451" s="107"/>
      <c r="J451" s="21"/>
    </row>
    <row r="452" spans="1:10" x14ac:dyDescent="0.25">
      <c r="A452" s="76" t="s">
        <v>355</v>
      </c>
      <c r="B452" s="107"/>
      <c r="C452" s="107"/>
      <c r="D452" s="107"/>
      <c r="E452" s="107"/>
      <c r="F452" s="107"/>
      <c r="J452" s="21"/>
    </row>
    <row r="453" spans="1:10" ht="13.2" customHeight="1" x14ac:dyDescent="0.25">
      <c r="A453" s="76" t="s">
        <v>453</v>
      </c>
      <c r="B453" s="107"/>
      <c r="C453" s="107"/>
      <c r="D453" s="107"/>
      <c r="E453" s="107"/>
      <c r="F453" s="107"/>
      <c r="J453" s="21"/>
    </row>
    <row r="454" spans="1:10" ht="13.2" customHeight="1" x14ac:dyDescent="0.25">
      <c r="A454" s="76" t="s">
        <v>454</v>
      </c>
      <c r="B454" s="107"/>
      <c r="C454" s="107"/>
      <c r="D454" s="107"/>
      <c r="E454" s="107"/>
      <c r="F454" s="107"/>
      <c r="J454" s="21"/>
    </row>
    <row r="455" spans="1:10" ht="13.2" customHeight="1" x14ac:dyDescent="0.25">
      <c r="A455" s="76" t="s">
        <v>670</v>
      </c>
      <c r="B455" s="107"/>
      <c r="C455" s="107"/>
      <c r="D455" s="107"/>
      <c r="E455" s="107"/>
      <c r="F455" s="107"/>
      <c r="J455" s="21"/>
    </row>
    <row r="456" spans="1:10" ht="12.75" customHeight="1" x14ac:dyDescent="0.25">
      <c r="A456" s="59" t="s">
        <v>813</v>
      </c>
      <c r="B456" s="113"/>
      <c r="C456" s="113"/>
      <c r="D456" s="113"/>
      <c r="E456" s="113"/>
      <c r="F456" s="113"/>
      <c r="G456" s="33"/>
      <c r="H456" s="33"/>
      <c r="I456" s="33"/>
      <c r="J456" s="34"/>
    </row>
    <row r="458" spans="1:10" x14ac:dyDescent="0.25">
      <c r="A458" s="91" t="s">
        <v>14</v>
      </c>
      <c r="B458" s="55" t="s">
        <v>655</v>
      </c>
      <c r="C458" s="40" t="s">
        <v>15</v>
      </c>
    </row>
    <row r="459" spans="1:10" x14ac:dyDescent="0.25">
      <c r="A459" s="46" t="s">
        <v>16</v>
      </c>
      <c r="B459" s="51">
        <v>2015</v>
      </c>
      <c r="C459" s="88">
        <v>2016</v>
      </c>
      <c r="D459" s="51">
        <v>2017</v>
      </c>
      <c r="E459" s="102">
        <v>2018</v>
      </c>
      <c r="F459" s="102">
        <v>2019</v>
      </c>
      <c r="G459" s="51">
        <v>2020</v>
      </c>
      <c r="H459" s="51">
        <v>2021</v>
      </c>
      <c r="I459" s="51">
        <v>2022</v>
      </c>
      <c r="J459" s="51">
        <v>2023</v>
      </c>
    </row>
    <row r="460" spans="1:10" x14ac:dyDescent="0.25">
      <c r="A460" s="46" t="s">
        <v>17</v>
      </c>
      <c r="B460" s="23">
        <v>48.76</v>
      </c>
      <c r="C460" s="92">
        <v>58.28</v>
      </c>
      <c r="D460" s="23">
        <v>69.97</v>
      </c>
      <c r="E460" s="93">
        <v>79</v>
      </c>
      <c r="F460" s="93">
        <v>84</v>
      </c>
      <c r="G460" s="23">
        <v>90</v>
      </c>
      <c r="H460" s="23">
        <v>90</v>
      </c>
      <c r="I460" s="23">
        <v>90</v>
      </c>
      <c r="J460" s="23">
        <v>101</v>
      </c>
    </row>
    <row r="461" spans="1:10" x14ac:dyDescent="0.25">
      <c r="A461" s="46" t="s">
        <v>18</v>
      </c>
      <c r="B461" s="23">
        <v>38.76</v>
      </c>
      <c r="C461" s="92">
        <v>48.28</v>
      </c>
      <c r="D461" s="23">
        <v>59.97</v>
      </c>
      <c r="E461" s="93">
        <v>29</v>
      </c>
      <c r="F461" s="93">
        <v>34</v>
      </c>
      <c r="G461" s="23">
        <f>G460-50</f>
        <v>40</v>
      </c>
      <c r="H461" s="23">
        <f>H460-50</f>
        <v>40</v>
      </c>
      <c r="I461" s="23">
        <f>I460-50</f>
        <v>40</v>
      </c>
      <c r="J461" s="23">
        <v>51</v>
      </c>
    </row>
    <row r="462" spans="1:10" x14ac:dyDescent="0.25">
      <c r="A462" s="46" t="s">
        <v>19</v>
      </c>
      <c r="B462" s="125" t="s">
        <v>99</v>
      </c>
      <c r="C462" s="125" t="s">
        <v>100</v>
      </c>
      <c r="D462" s="125" t="s">
        <v>101</v>
      </c>
      <c r="E462" s="126" t="s">
        <v>102</v>
      </c>
      <c r="F462" s="126" t="s">
        <v>103</v>
      </c>
      <c r="G462" s="124" t="s">
        <v>356</v>
      </c>
      <c r="H462" s="124" t="s">
        <v>356</v>
      </c>
      <c r="I462" s="124" t="s">
        <v>356</v>
      </c>
      <c r="J462" s="124" t="s">
        <v>814</v>
      </c>
    </row>
    <row r="463" spans="1:10" x14ac:dyDescent="0.25">
      <c r="A463" s="46" t="s">
        <v>20</v>
      </c>
      <c r="B463" s="23">
        <v>0</v>
      </c>
      <c r="C463" s="92">
        <v>0</v>
      </c>
      <c r="D463" s="23">
        <v>0</v>
      </c>
      <c r="E463" s="23">
        <v>0</v>
      </c>
      <c r="F463" s="93">
        <v>0</v>
      </c>
      <c r="G463" s="23">
        <v>0</v>
      </c>
      <c r="H463" s="23">
        <v>0</v>
      </c>
      <c r="I463" s="23"/>
      <c r="J463" s="23"/>
    </row>
    <row r="464" spans="1:10" x14ac:dyDescent="0.25">
      <c r="A464" s="46" t="s">
        <v>21</v>
      </c>
      <c r="B464" s="23">
        <v>38.76</v>
      </c>
      <c r="C464" s="92">
        <v>48.28</v>
      </c>
      <c r="D464" s="23">
        <v>59.97</v>
      </c>
      <c r="E464" s="23">
        <v>29</v>
      </c>
      <c r="F464" s="93">
        <f>F461-F463</f>
        <v>34</v>
      </c>
      <c r="G464" s="23">
        <f>G461-G463</f>
        <v>40</v>
      </c>
      <c r="H464" s="23">
        <f>H461-H463</f>
        <v>40</v>
      </c>
      <c r="I464" s="23"/>
      <c r="J464" s="23"/>
    </row>
    <row r="465" spans="1:10" x14ac:dyDescent="0.25">
      <c r="A465" s="49" t="s">
        <v>22</v>
      </c>
      <c r="B465" s="57">
        <v>2017</v>
      </c>
      <c r="C465" s="79">
        <v>2018</v>
      </c>
      <c r="D465" s="57">
        <v>2019</v>
      </c>
      <c r="E465" s="57">
        <v>2020</v>
      </c>
      <c r="F465" s="57">
        <v>2021</v>
      </c>
      <c r="G465" s="57">
        <v>2022</v>
      </c>
      <c r="H465" s="57">
        <v>2023</v>
      </c>
      <c r="I465" s="57">
        <v>2024</v>
      </c>
      <c r="J465" s="57">
        <v>2025</v>
      </c>
    </row>
    <row r="466" spans="1:10" x14ac:dyDescent="0.25">
      <c r="A466" s="46" t="s">
        <v>23</v>
      </c>
      <c r="B466" s="58"/>
      <c r="C466" s="58"/>
      <c r="D466" s="58"/>
      <c r="E466" s="58"/>
      <c r="F466" s="58"/>
      <c r="G466" s="58"/>
      <c r="H466" s="58"/>
      <c r="I466" s="58"/>
      <c r="J466" s="56"/>
    </row>
    <row r="467" spans="1:10" x14ac:dyDescent="0.25">
      <c r="A467" s="218" t="s">
        <v>104</v>
      </c>
      <c r="B467" s="30"/>
      <c r="C467" s="30"/>
      <c r="D467" s="30"/>
      <c r="E467" s="30"/>
      <c r="F467" s="30"/>
      <c r="G467" s="30"/>
      <c r="H467" s="30"/>
      <c r="I467" s="30"/>
      <c r="J467" s="31"/>
    </row>
    <row r="468" spans="1:10" x14ac:dyDescent="0.25">
      <c r="A468" s="220" t="s">
        <v>357</v>
      </c>
      <c r="J468" s="21"/>
    </row>
    <row r="469" spans="1:10" x14ac:dyDescent="0.25">
      <c r="A469" s="220" t="s">
        <v>455</v>
      </c>
      <c r="J469" s="21"/>
    </row>
    <row r="470" spans="1:10" x14ac:dyDescent="0.25">
      <c r="A470" s="220" t="s">
        <v>671</v>
      </c>
      <c r="J470" s="21"/>
    </row>
    <row r="471" spans="1:10" x14ac:dyDescent="0.25">
      <c r="A471" s="211" t="s">
        <v>815</v>
      </c>
      <c r="B471" s="33"/>
      <c r="C471" s="33"/>
      <c r="D471" s="33"/>
      <c r="E471" s="33"/>
      <c r="F471" s="33"/>
      <c r="G471" s="33"/>
      <c r="H471" s="33"/>
      <c r="I471" s="33"/>
      <c r="J471" s="34"/>
    </row>
    <row r="472" spans="1:10" x14ac:dyDescent="0.25">
      <c r="A472" s="32"/>
      <c r="B472" s="33"/>
    </row>
    <row r="473" spans="1:10" x14ac:dyDescent="0.25">
      <c r="A473" s="91" t="s">
        <v>14</v>
      </c>
      <c r="B473" s="55" t="s">
        <v>66</v>
      </c>
      <c r="C473" s="40" t="s">
        <v>15</v>
      </c>
    </row>
    <row r="474" spans="1:10" x14ac:dyDescent="0.25">
      <c r="A474" s="46" t="s">
        <v>16</v>
      </c>
      <c r="B474" s="51">
        <v>2015</v>
      </c>
      <c r="C474" s="88">
        <v>2016</v>
      </c>
      <c r="D474" s="51">
        <v>2017</v>
      </c>
      <c r="E474" s="102">
        <v>2018</v>
      </c>
      <c r="F474" s="102">
        <v>2019</v>
      </c>
      <c r="G474" s="51">
        <v>2020</v>
      </c>
      <c r="H474" s="198">
        <v>2021</v>
      </c>
      <c r="I474" s="198">
        <v>2022</v>
      </c>
      <c r="J474" s="198">
        <v>2023</v>
      </c>
    </row>
    <row r="475" spans="1:10" x14ac:dyDescent="0.25">
      <c r="A475" s="46" t="s">
        <v>17</v>
      </c>
      <c r="B475" s="47">
        <v>15583</v>
      </c>
      <c r="C475" s="89">
        <v>11679</v>
      </c>
      <c r="D475" s="47">
        <v>11679</v>
      </c>
      <c r="E475" s="90">
        <v>11679</v>
      </c>
      <c r="F475" s="90">
        <v>11679</v>
      </c>
      <c r="G475" s="47">
        <v>9226.41</v>
      </c>
      <c r="H475" s="199">
        <v>9078.7900000000009</v>
      </c>
      <c r="I475" s="199">
        <v>9152.6</v>
      </c>
      <c r="J475" s="199">
        <v>9152.6</v>
      </c>
    </row>
    <row r="476" spans="1:10" x14ac:dyDescent="0.25">
      <c r="A476" s="263" t="s">
        <v>18</v>
      </c>
      <c r="B476" s="231">
        <v>20187.900000000001</v>
      </c>
      <c r="C476" s="277">
        <v>16353.9</v>
      </c>
      <c r="D476" s="231">
        <f>14016.45</f>
        <v>14016.45</v>
      </c>
      <c r="E476" s="213">
        <v>13653.85</v>
      </c>
      <c r="F476" s="213">
        <v>13653.85</v>
      </c>
      <c r="G476" s="47">
        <f>G475+E475*0.15+223</f>
        <v>11201.26</v>
      </c>
      <c r="H476" s="199">
        <f>H475+0.1*F475+223</f>
        <v>10469.69</v>
      </c>
      <c r="I476" s="199">
        <f>I475+0.1*G475+223</f>
        <v>10298.241</v>
      </c>
      <c r="J476" s="199">
        <f>J475+0.1*H475+223</f>
        <v>10283.479000000001</v>
      </c>
    </row>
    <row r="477" spans="1:10" x14ac:dyDescent="0.25">
      <c r="A477" s="263" t="s">
        <v>19</v>
      </c>
      <c r="B477" s="278" t="s">
        <v>105</v>
      </c>
      <c r="C477" s="278" t="s">
        <v>106</v>
      </c>
      <c r="D477" s="278" t="s">
        <v>107</v>
      </c>
      <c r="E477" s="279" t="s">
        <v>108</v>
      </c>
      <c r="F477" s="279" t="s">
        <v>108</v>
      </c>
      <c r="G477" s="39" t="s">
        <v>456</v>
      </c>
      <c r="H477" s="68" t="s">
        <v>816</v>
      </c>
      <c r="I477" s="68" t="s">
        <v>817</v>
      </c>
      <c r="J477" s="68" t="s">
        <v>818</v>
      </c>
    </row>
    <row r="478" spans="1:10" x14ac:dyDescent="0.25">
      <c r="A478" s="263" t="s">
        <v>20</v>
      </c>
      <c r="B478" s="231">
        <v>16453</v>
      </c>
      <c r="C478" s="277">
        <v>13115</v>
      </c>
      <c r="D478" s="231">
        <v>11845</v>
      </c>
      <c r="E478" s="231">
        <v>11630</v>
      </c>
      <c r="F478" s="213">
        <v>11288</v>
      </c>
      <c r="G478" s="47">
        <v>9226</v>
      </c>
      <c r="H478" s="199">
        <v>4092.6</v>
      </c>
      <c r="I478" s="199">
        <v>8181</v>
      </c>
      <c r="J478" s="199"/>
    </row>
    <row r="479" spans="1:10" x14ac:dyDescent="0.25">
      <c r="A479" s="263" t="s">
        <v>21</v>
      </c>
      <c r="B479" s="231">
        <v>3734.9</v>
      </c>
      <c r="C479" s="277">
        <v>3238.9</v>
      </c>
      <c r="D479" s="231">
        <v>2171.4499999999998</v>
      </c>
      <c r="E479" s="231">
        <v>2023.85</v>
      </c>
      <c r="F479" s="213">
        <f>F476-F478</f>
        <v>2365.8500000000004</v>
      </c>
      <c r="G479" s="47">
        <f>G476-G478</f>
        <v>1975.2600000000002</v>
      </c>
      <c r="H479" s="199">
        <f>H476-H478</f>
        <v>6377.09</v>
      </c>
      <c r="I479" s="199">
        <f>I476-I478</f>
        <v>2117.241</v>
      </c>
      <c r="J479" s="199"/>
    </row>
    <row r="480" spans="1:10" x14ac:dyDescent="0.25">
      <c r="A480" s="218" t="s">
        <v>22</v>
      </c>
      <c r="B480" s="244">
        <v>2017</v>
      </c>
      <c r="C480" s="280">
        <v>2018</v>
      </c>
      <c r="D480" s="244">
        <v>2019</v>
      </c>
      <c r="E480" s="244">
        <v>2020</v>
      </c>
      <c r="F480" s="245">
        <v>2021</v>
      </c>
      <c r="G480" s="57">
        <v>2022</v>
      </c>
      <c r="H480" s="200">
        <v>2023</v>
      </c>
      <c r="I480" s="200">
        <v>2024</v>
      </c>
      <c r="J480" s="200"/>
    </row>
    <row r="481" spans="1:10" x14ac:dyDescent="0.25">
      <c r="A481" s="218" t="s">
        <v>23</v>
      </c>
      <c r="B481" s="219"/>
      <c r="C481" s="219"/>
      <c r="D481" s="219"/>
      <c r="E481" s="219"/>
      <c r="F481" s="219"/>
      <c r="G481" s="30"/>
      <c r="H481" s="31"/>
      <c r="I481" s="31"/>
      <c r="J481" s="31"/>
    </row>
    <row r="482" spans="1:10" x14ac:dyDescent="0.25">
      <c r="A482" s="218" t="s">
        <v>109</v>
      </c>
      <c r="B482" s="219"/>
      <c r="C482" s="219"/>
      <c r="D482" s="219"/>
      <c r="E482" s="219"/>
      <c r="F482" s="219"/>
      <c r="G482" s="30"/>
      <c r="H482" s="30"/>
      <c r="I482" s="31"/>
      <c r="J482" s="31"/>
    </row>
    <row r="483" spans="1:10" x14ac:dyDescent="0.25">
      <c r="A483" s="220" t="s">
        <v>358</v>
      </c>
      <c r="B483" s="221"/>
      <c r="C483" s="221"/>
      <c r="D483" s="221"/>
      <c r="E483" s="221"/>
      <c r="F483" s="221"/>
      <c r="I483" s="21"/>
      <c r="J483" s="21"/>
    </row>
    <row r="484" spans="1:10" x14ac:dyDescent="0.25">
      <c r="A484" s="220" t="s">
        <v>358</v>
      </c>
      <c r="B484" s="221"/>
      <c r="C484" s="221"/>
      <c r="D484" s="221"/>
      <c r="E484" s="221"/>
      <c r="F484" s="221"/>
      <c r="I484" s="21"/>
      <c r="J484" s="21"/>
    </row>
    <row r="485" spans="1:10" x14ac:dyDescent="0.25">
      <c r="A485" s="220" t="s">
        <v>600</v>
      </c>
      <c r="B485" s="221"/>
      <c r="C485" s="221"/>
      <c r="D485" s="221"/>
      <c r="E485" s="221"/>
      <c r="F485" s="221"/>
      <c r="I485" s="21"/>
      <c r="J485" s="21"/>
    </row>
    <row r="486" spans="1:10" x14ac:dyDescent="0.25">
      <c r="A486" s="220" t="s">
        <v>672</v>
      </c>
      <c r="B486" s="221"/>
      <c r="C486" s="221"/>
      <c r="D486" s="221"/>
      <c r="E486" s="221"/>
      <c r="F486" s="221"/>
      <c r="I486" s="21"/>
      <c r="J486" s="21"/>
    </row>
    <row r="487" spans="1:10" x14ac:dyDescent="0.25">
      <c r="A487" s="233" t="s">
        <v>819</v>
      </c>
      <c r="B487" s="281"/>
      <c r="C487" s="281"/>
      <c r="D487" s="281"/>
      <c r="E487" s="281"/>
      <c r="F487" s="281"/>
      <c r="G487" s="33"/>
      <c r="H487" s="33"/>
      <c r="I487" s="34"/>
      <c r="J487" s="34"/>
    </row>
    <row r="489" spans="1:10" x14ac:dyDescent="0.25">
      <c r="A489" s="91" t="s">
        <v>14</v>
      </c>
      <c r="B489" s="55" t="s">
        <v>74</v>
      </c>
      <c r="C489" s="40" t="s">
        <v>15</v>
      </c>
    </row>
    <row r="490" spans="1:10" x14ac:dyDescent="0.25">
      <c r="A490" s="46" t="s">
        <v>16</v>
      </c>
      <c r="B490" s="51">
        <v>2015</v>
      </c>
      <c r="C490" s="88">
        <v>2016</v>
      </c>
      <c r="D490" s="51">
        <v>2017</v>
      </c>
      <c r="E490" s="102">
        <v>2018</v>
      </c>
      <c r="F490" s="102">
        <v>2019</v>
      </c>
      <c r="G490" s="51">
        <v>2020</v>
      </c>
      <c r="H490" s="51">
        <v>2021</v>
      </c>
      <c r="I490" s="51">
        <v>2022</v>
      </c>
    </row>
    <row r="491" spans="1:10" x14ac:dyDescent="0.25">
      <c r="A491" s="46" t="s">
        <v>17</v>
      </c>
      <c r="B491" s="23">
        <v>150</v>
      </c>
      <c r="C491" s="92">
        <v>150</v>
      </c>
      <c r="D491" s="23">
        <v>150</v>
      </c>
      <c r="E491" s="93">
        <v>150</v>
      </c>
      <c r="F491" s="93">
        <v>150</v>
      </c>
      <c r="G491" s="23">
        <v>126.2</v>
      </c>
      <c r="H491" s="23">
        <v>126.2</v>
      </c>
      <c r="I491" s="23">
        <v>126.2</v>
      </c>
    </row>
    <row r="492" spans="1:10" x14ac:dyDescent="0.25">
      <c r="A492" s="46" t="s">
        <v>18</v>
      </c>
      <c r="B492" s="23">
        <v>165</v>
      </c>
      <c r="C492" s="92">
        <v>165</v>
      </c>
      <c r="D492" s="23">
        <v>165</v>
      </c>
      <c r="E492" s="93">
        <v>165</v>
      </c>
      <c r="F492" s="93">
        <v>165</v>
      </c>
      <c r="G492" s="23">
        <f>G491+0.1*E491</f>
        <v>141.19999999999999</v>
      </c>
      <c r="H492" s="23">
        <f>H491+0.1*F491</f>
        <v>141.19999999999999</v>
      </c>
      <c r="I492" s="23"/>
    </row>
    <row r="493" spans="1:10" x14ac:dyDescent="0.25">
      <c r="A493" s="46" t="s">
        <v>19</v>
      </c>
      <c r="B493" s="125" t="s">
        <v>110</v>
      </c>
      <c r="C493" s="125" t="s">
        <v>110</v>
      </c>
      <c r="D493" s="125" t="s">
        <v>110</v>
      </c>
      <c r="E493" s="126" t="s">
        <v>110</v>
      </c>
      <c r="F493" s="126" t="s">
        <v>110</v>
      </c>
      <c r="G493" s="126" t="s">
        <v>359</v>
      </c>
      <c r="H493" s="126" t="s">
        <v>359</v>
      </c>
      <c r="I493" s="126"/>
    </row>
    <row r="494" spans="1:10" x14ac:dyDescent="0.25">
      <c r="A494" s="46" t="s">
        <v>20</v>
      </c>
      <c r="B494" s="23">
        <v>61</v>
      </c>
      <c r="C494" s="92">
        <v>75</v>
      </c>
      <c r="D494" s="23">
        <v>73</v>
      </c>
      <c r="E494" s="23">
        <v>74</v>
      </c>
      <c r="F494" s="93">
        <v>40</v>
      </c>
      <c r="G494" s="45">
        <v>91.4</v>
      </c>
      <c r="H494" s="215">
        <v>96.1</v>
      </c>
      <c r="I494" s="23">
        <v>58</v>
      </c>
    </row>
    <row r="495" spans="1:10" x14ac:dyDescent="0.25">
      <c r="A495" s="46" t="s">
        <v>21</v>
      </c>
      <c r="B495" s="23">
        <v>104</v>
      </c>
      <c r="C495" s="92">
        <v>90</v>
      </c>
      <c r="D495" s="23">
        <v>92</v>
      </c>
      <c r="E495" s="23">
        <v>91</v>
      </c>
      <c r="F495" s="93">
        <f>F492-F494</f>
        <v>125</v>
      </c>
      <c r="G495" s="45">
        <f>G492-G494</f>
        <v>49.799999999999983</v>
      </c>
      <c r="H495" s="215">
        <f>H492-H494</f>
        <v>45.099999999999994</v>
      </c>
      <c r="I495" s="23">
        <f>I491-I494</f>
        <v>68.2</v>
      </c>
    </row>
    <row r="496" spans="1:10" x14ac:dyDescent="0.25">
      <c r="A496" s="49" t="s">
        <v>22</v>
      </c>
      <c r="B496" s="57">
        <v>2017</v>
      </c>
      <c r="C496" s="79">
        <v>2018</v>
      </c>
      <c r="D496" s="57">
        <v>2019</v>
      </c>
      <c r="E496" s="57">
        <v>2020</v>
      </c>
      <c r="F496" s="80">
        <v>2021</v>
      </c>
      <c r="G496" s="57" t="s">
        <v>161</v>
      </c>
      <c r="H496" s="57" t="s">
        <v>161</v>
      </c>
      <c r="I496" s="57" t="s">
        <v>161</v>
      </c>
    </row>
    <row r="497" spans="1:9" x14ac:dyDescent="0.25">
      <c r="A497" s="49" t="s">
        <v>23</v>
      </c>
      <c r="B497" s="30"/>
      <c r="C497" s="30"/>
      <c r="D497" s="30"/>
      <c r="E497" s="30"/>
      <c r="F497" s="30"/>
      <c r="G497" s="30"/>
      <c r="H497" s="31"/>
      <c r="I497" s="31"/>
    </row>
    <row r="498" spans="1:9" x14ac:dyDescent="0.25">
      <c r="A498" s="722" t="s">
        <v>111</v>
      </c>
      <c r="B498" s="723"/>
      <c r="C498" s="723"/>
      <c r="D498" s="723"/>
      <c r="E498" s="723"/>
      <c r="F498" s="723"/>
      <c r="G498" s="30"/>
      <c r="H498" s="30"/>
      <c r="I498" s="31"/>
    </row>
    <row r="499" spans="1:9" x14ac:dyDescent="0.25">
      <c r="A499" s="76" t="s">
        <v>360</v>
      </c>
      <c r="B499" s="107"/>
      <c r="C499" s="107"/>
      <c r="D499" s="107"/>
      <c r="E499" s="107"/>
      <c r="F499" s="107"/>
      <c r="I499" s="21"/>
    </row>
    <row r="500" spans="1:9" x14ac:dyDescent="0.25">
      <c r="A500" s="76" t="s">
        <v>457</v>
      </c>
      <c r="B500" s="107"/>
      <c r="C500" s="107"/>
      <c r="D500" s="107"/>
      <c r="E500" s="107"/>
      <c r="F500" s="107"/>
      <c r="I500" s="21"/>
    </row>
    <row r="501" spans="1:9" x14ac:dyDescent="0.25">
      <c r="A501" s="76" t="s">
        <v>673</v>
      </c>
      <c r="B501" s="107"/>
      <c r="C501" s="107"/>
      <c r="D501" s="107"/>
      <c r="E501" s="107"/>
      <c r="F501" s="107"/>
      <c r="I501" s="21"/>
    </row>
    <row r="502" spans="1:9" x14ac:dyDescent="0.25">
      <c r="A502" s="32" t="s">
        <v>808</v>
      </c>
      <c r="B502" s="33"/>
      <c r="C502" s="33"/>
      <c r="D502" s="33"/>
      <c r="E502" s="33"/>
      <c r="F502" s="33"/>
      <c r="G502" s="33"/>
      <c r="H502" s="33"/>
      <c r="I502" s="34"/>
    </row>
    <row r="504" spans="1:9" x14ac:dyDescent="0.25">
      <c r="A504" s="260" t="s">
        <v>14</v>
      </c>
      <c r="B504" s="274" t="s">
        <v>79</v>
      </c>
      <c r="C504" s="262" t="s">
        <v>15</v>
      </c>
      <c r="D504" s="221"/>
      <c r="E504" s="221"/>
      <c r="F504" s="221"/>
      <c r="G504" s="221"/>
      <c r="H504" s="221"/>
      <c r="I504" s="221"/>
    </row>
    <row r="505" spans="1:9" x14ac:dyDescent="0.25">
      <c r="A505" s="263" t="s">
        <v>16</v>
      </c>
      <c r="B505" s="212">
        <v>2015</v>
      </c>
      <c r="C505" s="275">
        <v>2016</v>
      </c>
      <c r="D505" s="212">
        <v>2017</v>
      </c>
      <c r="E505" s="276">
        <v>2018</v>
      </c>
      <c r="F505" s="276">
        <v>2019</v>
      </c>
      <c r="G505" s="212">
        <v>2020</v>
      </c>
      <c r="H505" s="212">
        <v>2021</v>
      </c>
      <c r="I505" s="212">
        <v>2022</v>
      </c>
    </row>
    <row r="506" spans="1:9" x14ac:dyDescent="0.25">
      <c r="A506" s="263" t="s">
        <v>17</v>
      </c>
      <c r="B506" s="215">
        <v>50</v>
      </c>
      <c r="C506" s="283">
        <v>50</v>
      </c>
      <c r="D506" s="215">
        <v>50</v>
      </c>
      <c r="E506" s="284">
        <v>50</v>
      </c>
      <c r="F506" s="284">
        <v>50</v>
      </c>
      <c r="G506" s="215">
        <v>50</v>
      </c>
      <c r="H506" s="215">
        <v>50</v>
      </c>
      <c r="I506" s="215">
        <v>50</v>
      </c>
    </row>
    <row r="507" spans="1:9" x14ac:dyDescent="0.25">
      <c r="A507" s="263" t="s">
        <v>18</v>
      </c>
      <c r="B507" s="215">
        <v>55</v>
      </c>
      <c r="C507" s="283">
        <v>55</v>
      </c>
      <c r="D507" s="215">
        <v>55</v>
      </c>
      <c r="E507" s="284">
        <v>55</v>
      </c>
      <c r="F507" s="284">
        <v>55</v>
      </c>
      <c r="G507" s="215">
        <f>G506*1.1</f>
        <v>55.000000000000007</v>
      </c>
      <c r="H507" s="215">
        <f>H506*1.1</f>
        <v>55.000000000000007</v>
      </c>
      <c r="I507" s="215"/>
    </row>
    <row r="508" spans="1:9" x14ac:dyDescent="0.25">
      <c r="A508" s="263" t="s">
        <v>19</v>
      </c>
      <c r="B508" s="285" t="s">
        <v>112</v>
      </c>
      <c r="C508" s="285" t="s">
        <v>112</v>
      </c>
      <c r="D508" s="285" t="s">
        <v>112</v>
      </c>
      <c r="E508" s="286" t="s">
        <v>112</v>
      </c>
      <c r="F508" s="286" t="s">
        <v>112</v>
      </c>
      <c r="G508" s="286" t="s">
        <v>112</v>
      </c>
      <c r="H508" s="286" t="s">
        <v>112</v>
      </c>
      <c r="I508" s="286"/>
    </row>
    <row r="509" spans="1:9" x14ac:dyDescent="0.25">
      <c r="A509" s="263" t="s">
        <v>20</v>
      </c>
      <c r="B509" s="215">
        <v>12</v>
      </c>
      <c r="C509" s="215">
        <v>10</v>
      </c>
      <c r="D509" s="215">
        <v>5</v>
      </c>
      <c r="E509" s="215">
        <v>6</v>
      </c>
      <c r="F509" s="215">
        <v>2</v>
      </c>
      <c r="G509" s="215">
        <v>5.4</v>
      </c>
      <c r="H509" s="215">
        <v>5.2</v>
      </c>
      <c r="I509" s="215">
        <v>2</v>
      </c>
    </row>
    <row r="510" spans="1:9" x14ac:dyDescent="0.25">
      <c r="A510" s="263" t="s">
        <v>21</v>
      </c>
      <c r="B510" s="215">
        <v>43</v>
      </c>
      <c r="C510" s="215">
        <f t="shared" ref="C510:H510" si="17">C507-C509</f>
        <v>45</v>
      </c>
      <c r="D510" s="215">
        <f t="shared" si="17"/>
        <v>50</v>
      </c>
      <c r="E510" s="215">
        <f t="shared" si="17"/>
        <v>49</v>
      </c>
      <c r="F510" s="215">
        <f t="shared" si="17"/>
        <v>53</v>
      </c>
      <c r="G510" s="215">
        <f t="shared" si="17"/>
        <v>49.600000000000009</v>
      </c>
      <c r="H510" s="215">
        <f t="shared" si="17"/>
        <v>49.800000000000004</v>
      </c>
      <c r="I510" s="215">
        <f>I506-I509</f>
        <v>48</v>
      </c>
    </row>
    <row r="511" spans="1:9" x14ac:dyDescent="0.25">
      <c r="A511" s="218" t="s">
        <v>22</v>
      </c>
      <c r="B511" s="244">
        <v>2017</v>
      </c>
      <c r="C511" s="287">
        <v>2018</v>
      </c>
      <c r="D511" s="287">
        <v>2019</v>
      </c>
      <c r="E511" s="287">
        <v>2020</v>
      </c>
      <c r="F511" s="287">
        <v>2021</v>
      </c>
      <c r="G511" s="287" t="s">
        <v>161</v>
      </c>
      <c r="H511" s="287" t="s">
        <v>161</v>
      </c>
      <c r="I511" s="287" t="s">
        <v>161</v>
      </c>
    </row>
    <row r="512" spans="1:9" x14ac:dyDescent="0.25">
      <c r="A512" s="218" t="s">
        <v>23</v>
      </c>
      <c r="B512" s="219"/>
      <c r="C512" s="219"/>
      <c r="D512" s="219"/>
      <c r="E512" s="219"/>
      <c r="F512" s="219"/>
      <c r="G512" s="219"/>
      <c r="H512" s="217"/>
      <c r="I512" s="217"/>
    </row>
    <row r="513" spans="1:9" x14ac:dyDescent="0.25">
      <c r="A513" s="719" t="s">
        <v>113</v>
      </c>
      <c r="B513" s="720"/>
      <c r="C513" s="720"/>
      <c r="D513" s="720"/>
      <c r="E513" s="720"/>
      <c r="F513" s="720"/>
      <c r="G513" s="219"/>
      <c r="H513" s="219"/>
      <c r="I513" s="217"/>
    </row>
    <row r="514" spans="1:9" x14ac:dyDescent="0.25">
      <c r="A514" s="76" t="s">
        <v>361</v>
      </c>
      <c r="B514" s="107"/>
      <c r="C514" s="107"/>
      <c r="D514" s="107"/>
      <c r="E514" s="107"/>
      <c r="F514" s="107"/>
      <c r="I514" s="21"/>
    </row>
    <row r="515" spans="1:9" x14ac:dyDescent="0.25">
      <c r="A515" s="76" t="s">
        <v>458</v>
      </c>
      <c r="B515" s="107"/>
      <c r="C515" s="107"/>
      <c r="D515" s="107"/>
      <c r="E515" s="107"/>
      <c r="F515" s="107"/>
      <c r="I515" s="21"/>
    </row>
    <row r="516" spans="1:9" x14ac:dyDescent="0.25">
      <c r="A516" s="76" t="s">
        <v>674</v>
      </c>
      <c r="B516" s="107"/>
      <c r="C516" s="107"/>
      <c r="D516" s="107"/>
      <c r="E516" s="107"/>
      <c r="F516" s="107"/>
      <c r="I516" s="21"/>
    </row>
    <row r="517" spans="1:9" x14ac:dyDescent="0.25">
      <c r="A517" s="32" t="s">
        <v>808</v>
      </c>
      <c r="B517" s="33"/>
      <c r="C517" s="33"/>
      <c r="D517" s="33"/>
      <c r="E517" s="33"/>
      <c r="F517" s="33"/>
      <c r="G517" s="33"/>
      <c r="H517" s="33"/>
      <c r="I517" s="34"/>
    </row>
    <row r="520" spans="1:9" x14ac:dyDescent="0.25">
      <c r="A520" s="556" t="s">
        <v>12</v>
      </c>
      <c r="B520" s="557" t="s">
        <v>627</v>
      </c>
      <c r="C520" s="221"/>
      <c r="D520" s="221"/>
      <c r="E520" s="221"/>
      <c r="F520" s="221"/>
      <c r="G520" s="221"/>
      <c r="H520" s="221"/>
      <c r="I520" s="221"/>
    </row>
    <row r="521" spans="1:9" x14ac:dyDescent="0.25">
      <c r="A521" s="554" t="s">
        <v>14</v>
      </c>
      <c r="B521" s="555" t="s">
        <v>637</v>
      </c>
      <c r="C521" s="250" t="s">
        <v>152</v>
      </c>
      <c r="D521" s="252"/>
      <c r="E521" s="252"/>
      <c r="F521" s="252"/>
      <c r="G521" s="252"/>
      <c r="H521" s="221"/>
      <c r="I521" s="221"/>
    </row>
    <row r="522" spans="1:9" s="235" customFormat="1" x14ac:dyDescent="0.25">
      <c r="A522" s="288" t="s">
        <v>27</v>
      </c>
      <c r="B522" s="289">
        <v>2016</v>
      </c>
      <c r="C522" s="289">
        <v>2017</v>
      </c>
      <c r="D522" s="290">
        <v>2018</v>
      </c>
      <c r="E522" s="289">
        <v>2019</v>
      </c>
      <c r="F522" s="291">
        <v>2020</v>
      </c>
      <c r="G522" s="291">
        <v>2021</v>
      </c>
      <c r="H522" s="291">
        <v>2022</v>
      </c>
      <c r="I522" s="291">
        <v>2023</v>
      </c>
    </row>
    <row r="523" spans="1:9" s="235" customFormat="1" x14ac:dyDescent="0.25">
      <c r="A523" s="288" t="s">
        <v>28</v>
      </c>
      <c r="B523" s="292">
        <v>200</v>
      </c>
      <c r="C523" s="292">
        <v>200</v>
      </c>
      <c r="D523" s="292">
        <v>200</v>
      </c>
      <c r="E523" s="292">
        <v>215</v>
      </c>
      <c r="F523" s="293">
        <v>215</v>
      </c>
      <c r="G523" s="293">
        <v>242</v>
      </c>
      <c r="H523" s="292">
        <v>242</v>
      </c>
      <c r="I523" s="292">
        <v>242</v>
      </c>
    </row>
    <row r="524" spans="1:9" s="235" customFormat="1" x14ac:dyDescent="0.25">
      <c r="A524" s="288" t="s">
        <v>29</v>
      </c>
      <c r="B524" s="294">
        <f>(B523+0.25*200)</f>
        <v>250</v>
      </c>
      <c r="C524" s="294">
        <f>(C523+0.25*B523)</f>
        <v>250</v>
      </c>
      <c r="D524" s="294">
        <f t="shared" ref="D524:I524" si="18">(D523+0.25*C523)</f>
        <v>250</v>
      </c>
      <c r="E524" s="294">
        <f t="shared" si="18"/>
        <v>265</v>
      </c>
      <c r="F524" s="294">
        <f t="shared" si="18"/>
        <v>268.75</v>
      </c>
      <c r="G524" s="294">
        <f t="shared" si="18"/>
        <v>295.75</v>
      </c>
      <c r="H524" s="295">
        <f t="shared" si="18"/>
        <v>302.5</v>
      </c>
      <c r="I524" s="295">
        <f t="shared" si="18"/>
        <v>302.5</v>
      </c>
    </row>
    <row r="525" spans="1:9" s="235" customFormat="1" x14ac:dyDescent="0.25">
      <c r="A525" s="288" t="s">
        <v>30</v>
      </c>
      <c r="B525" s="294"/>
      <c r="C525" s="294"/>
      <c r="D525" s="296"/>
      <c r="E525" s="294"/>
      <c r="F525" s="297"/>
      <c r="G525" s="297"/>
      <c r="H525" s="297"/>
      <c r="I525" s="297"/>
    </row>
    <row r="526" spans="1:9" s="235" customFormat="1" x14ac:dyDescent="0.25">
      <c r="A526" s="288" t="s">
        <v>31</v>
      </c>
      <c r="B526" s="292">
        <v>4.6470000000000002</v>
      </c>
      <c r="C526" s="292">
        <v>11.226000000000001</v>
      </c>
      <c r="D526" s="292">
        <v>4.8979999999999997</v>
      </c>
      <c r="E526" s="293">
        <v>1.35</v>
      </c>
      <c r="F526" s="293">
        <v>0.64</v>
      </c>
      <c r="G526" s="293">
        <v>2.34</v>
      </c>
      <c r="H526" s="297">
        <v>1.49</v>
      </c>
      <c r="I526" s="297"/>
    </row>
    <row r="527" spans="1:9" s="235" customFormat="1" x14ac:dyDescent="0.25">
      <c r="A527" s="288" t="s">
        <v>32</v>
      </c>
      <c r="B527" s="295">
        <f t="shared" ref="B527:H527" si="19">B524-B526</f>
        <v>245.35300000000001</v>
      </c>
      <c r="C527" s="295">
        <f t="shared" si="19"/>
        <v>238.774</v>
      </c>
      <c r="D527" s="295">
        <f t="shared" si="19"/>
        <v>245.102</v>
      </c>
      <c r="E527" s="295">
        <f t="shared" si="19"/>
        <v>263.64999999999998</v>
      </c>
      <c r="F527" s="295">
        <f t="shared" si="19"/>
        <v>268.11</v>
      </c>
      <c r="G527" s="295">
        <f t="shared" si="19"/>
        <v>293.41000000000003</v>
      </c>
      <c r="H527" s="295">
        <f t="shared" si="19"/>
        <v>301.01</v>
      </c>
      <c r="I527" s="295"/>
    </row>
    <row r="528" spans="1:9" s="235" customFormat="1" x14ac:dyDescent="0.25">
      <c r="A528" s="298" t="s">
        <v>33</v>
      </c>
      <c r="B528" s="510">
        <v>2017</v>
      </c>
      <c r="C528" s="510">
        <v>2018</v>
      </c>
      <c r="D528" s="511">
        <v>2019</v>
      </c>
      <c r="E528" s="510">
        <v>2020</v>
      </c>
      <c r="F528" s="512">
        <v>2021</v>
      </c>
      <c r="G528" s="512">
        <v>2022</v>
      </c>
      <c r="H528" s="512">
        <v>2023</v>
      </c>
      <c r="I528" s="512">
        <v>2024</v>
      </c>
    </row>
    <row r="529" spans="1:9" s="235" customFormat="1" x14ac:dyDescent="0.25">
      <c r="A529" s="288" t="s">
        <v>34</v>
      </c>
      <c r="B529" s="312"/>
      <c r="C529" s="312"/>
      <c r="D529" s="312"/>
      <c r="E529" s="312"/>
      <c r="F529" s="312"/>
      <c r="G529" s="312"/>
      <c r="H529" s="312"/>
      <c r="I529" s="310"/>
    </row>
    <row r="530" spans="1:9" s="235" customFormat="1" x14ac:dyDescent="0.25">
      <c r="A530" s="298" t="s">
        <v>628</v>
      </c>
      <c r="B530" s="299"/>
      <c r="C530" s="299"/>
      <c r="D530" s="299"/>
      <c r="E530" s="299"/>
      <c r="F530" s="299"/>
      <c r="G530" s="299"/>
      <c r="H530" s="299"/>
      <c r="I530" s="300"/>
    </row>
    <row r="531" spans="1:9" s="235" customFormat="1" x14ac:dyDescent="0.25">
      <c r="A531" s="242" t="s">
        <v>629</v>
      </c>
      <c r="B531" s="234"/>
      <c r="C531" s="234"/>
      <c r="D531" s="234"/>
      <c r="E531" s="234"/>
      <c r="F531" s="234"/>
      <c r="G531" s="234"/>
      <c r="H531" s="234"/>
      <c r="I531" s="301"/>
    </row>
    <row r="532" spans="1:9" s="235" customFormat="1" x14ac:dyDescent="0.25">
      <c r="A532" s="242" t="s">
        <v>630</v>
      </c>
      <c r="B532" s="234"/>
      <c r="C532" s="234"/>
      <c r="D532" s="234"/>
      <c r="E532" s="234"/>
      <c r="F532" s="234"/>
      <c r="G532" s="234"/>
      <c r="H532" s="234"/>
      <c r="I532" s="301"/>
    </row>
    <row r="533" spans="1:9" s="235" customFormat="1" x14ac:dyDescent="0.25">
      <c r="A533" s="242" t="s">
        <v>631</v>
      </c>
      <c r="B533" s="234"/>
      <c r="C533" s="234"/>
      <c r="D533" s="234"/>
      <c r="E533" s="234"/>
      <c r="F533" s="234"/>
      <c r="G533" s="234"/>
      <c r="H533" s="234"/>
      <c r="I533" s="301"/>
    </row>
    <row r="534" spans="1:9" s="235" customFormat="1" x14ac:dyDescent="0.25">
      <c r="A534" s="242" t="s">
        <v>632</v>
      </c>
      <c r="B534" s="234"/>
      <c r="C534" s="234"/>
      <c r="D534" s="234"/>
      <c r="E534" s="234"/>
      <c r="F534" s="234"/>
      <c r="G534" s="234"/>
      <c r="H534" s="234"/>
      <c r="I534" s="301"/>
    </row>
    <row r="535" spans="1:9" s="235" customFormat="1" x14ac:dyDescent="0.25">
      <c r="A535" s="242" t="s">
        <v>633</v>
      </c>
      <c r="B535" s="234"/>
      <c r="C535" s="234"/>
      <c r="D535" s="234"/>
      <c r="E535" s="234"/>
      <c r="F535" s="234"/>
      <c r="G535" s="234"/>
      <c r="H535" s="234"/>
      <c r="I535" s="301"/>
    </row>
    <row r="536" spans="1:9" s="235" customFormat="1" x14ac:dyDescent="0.25">
      <c r="A536" s="242" t="s">
        <v>634</v>
      </c>
      <c r="B536" s="234"/>
      <c r="C536" s="234"/>
      <c r="D536" s="234"/>
      <c r="E536" s="234"/>
      <c r="F536" s="234"/>
      <c r="G536" s="234"/>
      <c r="H536" s="234"/>
      <c r="I536" s="301"/>
    </row>
    <row r="537" spans="1:9" s="235" customFormat="1" x14ac:dyDescent="0.25">
      <c r="A537" s="242" t="s">
        <v>635</v>
      </c>
      <c r="B537" s="234"/>
      <c r="C537" s="234"/>
      <c r="D537" s="234"/>
      <c r="E537" s="234"/>
      <c r="F537" s="234"/>
      <c r="G537" s="234"/>
      <c r="H537" s="234"/>
      <c r="I537" s="301"/>
    </row>
    <row r="538" spans="1:9" s="235" customFormat="1" x14ac:dyDescent="0.25">
      <c r="A538" s="302" t="s">
        <v>820</v>
      </c>
      <c r="B538" s="303"/>
      <c r="C538" s="303"/>
      <c r="D538" s="303"/>
      <c r="E538" s="303"/>
      <c r="F538" s="303"/>
      <c r="G538" s="303"/>
      <c r="H538" s="303"/>
      <c r="I538" s="304"/>
    </row>
    <row r="539" spans="1:9" s="235" customFormat="1" x14ac:dyDescent="0.25">
      <c r="A539" s="234"/>
      <c r="B539" s="234"/>
      <c r="C539" s="234"/>
      <c r="D539" s="234"/>
      <c r="E539" s="234"/>
      <c r="F539" s="234"/>
      <c r="G539" s="234"/>
      <c r="H539" s="234"/>
      <c r="I539" s="234"/>
    </row>
    <row r="540" spans="1:9" x14ac:dyDescent="0.25">
      <c r="A540" s="249" t="s">
        <v>14</v>
      </c>
      <c r="B540" s="250" t="s">
        <v>636</v>
      </c>
      <c r="C540" s="250" t="s">
        <v>152</v>
      </c>
      <c r="D540" s="305"/>
      <c r="E540" s="305"/>
      <c r="F540" s="305"/>
      <c r="G540" s="305"/>
      <c r="H540" s="221"/>
      <c r="I540" s="221"/>
    </row>
    <row r="541" spans="1:9" s="235" customFormat="1" x14ac:dyDescent="0.25">
      <c r="A541" s="288" t="s">
        <v>27</v>
      </c>
      <c r="B541" s="289">
        <v>2016</v>
      </c>
      <c r="C541" s="289">
        <v>2017</v>
      </c>
      <c r="D541" s="290">
        <v>2018</v>
      </c>
      <c r="E541" s="289">
        <v>2019</v>
      </c>
      <c r="F541" s="291">
        <v>2020</v>
      </c>
      <c r="G541" s="291">
        <v>2021</v>
      </c>
      <c r="H541" s="291">
        <v>2022</v>
      </c>
      <c r="I541" s="291">
        <v>2023</v>
      </c>
    </row>
    <row r="542" spans="1:9" s="235" customFormat="1" x14ac:dyDescent="0.25">
      <c r="A542" s="288" t="s">
        <v>28</v>
      </c>
      <c r="B542" s="306">
        <v>0</v>
      </c>
      <c r="C542" s="306">
        <v>0</v>
      </c>
      <c r="D542" s="306">
        <v>0</v>
      </c>
      <c r="E542" s="306">
        <v>0</v>
      </c>
      <c r="F542" s="307">
        <v>0</v>
      </c>
      <c r="G542" s="307">
        <v>0</v>
      </c>
      <c r="H542" s="306">
        <v>0</v>
      </c>
      <c r="I542" s="306">
        <v>0</v>
      </c>
    </row>
    <row r="543" spans="1:9" s="235" customFormat="1" x14ac:dyDescent="0.25">
      <c r="A543" s="288" t="s">
        <v>29</v>
      </c>
      <c r="B543" s="308">
        <v>-19.86</v>
      </c>
      <c r="C543" s="309">
        <f t="shared" ref="C543:I543" si="20">B546</f>
        <v>-48.64</v>
      </c>
      <c r="D543" s="309">
        <f t="shared" si="20"/>
        <v>-96.69</v>
      </c>
      <c r="E543" s="309">
        <f t="shared" si="20"/>
        <v>-149.34</v>
      </c>
      <c r="F543" s="309">
        <f t="shared" si="20"/>
        <v>-172.85</v>
      </c>
      <c r="G543" s="309">
        <f t="shared" si="20"/>
        <v>-196.03</v>
      </c>
      <c r="H543" s="309">
        <f t="shared" si="20"/>
        <v>-246.64</v>
      </c>
      <c r="I543" s="309">
        <f t="shared" si="20"/>
        <v>-272.18</v>
      </c>
    </row>
    <row r="544" spans="1:9" s="235" customFormat="1" x14ac:dyDescent="0.25">
      <c r="A544" s="288" t="s">
        <v>30</v>
      </c>
      <c r="B544" s="294" t="s">
        <v>403</v>
      </c>
      <c r="C544" s="296" t="s">
        <v>404</v>
      </c>
      <c r="D544" s="294" t="s">
        <v>405</v>
      </c>
      <c r="E544" s="297" t="s">
        <v>406</v>
      </c>
      <c r="F544" s="297" t="s">
        <v>574</v>
      </c>
      <c r="G544" s="297" t="s">
        <v>617</v>
      </c>
      <c r="H544" s="297" t="s">
        <v>638</v>
      </c>
      <c r="I544" s="297" t="s">
        <v>821</v>
      </c>
    </row>
    <row r="545" spans="1:9" s="235" customFormat="1" x14ac:dyDescent="0.25">
      <c r="A545" s="288" t="s">
        <v>31</v>
      </c>
      <c r="B545" s="306">
        <v>28.78</v>
      </c>
      <c r="C545" s="306">
        <v>48.05</v>
      </c>
      <c r="D545" s="306">
        <v>52.65</v>
      </c>
      <c r="E545" s="307">
        <v>23.51</v>
      </c>
      <c r="F545" s="307">
        <v>23.18</v>
      </c>
      <c r="G545" s="307">
        <v>50.61</v>
      </c>
      <c r="H545" s="310">
        <v>25.54</v>
      </c>
      <c r="I545" s="310"/>
    </row>
    <row r="546" spans="1:9" s="235" customFormat="1" x14ac:dyDescent="0.25">
      <c r="A546" s="288" t="s">
        <v>32</v>
      </c>
      <c r="B546" s="295">
        <f t="shared" ref="B546:H546" si="21">B543-B545</f>
        <v>-48.64</v>
      </c>
      <c r="C546" s="295">
        <f t="shared" si="21"/>
        <v>-96.69</v>
      </c>
      <c r="D546" s="295">
        <f t="shared" si="21"/>
        <v>-149.34</v>
      </c>
      <c r="E546" s="295">
        <f t="shared" si="21"/>
        <v>-172.85</v>
      </c>
      <c r="F546" s="295">
        <f t="shared" si="21"/>
        <v>-196.03</v>
      </c>
      <c r="G546" s="295">
        <f t="shared" si="21"/>
        <v>-246.64</v>
      </c>
      <c r="H546" s="295">
        <f t="shared" si="21"/>
        <v>-272.18</v>
      </c>
      <c r="I546" s="295"/>
    </row>
    <row r="547" spans="1:9" s="235" customFormat="1" x14ac:dyDescent="0.25">
      <c r="A547" s="298" t="s">
        <v>33</v>
      </c>
      <c r="B547" s="311">
        <v>2017</v>
      </c>
      <c r="C547" s="311">
        <v>2018</v>
      </c>
      <c r="D547" s="299">
        <v>2019</v>
      </c>
      <c r="E547" s="311">
        <v>2020</v>
      </c>
      <c r="F547" s="300">
        <v>2021</v>
      </c>
      <c r="G547" s="300">
        <v>2022</v>
      </c>
      <c r="H547" s="300">
        <v>2023</v>
      </c>
      <c r="I547" s="300">
        <v>2024</v>
      </c>
    </row>
    <row r="548" spans="1:9" s="235" customFormat="1" x14ac:dyDescent="0.25">
      <c r="A548" s="288" t="s">
        <v>34</v>
      </c>
      <c r="B548" s="288"/>
      <c r="C548" s="312"/>
      <c r="D548" s="312"/>
      <c r="E548" s="312"/>
      <c r="F548" s="312"/>
      <c r="G548" s="312"/>
      <c r="H548" s="312"/>
      <c r="I548" s="310"/>
    </row>
    <row r="549" spans="1:9" s="235" customFormat="1" x14ac:dyDescent="0.25">
      <c r="A549" s="314" t="s">
        <v>639</v>
      </c>
      <c r="B549" s="242"/>
      <c r="C549" s="234"/>
      <c r="D549" s="234"/>
      <c r="E549" s="234"/>
      <c r="F549" s="234"/>
      <c r="G549" s="234"/>
      <c r="H549" s="234"/>
      <c r="I549" s="301"/>
    </row>
    <row r="550" spans="1:9" s="235" customFormat="1" x14ac:dyDescent="0.25">
      <c r="A550" s="314" t="s">
        <v>640</v>
      </c>
      <c r="B550" s="242"/>
      <c r="C550" s="234"/>
      <c r="D550" s="234"/>
      <c r="E550" s="234"/>
      <c r="F550" s="234"/>
      <c r="G550" s="234"/>
      <c r="H550" s="234"/>
      <c r="I550" s="301"/>
    </row>
    <row r="551" spans="1:9" s="235" customFormat="1" x14ac:dyDescent="0.25">
      <c r="A551" s="314" t="s">
        <v>641</v>
      </c>
      <c r="B551" s="242"/>
      <c r="C551" s="234"/>
      <c r="D551" s="234"/>
      <c r="E551" s="234"/>
      <c r="F551" s="234"/>
      <c r="G551" s="234"/>
      <c r="H551" s="234"/>
      <c r="I551" s="301"/>
    </row>
    <row r="552" spans="1:9" s="235" customFormat="1" x14ac:dyDescent="0.25">
      <c r="A552" s="314" t="s">
        <v>642</v>
      </c>
      <c r="B552" s="242"/>
      <c r="C552" s="234"/>
      <c r="D552" s="234"/>
      <c r="E552" s="234"/>
      <c r="F552" s="234"/>
      <c r="G552" s="234"/>
      <c r="H552" s="234"/>
      <c r="I552" s="301"/>
    </row>
    <row r="553" spans="1:9" s="235" customFormat="1" x14ac:dyDescent="0.25">
      <c r="A553" s="314" t="s">
        <v>643</v>
      </c>
      <c r="B553" s="242"/>
      <c r="C553" s="234"/>
      <c r="D553" s="234"/>
      <c r="E553" s="234"/>
      <c r="F553" s="234"/>
      <c r="G553" s="234"/>
      <c r="H553" s="234"/>
      <c r="I553" s="301"/>
    </row>
    <row r="554" spans="1:9" s="235" customFormat="1" x14ac:dyDescent="0.25">
      <c r="A554" s="314" t="s">
        <v>644</v>
      </c>
      <c r="B554" s="242"/>
      <c r="C554" s="234"/>
      <c r="D554" s="234"/>
      <c r="E554" s="234"/>
      <c r="F554" s="234"/>
      <c r="G554" s="234"/>
      <c r="H554" s="234"/>
      <c r="I554" s="301"/>
    </row>
    <row r="555" spans="1:9" s="235" customFormat="1" x14ac:dyDescent="0.25">
      <c r="A555" s="314" t="s">
        <v>645</v>
      </c>
      <c r="B555" s="242"/>
      <c r="C555" s="234"/>
      <c r="D555" s="234"/>
      <c r="E555" s="234"/>
      <c r="F555" s="234"/>
      <c r="G555" s="234"/>
      <c r="H555" s="234"/>
      <c r="I555" s="301"/>
    </row>
    <row r="556" spans="1:9" s="235" customFormat="1" x14ac:dyDescent="0.25">
      <c r="A556" s="315" t="s">
        <v>822</v>
      </c>
      <c r="B556" s="302"/>
      <c r="C556" s="303"/>
      <c r="D556" s="303"/>
      <c r="E556" s="303"/>
      <c r="F556" s="303"/>
      <c r="G556" s="303"/>
      <c r="H556" s="303"/>
      <c r="I556" s="304"/>
    </row>
    <row r="557" spans="1:9" s="235" customFormat="1" x14ac:dyDescent="0.25">
      <c r="A557" s="234"/>
      <c r="B557" s="234"/>
      <c r="C557" s="234"/>
      <c r="D557" s="234"/>
      <c r="E557" s="234"/>
      <c r="F557" s="234"/>
      <c r="G557" s="234"/>
      <c r="H557" s="234"/>
      <c r="I557" s="234"/>
    </row>
    <row r="558" spans="1:9" s="235" customFormat="1" x14ac:dyDescent="0.25">
      <c r="A558" s="249" t="s">
        <v>14</v>
      </c>
      <c r="B558" s="250" t="s">
        <v>74</v>
      </c>
      <c r="C558" s="250" t="s">
        <v>152</v>
      </c>
      <c r="D558" s="234"/>
      <c r="E558" s="234"/>
      <c r="F558" s="234"/>
      <c r="G558" s="234"/>
      <c r="H558" s="234"/>
      <c r="I558" s="234"/>
    </row>
    <row r="559" spans="1:9" s="235" customFormat="1" x14ac:dyDescent="0.25">
      <c r="A559" s="288" t="s">
        <v>27</v>
      </c>
      <c r="B559" s="316">
        <v>2016</v>
      </c>
      <c r="C559" s="316">
        <v>2017</v>
      </c>
      <c r="D559" s="317">
        <v>2018</v>
      </c>
      <c r="E559" s="316">
        <v>2019</v>
      </c>
      <c r="F559" s="318">
        <v>2020</v>
      </c>
      <c r="G559" s="318">
        <v>2021</v>
      </c>
      <c r="H559" s="318">
        <v>2022</v>
      </c>
      <c r="I559" s="318">
        <v>2023</v>
      </c>
    </row>
    <row r="560" spans="1:9" s="235" customFormat="1" x14ac:dyDescent="0.25">
      <c r="A560" s="288" t="s">
        <v>28</v>
      </c>
      <c r="B560" s="292">
        <v>10</v>
      </c>
      <c r="C560" s="292">
        <v>10</v>
      </c>
      <c r="D560" s="292">
        <v>10</v>
      </c>
      <c r="E560" s="292">
        <v>10</v>
      </c>
      <c r="F560" s="292">
        <v>10</v>
      </c>
      <c r="G560" s="292">
        <v>10</v>
      </c>
      <c r="H560" s="292">
        <v>10</v>
      </c>
      <c r="I560" s="292">
        <v>10</v>
      </c>
    </row>
    <row r="561" spans="1:9" s="235" customFormat="1" x14ac:dyDescent="0.25">
      <c r="A561" s="288" t="s">
        <v>29</v>
      </c>
      <c r="B561" s="295">
        <v>10</v>
      </c>
      <c r="C561" s="295">
        <f>B564+10</f>
        <v>-31.037900001525877</v>
      </c>
      <c r="D561" s="295">
        <f>C564+10</f>
        <v>-100.44840000534057</v>
      </c>
      <c r="E561" s="295">
        <f>D564+10</f>
        <v>-131.83390000534058</v>
      </c>
      <c r="F561" s="295">
        <f>E564+10</f>
        <v>-149.28490000534057</v>
      </c>
      <c r="G561" s="295">
        <f>F564+10</f>
        <v>-157.49490000534058</v>
      </c>
      <c r="H561" s="648">
        <f>1.25*G564+H560</f>
        <v>-216.48112500667571</v>
      </c>
      <c r="I561" s="648">
        <f>1.25*H564+I560</f>
        <v>-273.73890625834463</v>
      </c>
    </row>
    <row r="562" spans="1:9" s="235" customFormat="1" x14ac:dyDescent="0.25">
      <c r="A562" s="288" t="s">
        <v>30</v>
      </c>
      <c r="B562" s="294"/>
      <c r="C562" s="294" t="s">
        <v>403</v>
      </c>
      <c r="D562" s="296" t="s">
        <v>404</v>
      </c>
      <c r="E562" s="294" t="s">
        <v>405</v>
      </c>
      <c r="F562" s="297" t="s">
        <v>406</v>
      </c>
      <c r="G562" s="297" t="s">
        <v>574</v>
      </c>
      <c r="H562" s="297" t="s">
        <v>617</v>
      </c>
      <c r="I562" s="297" t="s">
        <v>638</v>
      </c>
    </row>
    <row r="563" spans="1:9" s="235" customFormat="1" x14ac:dyDescent="0.25">
      <c r="A563" s="288" t="s">
        <v>31</v>
      </c>
      <c r="B563" s="319">
        <v>51.037900001525877</v>
      </c>
      <c r="C563" s="319">
        <v>79.410500003814704</v>
      </c>
      <c r="D563" s="319">
        <v>41.3855</v>
      </c>
      <c r="E563" s="320">
        <v>27.451000000000001</v>
      </c>
      <c r="F563" s="320">
        <v>18.21</v>
      </c>
      <c r="G563" s="293">
        <v>23.69</v>
      </c>
      <c r="H563" s="297">
        <v>10.51</v>
      </c>
      <c r="I563" s="297"/>
    </row>
    <row r="564" spans="1:9" s="235" customFormat="1" x14ac:dyDescent="0.25">
      <c r="A564" s="288" t="s">
        <v>32</v>
      </c>
      <c r="B564" s="295">
        <f t="shared" ref="B564:H564" si="22">B561-B563</f>
        <v>-41.037900001525877</v>
      </c>
      <c r="C564" s="295">
        <f t="shared" si="22"/>
        <v>-110.44840000534057</v>
      </c>
      <c r="D564" s="295">
        <f t="shared" si="22"/>
        <v>-141.83390000534058</v>
      </c>
      <c r="E564" s="295">
        <f t="shared" si="22"/>
        <v>-159.28490000534057</v>
      </c>
      <c r="F564" s="295">
        <f t="shared" si="22"/>
        <v>-167.49490000534058</v>
      </c>
      <c r="G564" s="295">
        <f t="shared" si="22"/>
        <v>-181.18490000534058</v>
      </c>
      <c r="H564" s="648">
        <f t="shared" si="22"/>
        <v>-226.9911250066757</v>
      </c>
      <c r="I564" s="295"/>
    </row>
    <row r="565" spans="1:9" s="235" customFormat="1" x14ac:dyDescent="0.25">
      <c r="A565" s="298" t="s">
        <v>33</v>
      </c>
      <c r="B565" s="510">
        <v>2017</v>
      </c>
      <c r="C565" s="510">
        <v>2018</v>
      </c>
      <c r="D565" s="511">
        <v>2019</v>
      </c>
      <c r="E565" s="510">
        <v>2020</v>
      </c>
      <c r="F565" s="512">
        <v>2021</v>
      </c>
      <c r="G565" s="512">
        <v>2022</v>
      </c>
      <c r="H565" s="512">
        <v>2023</v>
      </c>
      <c r="I565" s="512">
        <v>2024</v>
      </c>
    </row>
    <row r="566" spans="1:9" s="235" customFormat="1" x14ac:dyDescent="0.25">
      <c r="A566" s="288" t="s">
        <v>34</v>
      </c>
      <c r="B566" s="312"/>
      <c r="C566" s="312"/>
      <c r="D566" s="312"/>
      <c r="E566" s="312"/>
      <c r="F566" s="312"/>
      <c r="G566" s="312"/>
      <c r="H566" s="312"/>
      <c r="I566" s="310"/>
    </row>
    <row r="567" spans="1:9" s="235" customFormat="1" x14ac:dyDescent="0.25">
      <c r="A567" s="313" t="s">
        <v>646</v>
      </c>
      <c r="B567" s="299"/>
      <c r="C567" s="299"/>
      <c r="D567" s="299"/>
      <c r="E567" s="299"/>
      <c r="F567" s="299"/>
      <c r="G567" s="299"/>
      <c r="H567" s="299"/>
      <c r="I567" s="300"/>
    </row>
    <row r="568" spans="1:9" s="235" customFormat="1" x14ac:dyDescent="0.25">
      <c r="A568" s="314" t="s">
        <v>947</v>
      </c>
      <c r="B568" s="234"/>
      <c r="C568" s="234"/>
      <c r="D568" s="234"/>
      <c r="E568" s="234"/>
      <c r="F568" s="234"/>
      <c r="G568" s="234"/>
      <c r="H568" s="234"/>
      <c r="I568" s="301"/>
    </row>
    <row r="569" spans="1:9" s="235" customFormat="1" x14ac:dyDescent="0.25">
      <c r="A569" s="314" t="s">
        <v>948</v>
      </c>
      <c r="B569" s="234"/>
      <c r="C569" s="234"/>
      <c r="D569" s="234"/>
      <c r="E569" s="234"/>
      <c r="F569" s="234"/>
      <c r="G569" s="234"/>
      <c r="H569" s="234"/>
      <c r="I569" s="301"/>
    </row>
    <row r="570" spans="1:9" s="235" customFormat="1" x14ac:dyDescent="0.25">
      <c r="A570" s="314" t="s">
        <v>949</v>
      </c>
      <c r="B570" s="234"/>
      <c r="C570" s="234"/>
      <c r="D570" s="234"/>
      <c r="E570" s="234"/>
      <c r="F570" s="234"/>
      <c r="G570" s="234"/>
      <c r="H570" s="234"/>
      <c r="I570" s="301"/>
    </row>
    <row r="571" spans="1:9" s="235" customFormat="1" x14ac:dyDescent="0.25">
      <c r="A571" s="651" t="s">
        <v>950</v>
      </c>
      <c r="B571" s="234"/>
      <c r="C571" s="234"/>
      <c r="D571" s="234"/>
      <c r="E571" s="234"/>
      <c r="F571" s="234"/>
      <c r="G571" s="234"/>
      <c r="H571" s="234"/>
      <c r="I571" s="301"/>
    </row>
    <row r="572" spans="1:9" s="235" customFormat="1" x14ac:dyDescent="0.25">
      <c r="A572" s="646" t="s">
        <v>945</v>
      </c>
      <c r="B572" s="234"/>
      <c r="C572" s="234"/>
      <c r="D572" s="234"/>
      <c r="E572" s="234"/>
      <c r="F572" s="234"/>
      <c r="G572" s="234"/>
      <c r="H572" s="234"/>
      <c r="I572" s="301"/>
    </row>
    <row r="573" spans="1:9" s="235" customFormat="1" x14ac:dyDescent="0.25">
      <c r="A573" s="647" t="s">
        <v>946</v>
      </c>
      <c r="B573" s="303"/>
      <c r="C573" s="303"/>
      <c r="D573" s="303"/>
      <c r="E573" s="303"/>
      <c r="F573" s="303"/>
      <c r="G573" s="303"/>
      <c r="H573" s="303"/>
      <c r="I573" s="304"/>
    </row>
    <row r="574" spans="1:9" x14ac:dyDescent="0.25">
      <c r="A574" s="221"/>
      <c r="B574" s="221"/>
      <c r="C574" s="221"/>
      <c r="D574" s="221"/>
      <c r="E574" s="221"/>
      <c r="F574" s="221"/>
      <c r="G574" s="221"/>
      <c r="H574" s="221"/>
      <c r="I574" s="221"/>
    </row>
    <row r="575" spans="1:9" x14ac:dyDescent="0.25">
      <c r="A575" s="221"/>
      <c r="B575" s="221"/>
      <c r="C575" s="221"/>
      <c r="D575" s="221"/>
      <c r="E575" s="221"/>
      <c r="F575" s="221"/>
      <c r="G575" s="221"/>
      <c r="H575" s="221"/>
      <c r="I575" s="221"/>
    </row>
    <row r="576" spans="1:9" x14ac:dyDescent="0.25">
      <c r="A576" s="556" t="s">
        <v>12</v>
      </c>
      <c r="B576" s="557" t="s">
        <v>246</v>
      </c>
      <c r="C576" s="221"/>
      <c r="D576" s="221"/>
      <c r="E576" s="221"/>
      <c r="F576" s="221"/>
      <c r="G576" s="221"/>
      <c r="H576" s="221"/>
      <c r="I576" s="221"/>
    </row>
    <row r="577" spans="1:15" x14ac:dyDescent="0.25">
      <c r="A577" s="631" t="s">
        <v>14</v>
      </c>
      <c r="B577" s="632" t="s">
        <v>651</v>
      </c>
      <c r="C577" s="633" t="s">
        <v>15</v>
      </c>
      <c r="D577" s="221"/>
      <c r="E577" s="221"/>
      <c r="F577" s="221"/>
      <c r="G577" s="221"/>
      <c r="H577" s="221"/>
      <c r="I577" s="221"/>
      <c r="J577" s="221"/>
      <c r="K577" s="221"/>
      <c r="L577" s="221"/>
      <c r="M577" s="221"/>
      <c r="N577" s="221"/>
      <c r="O577" s="221"/>
    </row>
    <row r="578" spans="1:15" x14ac:dyDescent="0.25">
      <c r="A578" s="635" t="s">
        <v>16</v>
      </c>
      <c r="B578" s="198"/>
      <c r="C578" s="705">
        <v>2024</v>
      </c>
      <c r="D578" s="221"/>
      <c r="E578" s="221"/>
      <c r="F578" s="221"/>
      <c r="G578" s="221"/>
    </row>
    <row r="579" spans="1:15" x14ac:dyDescent="0.25">
      <c r="A579" s="635" t="s">
        <v>17</v>
      </c>
      <c r="B579" s="199"/>
      <c r="C579" s="644">
        <v>120</v>
      </c>
      <c r="D579" s="221"/>
      <c r="E579" s="221"/>
      <c r="F579" s="221"/>
      <c r="G579" s="221"/>
    </row>
    <row r="580" spans="1:15" x14ac:dyDescent="0.25">
      <c r="A580" s="635" t="s">
        <v>18</v>
      </c>
      <c r="B580" s="199"/>
      <c r="C580" s="644">
        <f>C579+1.49</f>
        <v>121.49</v>
      </c>
      <c r="D580" s="221"/>
      <c r="E580" s="221"/>
      <c r="F580" s="221"/>
      <c r="G580" s="221"/>
    </row>
    <row r="581" spans="1:15" x14ac:dyDescent="0.25">
      <c r="A581" s="635" t="s">
        <v>19</v>
      </c>
      <c r="B581" s="638"/>
      <c r="C581" s="638" t="s">
        <v>985</v>
      </c>
      <c r="D581" s="221"/>
      <c r="E581" s="221"/>
      <c r="F581" s="221"/>
      <c r="G581" s="221"/>
    </row>
    <row r="582" spans="1:15" x14ac:dyDescent="0.25">
      <c r="A582" s="635" t="s">
        <v>20</v>
      </c>
      <c r="B582" s="199"/>
      <c r="C582" s="644"/>
      <c r="D582" s="221"/>
      <c r="E582" s="221"/>
      <c r="F582" s="221"/>
      <c r="G582" s="221"/>
    </row>
    <row r="583" spans="1:15" x14ac:dyDescent="0.25">
      <c r="A583" s="635" t="s">
        <v>21</v>
      </c>
      <c r="B583" s="199"/>
      <c r="C583" s="644"/>
      <c r="D583" s="221"/>
      <c r="E583" s="221"/>
      <c r="F583" s="221"/>
      <c r="G583" s="221"/>
    </row>
    <row r="584" spans="1:15" x14ac:dyDescent="0.25">
      <c r="A584" s="639" t="s">
        <v>22</v>
      </c>
      <c r="B584" s="200"/>
      <c r="C584" s="693">
        <v>2026</v>
      </c>
      <c r="D584" s="221"/>
      <c r="E584" s="221"/>
      <c r="F584" s="221"/>
      <c r="G584" s="221"/>
    </row>
    <row r="585" spans="1:15" x14ac:dyDescent="0.25">
      <c r="A585" s="639" t="s">
        <v>23</v>
      </c>
      <c r="B585" s="641"/>
      <c r="C585" s="613"/>
      <c r="D585" s="221"/>
      <c r="E585" s="221"/>
      <c r="F585" s="221"/>
      <c r="G585" s="221"/>
      <c r="H585" s="221"/>
      <c r="I585" s="221"/>
      <c r="J585" s="221"/>
      <c r="K585" s="221"/>
      <c r="L585" s="221"/>
      <c r="M585" s="221"/>
      <c r="N585" s="221"/>
      <c r="O585" s="221"/>
    </row>
    <row r="586" spans="1:15" x14ac:dyDescent="0.25">
      <c r="A586" s="692" t="s">
        <v>986</v>
      </c>
      <c r="B586" s="281"/>
      <c r="C586" s="704"/>
      <c r="D586" s="509"/>
      <c r="E586" s="509"/>
      <c r="F586" s="509"/>
      <c r="G586" s="221"/>
      <c r="H586" s="221"/>
      <c r="I586" s="221"/>
      <c r="J586" s="221"/>
      <c r="K586" s="221"/>
      <c r="L586" s="221"/>
      <c r="M586" s="221"/>
      <c r="N586" s="221"/>
      <c r="O586" s="221"/>
    </row>
    <row r="588" spans="1:15" x14ac:dyDescent="0.25">
      <c r="A588" s="554" t="s">
        <v>14</v>
      </c>
      <c r="B588" s="555" t="s">
        <v>636</v>
      </c>
      <c r="C588" s="250" t="s">
        <v>152</v>
      </c>
      <c r="D588" s="252"/>
      <c r="E588" s="252"/>
      <c r="F588" s="252"/>
      <c r="G588" s="252"/>
      <c r="H588" s="221"/>
      <c r="I588" s="221"/>
    </row>
    <row r="589" spans="1:15" x14ac:dyDescent="0.25">
      <c r="A589" s="321" t="s">
        <v>16</v>
      </c>
      <c r="B589" s="322"/>
      <c r="C589" s="323">
        <v>2015</v>
      </c>
      <c r="D589" s="323">
        <v>2016</v>
      </c>
      <c r="E589" s="323" t="s">
        <v>242</v>
      </c>
      <c r="F589" s="323" t="s">
        <v>243</v>
      </c>
      <c r="G589" s="323" t="s">
        <v>244</v>
      </c>
      <c r="H589" s="323" t="s">
        <v>287</v>
      </c>
      <c r="I589" s="323" t="s">
        <v>511</v>
      </c>
      <c r="J589" s="323" t="s">
        <v>693</v>
      </c>
      <c r="K589" s="323" t="s">
        <v>864</v>
      </c>
    </row>
    <row r="590" spans="1:15" x14ac:dyDescent="0.25">
      <c r="A590" s="253" t="s">
        <v>17</v>
      </c>
      <c r="B590" s="324"/>
      <c r="C590" s="325">
        <v>50</v>
      </c>
      <c r="D590" s="325">
        <v>50</v>
      </c>
      <c r="E590" s="325">
        <v>50</v>
      </c>
      <c r="F590" s="325">
        <v>50</v>
      </c>
      <c r="G590" s="325">
        <v>50</v>
      </c>
      <c r="H590" s="325">
        <v>50</v>
      </c>
      <c r="I590" s="325">
        <v>50</v>
      </c>
      <c r="J590" s="325">
        <v>50</v>
      </c>
      <c r="K590" s="325">
        <v>50</v>
      </c>
    </row>
    <row r="591" spans="1:15" x14ac:dyDescent="0.25">
      <c r="A591" s="253" t="s">
        <v>18</v>
      </c>
      <c r="B591" s="326"/>
      <c r="C591" s="325">
        <v>75</v>
      </c>
      <c r="D591" s="325">
        <v>75</v>
      </c>
      <c r="E591" s="325">
        <v>75</v>
      </c>
      <c r="F591" s="325">
        <v>70</v>
      </c>
      <c r="G591" s="325">
        <v>70</v>
      </c>
      <c r="H591" s="325">
        <f>H590+F594</f>
        <v>62.6</v>
      </c>
      <c r="I591" s="325">
        <v>70</v>
      </c>
      <c r="J591" s="325">
        <v>70</v>
      </c>
      <c r="K591" s="325">
        <v>70</v>
      </c>
    </row>
    <row r="592" spans="1:15" x14ac:dyDescent="0.25">
      <c r="A592" s="253" t="s">
        <v>19</v>
      </c>
      <c r="B592" s="327"/>
      <c r="C592" s="328" t="s">
        <v>141</v>
      </c>
      <c r="D592" s="328" t="s">
        <v>141</v>
      </c>
      <c r="E592" s="328" t="s">
        <v>141</v>
      </c>
      <c r="F592" s="329" t="s">
        <v>245</v>
      </c>
      <c r="G592" s="329" t="s">
        <v>245</v>
      </c>
      <c r="H592" s="328" t="s">
        <v>330</v>
      </c>
      <c r="I592" s="328" t="s">
        <v>595</v>
      </c>
      <c r="J592" s="328" t="s">
        <v>929</v>
      </c>
      <c r="K592" s="328" t="s">
        <v>930</v>
      </c>
    </row>
    <row r="593" spans="1:11" x14ac:dyDescent="0.25">
      <c r="A593" s="253" t="s">
        <v>20</v>
      </c>
      <c r="B593" s="324"/>
      <c r="C593" s="325">
        <v>0</v>
      </c>
      <c r="D593" s="325">
        <v>27.449000000000002</v>
      </c>
      <c r="E593" s="325">
        <v>21.13</v>
      </c>
      <c r="F593" s="325">
        <v>57.4</v>
      </c>
      <c r="G593" s="325">
        <v>21.8</v>
      </c>
      <c r="H593" s="325">
        <v>27.576000000000001</v>
      </c>
      <c r="I593" s="325">
        <v>0</v>
      </c>
      <c r="J593" s="325">
        <v>0</v>
      </c>
      <c r="K593" s="325"/>
    </row>
    <row r="594" spans="1:11" x14ac:dyDescent="0.25">
      <c r="A594" s="253" t="s">
        <v>21</v>
      </c>
      <c r="B594" s="324"/>
      <c r="C594" s="325">
        <v>75</v>
      </c>
      <c r="D594" s="325">
        <f t="shared" ref="D594:J594" si="23">D591-D593</f>
        <v>47.551000000000002</v>
      </c>
      <c r="E594" s="325">
        <f t="shared" si="23"/>
        <v>53.870000000000005</v>
      </c>
      <c r="F594" s="325">
        <f t="shared" si="23"/>
        <v>12.600000000000001</v>
      </c>
      <c r="G594" s="325">
        <f t="shared" si="23"/>
        <v>48.2</v>
      </c>
      <c r="H594" s="325">
        <f t="shared" si="23"/>
        <v>35.024000000000001</v>
      </c>
      <c r="I594" s="325">
        <f t="shared" si="23"/>
        <v>70</v>
      </c>
      <c r="J594" s="325">
        <f t="shared" si="23"/>
        <v>70</v>
      </c>
      <c r="K594" s="325"/>
    </row>
    <row r="595" spans="1:11" x14ac:dyDescent="0.25">
      <c r="A595" s="256" t="s">
        <v>22</v>
      </c>
      <c r="B595" s="257"/>
      <c r="C595" s="330">
        <v>2017</v>
      </c>
      <c r="D595" s="330">
        <v>2018</v>
      </c>
      <c r="E595" s="330">
        <v>2019</v>
      </c>
      <c r="F595" s="330">
        <v>2020</v>
      </c>
      <c r="G595" s="330">
        <v>2021</v>
      </c>
      <c r="H595" s="330">
        <v>2022</v>
      </c>
      <c r="I595" s="330">
        <v>2023</v>
      </c>
      <c r="J595" s="330">
        <v>2024</v>
      </c>
      <c r="K595" s="330">
        <v>2025</v>
      </c>
    </row>
    <row r="596" spans="1:11" x14ac:dyDescent="0.25">
      <c r="A596" s="256" t="s">
        <v>509</v>
      </c>
      <c r="B596" s="258"/>
      <c r="C596" s="420"/>
      <c r="D596" s="420"/>
      <c r="E596" s="420"/>
      <c r="F596" s="420"/>
      <c r="G596" s="420"/>
      <c r="H596" s="420"/>
      <c r="I596" s="420"/>
      <c r="J596" s="420"/>
      <c r="K596" s="543"/>
    </row>
    <row r="597" spans="1:11" x14ac:dyDescent="0.25">
      <c r="A597" s="544" t="s">
        <v>931</v>
      </c>
      <c r="B597" s="545"/>
      <c r="C597" s="545"/>
      <c r="D597" s="545"/>
      <c r="E597" s="545"/>
      <c r="F597" s="545"/>
      <c r="G597" s="545"/>
      <c r="H597" s="545"/>
      <c r="I597" s="545"/>
      <c r="J597" s="545"/>
      <c r="K597" s="546"/>
    </row>
    <row r="598" spans="1:11" x14ac:dyDescent="0.25">
      <c r="A598" s="305"/>
      <c r="B598" s="305"/>
      <c r="C598" s="305"/>
      <c r="D598" s="305"/>
      <c r="E598" s="305"/>
      <c r="F598" s="305"/>
      <c r="G598" s="305"/>
      <c r="H598" s="221"/>
      <c r="I598" s="221"/>
    </row>
    <row r="599" spans="1:11" x14ac:dyDescent="0.25">
      <c r="A599" s="249" t="s">
        <v>14</v>
      </c>
      <c r="B599" s="250" t="s">
        <v>654</v>
      </c>
      <c r="C599" s="250" t="s">
        <v>152</v>
      </c>
      <c r="D599" s="252"/>
      <c r="E599" s="252"/>
      <c r="F599" s="252"/>
      <c r="G599" s="252"/>
      <c r="H599" s="221"/>
      <c r="I599" s="221"/>
    </row>
    <row r="600" spans="1:11" x14ac:dyDescent="0.25">
      <c r="A600" s="321" t="s">
        <v>16</v>
      </c>
      <c r="B600" s="322"/>
      <c r="C600" s="323">
        <v>2015</v>
      </c>
      <c r="D600" s="323">
        <v>2016</v>
      </c>
      <c r="E600" s="323" t="s">
        <v>242</v>
      </c>
      <c r="F600" s="323" t="s">
        <v>243</v>
      </c>
      <c r="G600" s="323" t="s">
        <v>244</v>
      </c>
      <c r="H600" s="323" t="s">
        <v>287</v>
      </c>
      <c r="I600" s="323" t="s">
        <v>511</v>
      </c>
      <c r="J600" s="323" t="s">
        <v>693</v>
      </c>
      <c r="K600" s="323" t="s">
        <v>864</v>
      </c>
    </row>
    <row r="601" spans="1:11" x14ac:dyDescent="0.25">
      <c r="A601" s="253" t="s">
        <v>17</v>
      </c>
      <c r="B601" s="324"/>
      <c r="C601" s="325">
        <v>125</v>
      </c>
      <c r="D601" s="325">
        <v>125</v>
      </c>
      <c r="E601" s="325">
        <v>125</v>
      </c>
      <c r="F601" s="325">
        <v>125</v>
      </c>
      <c r="G601" s="325">
        <v>125</v>
      </c>
      <c r="H601" s="325">
        <v>125</v>
      </c>
      <c r="I601" s="325">
        <v>125</v>
      </c>
      <c r="J601" s="325">
        <v>125</v>
      </c>
      <c r="K601" s="325">
        <v>125</v>
      </c>
    </row>
    <row r="602" spans="1:11" x14ac:dyDescent="0.25">
      <c r="A602" s="253" t="s">
        <v>18</v>
      </c>
      <c r="B602" s="326"/>
      <c r="C602" s="325">
        <f>C601*1.3</f>
        <v>162.5</v>
      </c>
      <c r="D602" s="325">
        <f>D601*1.3+25</f>
        <v>187.5</v>
      </c>
      <c r="E602" s="325">
        <f>E601*1.3+25</f>
        <v>187.5</v>
      </c>
      <c r="F602" s="325">
        <f>F601*1.2+25</f>
        <v>175</v>
      </c>
      <c r="G602" s="325">
        <f>G601*1.2+25</f>
        <v>175</v>
      </c>
      <c r="H602" s="325">
        <f>H601*1.2+25</f>
        <v>175</v>
      </c>
      <c r="I602" s="325">
        <v>150</v>
      </c>
      <c r="J602" s="325">
        <v>150</v>
      </c>
      <c r="K602" s="325">
        <v>150</v>
      </c>
    </row>
    <row r="603" spans="1:11" x14ac:dyDescent="0.25">
      <c r="A603" s="253" t="s">
        <v>19</v>
      </c>
      <c r="B603" s="327"/>
      <c r="C603" s="328" t="s">
        <v>334</v>
      </c>
      <c r="D603" s="328" t="s">
        <v>335</v>
      </c>
      <c r="E603" s="328" t="s">
        <v>335</v>
      </c>
      <c r="F603" s="328" t="s">
        <v>336</v>
      </c>
      <c r="G603" s="328" t="s">
        <v>336</v>
      </c>
      <c r="H603" s="328" t="s">
        <v>336</v>
      </c>
      <c r="I603" s="328" t="s">
        <v>596</v>
      </c>
      <c r="J603" s="328" t="s">
        <v>596</v>
      </c>
      <c r="K603" s="328" t="s">
        <v>596</v>
      </c>
    </row>
    <row r="604" spans="1:11" x14ac:dyDescent="0.25">
      <c r="A604" s="253" t="s">
        <v>20</v>
      </c>
      <c r="B604" s="324"/>
      <c r="C604" s="325">
        <v>41.9</v>
      </c>
      <c r="D604" s="325">
        <v>25.21</v>
      </c>
      <c r="E604" s="325">
        <v>16.8</v>
      </c>
      <c r="F604" s="325">
        <v>46.8</v>
      </c>
      <c r="G604" s="325">
        <v>101.46</v>
      </c>
      <c r="H604" s="325">
        <v>17.2</v>
      </c>
      <c r="I604" s="325">
        <v>0</v>
      </c>
      <c r="J604" s="325">
        <v>23.78</v>
      </c>
      <c r="K604" s="325"/>
    </row>
    <row r="605" spans="1:11" x14ac:dyDescent="0.25">
      <c r="A605" s="253" t="s">
        <v>21</v>
      </c>
      <c r="B605" s="324"/>
      <c r="C605" s="325">
        <f t="shared" ref="C605:J605" si="24">C602-C604</f>
        <v>120.6</v>
      </c>
      <c r="D605" s="325">
        <f t="shared" si="24"/>
        <v>162.29</v>
      </c>
      <c r="E605" s="325">
        <f t="shared" si="24"/>
        <v>170.7</v>
      </c>
      <c r="F605" s="325">
        <f t="shared" si="24"/>
        <v>128.19999999999999</v>
      </c>
      <c r="G605" s="325">
        <f t="shared" si="24"/>
        <v>73.540000000000006</v>
      </c>
      <c r="H605" s="325">
        <f t="shared" si="24"/>
        <v>157.80000000000001</v>
      </c>
      <c r="I605" s="325">
        <f t="shared" si="24"/>
        <v>150</v>
      </c>
      <c r="J605" s="325">
        <f t="shared" si="24"/>
        <v>126.22</v>
      </c>
      <c r="K605" s="325"/>
    </row>
    <row r="606" spans="1:11" x14ac:dyDescent="0.25">
      <c r="A606" s="256" t="s">
        <v>22</v>
      </c>
      <c r="B606" s="257"/>
      <c r="C606" s="330">
        <v>2017</v>
      </c>
      <c r="D606" s="330">
        <v>2018</v>
      </c>
      <c r="E606" s="330">
        <v>2019</v>
      </c>
      <c r="F606" s="330">
        <v>2020</v>
      </c>
      <c r="G606" s="330">
        <v>2021</v>
      </c>
      <c r="H606" s="330">
        <v>2022</v>
      </c>
      <c r="I606" s="330">
        <v>2023</v>
      </c>
      <c r="J606" s="330">
        <v>2024</v>
      </c>
      <c r="K606" s="330">
        <v>2025</v>
      </c>
    </row>
    <row r="607" spans="1:11" ht="12.75" customHeight="1" x14ac:dyDescent="0.25">
      <c r="A607" s="331" t="s">
        <v>332</v>
      </c>
      <c r="B607" s="331"/>
      <c r="C607" s="332"/>
      <c r="D607" s="332"/>
      <c r="E607" s="332"/>
      <c r="F607" s="332"/>
      <c r="G607" s="332"/>
      <c r="H607" s="332"/>
      <c r="I607" s="219"/>
      <c r="J607" s="30"/>
      <c r="K607" s="31"/>
    </row>
    <row r="608" spans="1:11" x14ac:dyDescent="0.25">
      <c r="A608" s="333" t="s">
        <v>333</v>
      </c>
      <c r="B608" s="547"/>
      <c r="C608" s="305"/>
      <c r="D608" s="305"/>
      <c r="E608" s="305"/>
      <c r="F608" s="305"/>
      <c r="G608" s="305"/>
      <c r="H608" s="221"/>
      <c r="I608" s="221"/>
      <c r="K608" s="21"/>
    </row>
    <row r="609" spans="1:16" ht="13.2" customHeight="1" x14ac:dyDescent="0.25">
      <c r="A609" s="333" t="s">
        <v>331</v>
      </c>
      <c r="B609" s="547"/>
      <c r="C609" s="305"/>
      <c r="D609" s="305"/>
      <c r="E609" s="305"/>
      <c r="F609" s="305"/>
      <c r="G609" s="305"/>
      <c r="H609" s="221"/>
      <c r="I609" s="221"/>
      <c r="K609" s="21"/>
    </row>
    <row r="610" spans="1:16" x14ac:dyDescent="0.25">
      <c r="A610" s="334"/>
      <c r="B610" s="334"/>
      <c r="C610" s="335"/>
      <c r="D610" s="335"/>
      <c r="E610" s="335"/>
      <c r="F610" s="335"/>
      <c r="G610" s="335"/>
      <c r="H610" s="223"/>
      <c r="I610" s="223"/>
      <c r="J610" s="33"/>
      <c r="K610" s="34"/>
    </row>
    <row r="611" spans="1:16" x14ac:dyDescent="0.25">
      <c r="A611" s="305"/>
      <c r="B611" s="305"/>
      <c r="C611" s="305"/>
      <c r="D611" s="305"/>
      <c r="E611" s="305"/>
      <c r="F611" s="305"/>
      <c r="G611" s="305"/>
      <c r="H611" s="221"/>
      <c r="I611" s="221"/>
    </row>
    <row r="612" spans="1:16" x14ac:dyDescent="0.25">
      <c r="A612" s="305"/>
      <c r="B612" s="305"/>
      <c r="C612" s="305"/>
      <c r="D612" s="305"/>
      <c r="E612" s="305"/>
      <c r="F612" s="305"/>
      <c r="G612" s="305"/>
      <c r="H612" s="221"/>
      <c r="I612" s="221"/>
    </row>
    <row r="613" spans="1:16" x14ac:dyDescent="0.25">
      <c r="A613" s="556" t="s">
        <v>12</v>
      </c>
      <c r="B613" s="557" t="s">
        <v>616</v>
      </c>
      <c r="C613" s="221"/>
      <c r="D613" s="221"/>
      <c r="E613" s="221"/>
      <c r="F613" s="221"/>
      <c r="G613" s="221"/>
      <c r="H613" s="221"/>
      <c r="I613" s="221"/>
      <c r="J613" s="221"/>
      <c r="K613" s="221"/>
      <c r="L613" s="221"/>
      <c r="M613" s="221"/>
      <c r="N613" s="221"/>
      <c r="O613" s="221"/>
      <c r="P613" s="221"/>
    </row>
    <row r="614" spans="1:16" x14ac:dyDescent="0.25">
      <c r="A614" s="558" t="s">
        <v>14</v>
      </c>
      <c r="B614" s="559" t="s">
        <v>74</v>
      </c>
      <c r="C614" s="336" t="s">
        <v>152</v>
      </c>
      <c r="D614" s="252"/>
      <c r="E614" s="252"/>
      <c r="F614" s="252"/>
      <c r="G614" s="252"/>
      <c r="H614" s="221"/>
      <c r="I614" s="221"/>
      <c r="J614" s="221"/>
      <c r="K614" s="221"/>
      <c r="L614" s="221"/>
      <c r="M614" s="221"/>
      <c r="N614" s="221"/>
      <c r="O614" s="221"/>
      <c r="P614" s="221"/>
    </row>
    <row r="615" spans="1:16" x14ac:dyDescent="0.25">
      <c r="A615" s="253" t="s">
        <v>16</v>
      </c>
      <c r="B615" s="337">
        <v>2016</v>
      </c>
      <c r="C615" s="337">
        <v>2017</v>
      </c>
      <c r="D615" s="337">
        <v>2018</v>
      </c>
      <c r="E615" s="337">
        <v>2019</v>
      </c>
      <c r="F615" s="337">
        <v>2020</v>
      </c>
      <c r="G615" s="337">
        <v>2021</v>
      </c>
      <c r="H615" s="337">
        <v>2022</v>
      </c>
      <c r="I615" s="337">
        <v>2023</v>
      </c>
      <c r="J615" s="337">
        <v>2024</v>
      </c>
      <c r="K615" s="337">
        <v>2025</v>
      </c>
      <c r="L615" s="337">
        <v>2026</v>
      </c>
      <c r="M615" s="337">
        <v>2027</v>
      </c>
      <c r="N615" s="337">
        <v>2028</v>
      </c>
      <c r="O615" s="337">
        <v>2029</v>
      </c>
      <c r="P615" s="337">
        <v>2030</v>
      </c>
    </row>
    <row r="616" spans="1:16" x14ac:dyDescent="0.25">
      <c r="A616" s="253" t="s">
        <v>17</v>
      </c>
      <c r="B616" s="325">
        <v>10</v>
      </c>
      <c r="C616" s="325">
        <v>10</v>
      </c>
      <c r="D616" s="325">
        <v>10</v>
      </c>
      <c r="E616" s="325">
        <v>10</v>
      </c>
      <c r="F616" s="325">
        <v>10</v>
      </c>
      <c r="G616" s="325">
        <v>10</v>
      </c>
      <c r="H616" s="325">
        <v>10</v>
      </c>
      <c r="I616" s="325">
        <v>10</v>
      </c>
      <c r="J616" s="325">
        <v>10</v>
      </c>
      <c r="K616" s="325">
        <v>10</v>
      </c>
      <c r="L616" s="325">
        <v>10</v>
      </c>
      <c r="M616" s="325">
        <v>10</v>
      </c>
      <c r="N616" s="325">
        <v>10</v>
      </c>
      <c r="O616" s="325">
        <v>10</v>
      </c>
      <c r="P616" s="325">
        <v>10</v>
      </c>
    </row>
    <row r="617" spans="1:16" x14ac:dyDescent="0.25">
      <c r="A617" s="253" t="s">
        <v>18</v>
      </c>
      <c r="B617" s="325"/>
      <c r="C617" s="325"/>
      <c r="D617" s="325">
        <f>C620+D616</f>
        <v>-28</v>
      </c>
      <c r="E617" s="325">
        <f>D620+E616</f>
        <v>-20.3</v>
      </c>
      <c r="F617" s="325">
        <f>E620+F616</f>
        <v>-30.6</v>
      </c>
      <c r="G617" s="325">
        <f>F620+G616</f>
        <v>-20.6</v>
      </c>
      <c r="H617" s="325">
        <f>-2.53+H616</f>
        <v>7.4700000000000006</v>
      </c>
      <c r="I617" s="325">
        <f>-2.5+I616</f>
        <v>7.5</v>
      </c>
      <c r="J617" s="325">
        <f t="shared" ref="J617:P617" si="25">-2.5+J616</f>
        <v>7.5</v>
      </c>
      <c r="K617" s="325">
        <f t="shared" si="25"/>
        <v>7.5</v>
      </c>
      <c r="L617" s="325">
        <f t="shared" si="25"/>
        <v>7.5</v>
      </c>
      <c r="M617" s="325">
        <f t="shared" si="25"/>
        <v>7.5</v>
      </c>
      <c r="N617" s="325">
        <f t="shared" si="25"/>
        <v>7.5</v>
      </c>
      <c r="O617" s="325">
        <f t="shared" si="25"/>
        <v>7.5</v>
      </c>
      <c r="P617" s="325">
        <f t="shared" si="25"/>
        <v>7.5</v>
      </c>
    </row>
    <row r="618" spans="1:16" x14ac:dyDescent="0.25">
      <c r="A618" s="253" t="s">
        <v>19</v>
      </c>
      <c r="B618" s="338"/>
      <c r="C618" s="338"/>
      <c r="D618" s="338"/>
      <c r="E618" s="338"/>
      <c r="F618" s="338"/>
      <c r="G618" s="338"/>
      <c r="H618" s="649" t="s">
        <v>551</v>
      </c>
      <c r="I618" s="649" t="s">
        <v>551</v>
      </c>
      <c r="J618" s="650" t="s">
        <v>551</v>
      </c>
      <c r="K618" s="650" t="s">
        <v>551</v>
      </c>
      <c r="L618" s="650" t="s">
        <v>551</v>
      </c>
      <c r="M618" s="650" t="s">
        <v>551</v>
      </c>
      <c r="N618" s="650" t="s">
        <v>551</v>
      </c>
      <c r="O618" s="650" t="s">
        <v>551</v>
      </c>
      <c r="P618" s="650" t="s">
        <v>551</v>
      </c>
    </row>
    <row r="619" spans="1:16" x14ac:dyDescent="0.25">
      <c r="A619" s="253" t="s">
        <v>20</v>
      </c>
      <c r="B619" s="325">
        <v>0</v>
      </c>
      <c r="C619" s="325">
        <v>48</v>
      </c>
      <c r="D619" s="325">
        <v>2.2999999999999998</v>
      </c>
      <c r="E619" s="325">
        <v>20.3</v>
      </c>
      <c r="F619" s="325">
        <v>0</v>
      </c>
      <c r="G619" s="325">
        <v>1.9330000000000001</v>
      </c>
      <c r="H619" s="325">
        <v>6.29</v>
      </c>
      <c r="I619" s="325"/>
      <c r="J619" s="29"/>
      <c r="K619" s="29"/>
      <c r="L619" s="29"/>
      <c r="M619" s="29"/>
      <c r="N619" s="29"/>
      <c r="O619" s="29"/>
      <c r="P619" s="29"/>
    </row>
    <row r="620" spans="1:16" x14ac:dyDescent="0.25">
      <c r="A620" s="253" t="s">
        <v>21</v>
      </c>
      <c r="B620" s="325">
        <f>B616-B619</f>
        <v>10</v>
      </c>
      <c r="C620" s="325">
        <f>C616-C619</f>
        <v>-38</v>
      </c>
      <c r="D620" s="325">
        <f>D617-D619</f>
        <v>-30.3</v>
      </c>
      <c r="E620" s="325">
        <f>E617-E619</f>
        <v>-40.6</v>
      </c>
      <c r="F620" s="325">
        <f>F617-F619</f>
        <v>-30.6</v>
      </c>
      <c r="G620" s="325">
        <f>G617-G619</f>
        <v>-22.533000000000001</v>
      </c>
      <c r="H620" s="325">
        <f>H617-H619</f>
        <v>1.1800000000000006</v>
      </c>
      <c r="I620" s="325"/>
      <c r="J620" s="201"/>
      <c r="K620" s="201"/>
      <c r="L620" s="201"/>
      <c r="M620" s="201"/>
      <c r="N620" s="201"/>
      <c r="O620" s="201"/>
      <c r="P620" s="201"/>
    </row>
    <row r="621" spans="1:16" x14ac:dyDescent="0.25">
      <c r="A621" s="256" t="s">
        <v>22</v>
      </c>
      <c r="B621" s="257">
        <v>2017</v>
      </c>
      <c r="C621" s="257">
        <v>2018</v>
      </c>
      <c r="D621" s="257">
        <v>2019</v>
      </c>
      <c r="E621" s="257">
        <v>2020</v>
      </c>
      <c r="F621" s="257">
        <v>2021</v>
      </c>
      <c r="G621" s="257">
        <v>2022</v>
      </c>
      <c r="H621" s="257">
        <v>2023</v>
      </c>
      <c r="I621" s="257">
        <v>2024</v>
      </c>
      <c r="J621" s="38">
        <v>2025</v>
      </c>
      <c r="K621" s="38">
        <v>2026</v>
      </c>
      <c r="L621" s="38">
        <v>2027</v>
      </c>
      <c r="M621" s="38">
        <v>2028</v>
      </c>
      <c r="N621" s="38">
        <v>2029</v>
      </c>
      <c r="O621" s="38">
        <v>2030</v>
      </c>
      <c r="P621" s="38">
        <v>2031</v>
      </c>
    </row>
    <row r="622" spans="1:16" x14ac:dyDescent="0.25">
      <c r="A622" s="256" t="s">
        <v>435</v>
      </c>
      <c r="B622" s="258"/>
      <c r="C622" s="258"/>
      <c r="D622" s="258"/>
      <c r="E622" s="258"/>
      <c r="F622" s="258"/>
      <c r="G622" s="258"/>
      <c r="H622" s="258"/>
      <c r="I622" s="219"/>
      <c r="J622" s="30"/>
      <c r="K622" s="30"/>
      <c r="L622" s="30"/>
      <c r="M622" s="30"/>
      <c r="N622" s="30"/>
      <c r="O622" s="30"/>
      <c r="P622" s="31"/>
    </row>
    <row r="623" spans="1:16" x14ac:dyDescent="0.25">
      <c r="A623" s="714" t="s">
        <v>993</v>
      </c>
      <c r="B623" s="715"/>
      <c r="C623" s="715"/>
      <c r="D623" s="715"/>
      <c r="E623" s="715"/>
      <c r="F623" s="715"/>
      <c r="G623" s="715"/>
      <c r="H623" s="715"/>
      <c r="I623" s="223"/>
      <c r="J623" s="33"/>
      <c r="K623" s="33"/>
      <c r="L623" s="33"/>
      <c r="M623" s="33"/>
      <c r="N623" s="33"/>
      <c r="O623" s="33"/>
      <c r="P623" s="34"/>
    </row>
    <row r="624" spans="1:16" x14ac:dyDescent="0.25">
      <c r="A624" s="221"/>
      <c r="B624" s="221"/>
      <c r="C624" s="221"/>
      <c r="D624" s="221"/>
      <c r="E624" s="221"/>
      <c r="F624" s="221"/>
      <c r="G624" s="221"/>
      <c r="H624" s="221"/>
      <c r="I624" s="221"/>
    </row>
    <row r="625" spans="1:17" x14ac:dyDescent="0.25">
      <c r="A625" s="305"/>
      <c r="B625" s="305"/>
      <c r="C625" s="305"/>
      <c r="D625" s="305"/>
      <c r="E625" s="305"/>
      <c r="F625" s="305"/>
      <c r="G625" s="305"/>
    </row>
    <row r="626" spans="1:17" x14ac:dyDescent="0.25">
      <c r="A626" s="305"/>
      <c r="B626" s="305"/>
      <c r="C626" s="305"/>
      <c r="D626" s="305"/>
      <c r="E626" s="305"/>
      <c r="F626" s="305"/>
      <c r="G626" s="305"/>
      <c r="H626" s="221"/>
      <c r="I626" s="221"/>
      <c r="J626" s="221"/>
      <c r="K626" s="221"/>
      <c r="L626" s="221"/>
      <c r="M626" s="221"/>
    </row>
    <row r="627" spans="1:17" x14ac:dyDescent="0.25">
      <c r="A627" s="556" t="s">
        <v>12</v>
      </c>
      <c r="B627" s="557" t="s">
        <v>727</v>
      </c>
      <c r="C627" s="221"/>
      <c r="D627" s="221"/>
      <c r="E627" s="221"/>
      <c r="F627" s="221"/>
      <c r="G627" s="221"/>
      <c r="H627" s="221"/>
      <c r="I627" s="221"/>
      <c r="J627" s="221"/>
      <c r="K627" s="221"/>
      <c r="L627" s="221"/>
      <c r="M627" s="221"/>
      <c r="N627" s="221"/>
      <c r="O627" s="221"/>
      <c r="P627" s="221"/>
      <c r="Q627" s="221"/>
    </row>
    <row r="628" spans="1:17" x14ac:dyDescent="0.25">
      <c r="A628" s="554" t="s">
        <v>14</v>
      </c>
      <c r="B628" s="555" t="s">
        <v>655</v>
      </c>
      <c r="C628" s="250" t="s">
        <v>152</v>
      </c>
      <c r="D628" s="252"/>
      <c r="E628" s="252"/>
      <c r="F628" s="252"/>
      <c r="G628" s="252"/>
    </row>
    <row r="629" spans="1:17" x14ac:dyDescent="0.25">
      <c r="A629" s="321" t="s">
        <v>16</v>
      </c>
      <c r="B629" s="337"/>
      <c r="C629" s="337">
        <v>2021</v>
      </c>
      <c r="D629" s="337">
        <v>2022</v>
      </c>
      <c r="E629" s="337">
        <v>2023</v>
      </c>
      <c r="F629" s="221"/>
      <c r="G629" s="221"/>
    </row>
    <row r="630" spans="1:17" x14ac:dyDescent="0.25">
      <c r="A630" s="253" t="s">
        <v>17</v>
      </c>
      <c r="B630" s="325"/>
      <c r="C630" s="325">
        <v>330</v>
      </c>
      <c r="D630" s="325">
        <v>330</v>
      </c>
      <c r="E630" s="325">
        <v>513</v>
      </c>
      <c r="F630" s="221"/>
      <c r="G630" s="221"/>
      <c r="H630" s="221"/>
      <c r="I630" s="221"/>
    </row>
    <row r="631" spans="1:17" x14ac:dyDescent="0.25">
      <c r="A631" s="253" t="s">
        <v>18</v>
      </c>
      <c r="B631" s="325"/>
      <c r="C631" s="325"/>
      <c r="D631" s="325">
        <f>D630-259.62</f>
        <v>70.38</v>
      </c>
      <c r="E631" s="325">
        <f>E630-507.87</f>
        <v>5.1299999999999955</v>
      </c>
      <c r="F631" s="221"/>
      <c r="G631" s="221"/>
      <c r="H631" s="221"/>
      <c r="I631" s="221"/>
    </row>
    <row r="632" spans="1:17" x14ac:dyDescent="0.25">
      <c r="A632" s="253" t="s">
        <v>19</v>
      </c>
      <c r="B632" s="338"/>
      <c r="C632" s="338"/>
      <c r="D632" s="338"/>
      <c r="E632" s="338"/>
      <c r="F632" s="221"/>
      <c r="G632" s="221"/>
      <c r="H632" s="221"/>
      <c r="I632" s="221"/>
    </row>
    <row r="633" spans="1:17" x14ac:dyDescent="0.25">
      <c r="A633" s="253" t="s">
        <v>20</v>
      </c>
      <c r="B633" s="325"/>
      <c r="C633" s="325">
        <v>326.61</v>
      </c>
      <c r="D633" s="325">
        <v>67.08</v>
      </c>
      <c r="E633" s="325"/>
      <c r="F633" s="221"/>
      <c r="G633" s="221"/>
      <c r="H633" s="221"/>
      <c r="I633" s="221"/>
    </row>
    <row r="634" spans="1:17" x14ac:dyDescent="0.25">
      <c r="A634" s="253" t="s">
        <v>21</v>
      </c>
      <c r="B634" s="325"/>
      <c r="C634" s="325">
        <f>C630-C633</f>
        <v>3.3899999999999864</v>
      </c>
      <c r="D634" s="325">
        <f>D631-D633</f>
        <v>3.2999999999999972</v>
      </c>
      <c r="E634" s="325"/>
      <c r="F634" s="221"/>
      <c r="G634" s="221"/>
      <c r="H634" s="221"/>
      <c r="I634" s="221"/>
    </row>
    <row r="635" spans="1:17" x14ac:dyDescent="0.25">
      <c r="A635" s="256" t="s">
        <v>22</v>
      </c>
      <c r="B635" s="257"/>
      <c r="C635" s="257"/>
      <c r="D635" s="257"/>
      <c r="E635" s="257"/>
      <c r="F635" s="221"/>
      <c r="G635" s="221"/>
      <c r="H635" s="221"/>
      <c r="I635" s="221"/>
    </row>
    <row r="636" spans="1:17" ht="13.2" customHeight="1" x14ac:dyDescent="0.25">
      <c r="A636" s="515" t="s">
        <v>23</v>
      </c>
      <c r="B636" s="515"/>
      <c r="C636" s="515"/>
      <c r="D636" s="515"/>
      <c r="E636" s="515"/>
      <c r="F636" s="221"/>
      <c r="G636" s="221"/>
      <c r="H636" s="221"/>
      <c r="I636" s="221"/>
    </row>
    <row r="637" spans="1:17" x14ac:dyDescent="0.25">
      <c r="A637" s="256" t="s">
        <v>675</v>
      </c>
      <c r="B637" s="258"/>
      <c r="C637" s="258"/>
      <c r="D637" s="258"/>
      <c r="E637" s="516"/>
      <c r="F637" s="221"/>
      <c r="G637" s="221"/>
      <c r="H637" s="221"/>
      <c r="I637" s="221"/>
    </row>
    <row r="638" spans="1:17" x14ac:dyDescent="0.25">
      <c r="A638" s="714" t="s">
        <v>942</v>
      </c>
      <c r="B638" s="715"/>
      <c r="C638" s="715"/>
      <c r="D638" s="715"/>
      <c r="E638" s="404"/>
      <c r="F638" s="221"/>
      <c r="G638" s="221"/>
      <c r="H638" s="221"/>
      <c r="I638" s="221"/>
    </row>
    <row r="639" spans="1:17" x14ac:dyDescent="0.25">
      <c r="A639" s="35"/>
      <c r="B639" s="35"/>
      <c r="C639" s="35"/>
      <c r="D639" s="35"/>
      <c r="E639" s="28"/>
      <c r="F639" s="28"/>
      <c r="G639" s="28"/>
      <c r="H639" s="28"/>
    </row>
    <row r="641" spans="1:8" x14ac:dyDescent="0.25">
      <c r="A641" s="114" t="s">
        <v>12</v>
      </c>
      <c r="B641" s="557" t="s">
        <v>259</v>
      </c>
      <c r="C641" s="221"/>
      <c r="D641" s="221"/>
      <c r="E641" s="221"/>
    </row>
    <row r="642" spans="1:8" x14ac:dyDescent="0.25">
      <c r="A642" s="560" t="s">
        <v>14</v>
      </c>
      <c r="B642" s="555" t="s">
        <v>66</v>
      </c>
      <c r="C642" s="250" t="s">
        <v>152</v>
      </c>
      <c r="D642" s="252"/>
      <c r="E642" s="252"/>
      <c r="F642" s="7"/>
      <c r="G642" s="7"/>
    </row>
    <row r="643" spans="1:8" x14ac:dyDescent="0.25">
      <c r="A643" s="14" t="s">
        <v>16</v>
      </c>
      <c r="B643" s="340" t="s">
        <v>243</v>
      </c>
      <c r="C643" s="337" t="s">
        <v>244</v>
      </c>
      <c r="D643" s="337" t="s">
        <v>287</v>
      </c>
      <c r="E643" s="337" t="s">
        <v>604</v>
      </c>
      <c r="F643" s="337" t="s">
        <v>825</v>
      </c>
    </row>
    <row r="644" spans="1:8" x14ac:dyDescent="0.25">
      <c r="A644" s="8" t="s">
        <v>17</v>
      </c>
      <c r="B644" s="325" t="s">
        <v>47</v>
      </c>
      <c r="C644" s="325" t="s">
        <v>47</v>
      </c>
      <c r="D644" s="325">
        <v>1552.77</v>
      </c>
      <c r="E644" s="325">
        <v>1527.9256800000001</v>
      </c>
      <c r="F644" s="325">
        <v>1540.3478400000001</v>
      </c>
    </row>
    <row r="645" spans="1:8" x14ac:dyDescent="0.25">
      <c r="A645" s="8" t="s">
        <v>18</v>
      </c>
      <c r="B645" s="325" t="s">
        <v>47</v>
      </c>
      <c r="C645" s="325" t="s">
        <v>47</v>
      </c>
      <c r="D645" s="325"/>
      <c r="E645" s="325"/>
      <c r="F645" s="325"/>
    </row>
    <row r="646" spans="1:8" x14ac:dyDescent="0.25">
      <c r="A646" s="8" t="s">
        <v>19</v>
      </c>
      <c r="B646" s="338"/>
      <c r="C646" s="338"/>
      <c r="D646" s="338"/>
      <c r="E646" s="338"/>
      <c r="F646" s="338"/>
    </row>
    <row r="647" spans="1:8" x14ac:dyDescent="0.25">
      <c r="A647" s="8" t="s">
        <v>20</v>
      </c>
      <c r="B647" s="325">
        <v>2633.56</v>
      </c>
      <c r="C647" s="325">
        <v>2463.83</v>
      </c>
      <c r="D647" s="325">
        <v>1518</v>
      </c>
      <c r="E647" s="325">
        <v>1491.84</v>
      </c>
      <c r="F647" s="325">
        <v>1499.98</v>
      </c>
    </row>
    <row r="648" spans="1:8" x14ac:dyDescent="0.25">
      <c r="A648" s="8" t="s">
        <v>21</v>
      </c>
      <c r="B648" s="325" t="s">
        <v>47</v>
      </c>
      <c r="C648" s="325" t="s">
        <v>47</v>
      </c>
      <c r="D648" s="325">
        <f>D644-D647</f>
        <v>34.769999999999982</v>
      </c>
      <c r="E648" s="325">
        <f>E644-E647</f>
        <v>36.085680000000139</v>
      </c>
      <c r="F648" s="325">
        <f>F644-F647</f>
        <v>40.367840000000115</v>
      </c>
    </row>
    <row r="649" spans="1:8" x14ac:dyDescent="0.25">
      <c r="A649" s="37" t="s">
        <v>22</v>
      </c>
      <c r="B649" s="257"/>
      <c r="C649" s="257"/>
      <c r="D649" s="257"/>
      <c r="E649" s="257"/>
      <c r="F649" s="257"/>
    </row>
    <row r="650" spans="1:8" x14ac:dyDescent="0.25">
      <c r="A650" s="732" t="s">
        <v>823</v>
      </c>
      <c r="B650" s="733"/>
      <c r="C650" s="733"/>
      <c r="D650" s="733"/>
      <c r="E650" s="733"/>
      <c r="F650" s="517"/>
      <c r="G650" s="28"/>
      <c r="H650" s="28"/>
    </row>
    <row r="651" spans="1:8" x14ac:dyDescent="0.25">
      <c r="A651" s="20" t="s">
        <v>824</v>
      </c>
      <c r="F651" s="21"/>
    </row>
    <row r="652" spans="1:8" x14ac:dyDescent="0.25">
      <c r="A652" s="32" t="s">
        <v>826</v>
      </c>
      <c r="B652" s="33"/>
      <c r="C652" s="33"/>
      <c r="D652" s="33"/>
      <c r="E652" s="33"/>
      <c r="F652" s="34"/>
    </row>
    <row r="654" spans="1:8" ht="13.2" customHeight="1" x14ac:dyDescent="0.25"/>
    <row r="655" spans="1:8" x14ac:dyDescent="0.25">
      <c r="A655" s="114" t="s">
        <v>12</v>
      </c>
      <c r="B655" s="562" t="s">
        <v>39</v>
      </c>
    </row>
    <row r="656" spans="1:8" x14ac:dyDescent="0.25">
      <c r="A656" s="72" t="s">
        <v>14</v>
      </c>
      <c r="B656" s="561" t="s">
        <v>637</v>
      </c>
      <c r="C656" s="55" t="s">
        <v>15</v>
      </c>
    </row>
    <row r="657" spans="1:13" x14ac:dyDescent="0.25">
      <c r="A657" s="32" t="s">
        <v>16</v>
      </c>
      <c r="B657" s="101">
        <v>2014</v>
      </c>
      <c r="C657" s="51">
        <v>2015</v>
      </c>
      <c r="D657" s="51">
        <v>2016</v>
      </c>
      <c r="E657" s="51">
        <v>2017</v>
      </c>
      <c r="F657" s="51">
        <v>2018</v>
      </c>
      <c r="G657" s="51">
        <v>2019</v>
      </c>
      <c r="H657" s="51">
        <v>2020</v>
      </c>
      <c r="I657" s="51">
        <v>2021</v>
      </c>
      <c r="J657" s="51">
        <v>2022</v>
      </c>
      <c r="K657" s="51">
        <v>2023</v>
      </c>
    </row>
    <row r="658" spans="1:13" x14ac:dyDescent="0.25">
      <c r="A658" s="46" t="s">
        <v>17</v>
      </c>
      <c r="B658" s="60">
        <v>21551.3</v>
      </c>
      <c r="C658" s="60">
        <v>21551.3</v>
      </c>
      <c r="D658" s="60">
        <v>21551.3</v>
      </c>
      <c r="E658" s="60">
        <v>21551.3</v>
      </c>
      <c r="F658" s="60">
        <v>25861.599999999999</v>
      </c>
      <c r="G658" s="60">
        <v>25861.599999999999</v>
      </c>
      <c r="H658" s="60">
        <v>25861.599999999999</v>
      </c>
      <c r="I658" s="23">
        <v>29095.1</v>
      </c>
      <c r="J658" s="23">
        <v>29095.1</v>
      </c>
      <c r="K658" s="23">
        <v>29095.1</v>
      </c>
    </row>
    <row r="659" spans="1:13" x14ac:dyDescent="0.25">
      <c r="A659" s="46" t="s">
        <v>18</v>
      </c>
      <c r="B659" s="60">
        <v>26534.959999999999</v>
      </c>
      <c r="C659" s="60">
        <v>26939.13</v>
      </c>
      <c r="D659" s="60">
        <v>24541.7</v>
      </c>
      <c r="E659" s="60">
        <v>26939.125</v>
      </c>
      <c r="F659" s="60">
        <v>26094.649999999998</v>
      </c>
      <c r="G659" s="60">
        <v>29536.849000000002</v>
      </c>
      <c r="H659" s="60">
        <v>26869.420999999995</v>
      </c>
      <c r="I659" s="23">
        <f>I658+G662-434.04</f>
        <v>28121.021000000001</v>
      </c>
      <c r="J659" s="23">
        <f>J658+H662-0.0152*J658</f>
        <v>29941.571479999991</v>
      </c>
      <c r="K659" s="23">
        <f>K658+I662-0.0152*I658</f>
        <v>30678.782479999994</v>
      </c>
      <c r="L659" s="41"/>
      <c r="M659" s="41"/>
    </row>
    <row r="660" spans="1:13" ht="52.8" x14ac:dyDescent="0.25">
      <c r="A660" s="46" t="s">
        <v>19</v>
      </c>
      <c r="B660" s="61" t="s">
        <v>40</v>
      </c>
      <c r="C660" s="61" t="s">
        <v>41</v>
      </c>
      <c r="D660" s="61" t="s">
        <v>42</v>
      </c>
      <c r="E660" s="127" t="s">
        <v>43</v>
      </c>
      <c r="F660" s="127" t="s">
        <v>44</v>
      </c>
      <c r="G660" s="127" t="s">
        <v>45</v>
      </c>
      <c r="H660" s="127" t="s">
        <v>46</v>
      </c>
      <c r="I660" s="84" t="s">
        <v>478</v>
      </c>
      <c r="J660" s="84" t="s">
        <v>479</v>
      </c>
      <c r="K660" s="84" t="s">
        <v>647</v>
      </c>
    </row>
    <row r="661" spans="1:13" ht="12.6" customHeight="1" x14ac:dyDescent="0.25">
      <c r="A661" s="46" t="s">
        <v>20</v>
      </c>
      <c r="B661" s="23">
        <v>23544.560000000001</v>
      </c>
      <c r="C661" s="23">
        <v>20891.8</v>
      </c>
      <c r="D661" s="23">
        <v>24308.65</v>
      </c>
      <c r="E661" s="23">
        <v>23263.875999999997</v>
      </c>
      <c r="F661" s="23">
        <v>25086.829000000002</v>
      </c>
      <c r="G661" s="23">
        <v>30076.887999999999</v>
      </c>
      <c r="H661" s="23">
        <v>25580.704000000002</v>
      </c>
      <c r="I661" s="23">
        <v>26095.093000000004</v>
      </c>
      <c r="J661" s="23">
        <v>26844.75</v>
      </c>
      <c r="K661" s="23"/>
    </row>
    <row r="662" spans="1:13" x14ac:dyDescent="0.25">
      <c r="A662" s="46" t="s">
        <v>21</v>
      </c>
      <c r="B662" s="23">
        <v>2990.4</v>
      </c>
      <c r="C662" s="23">
        <v>6047.33</v>
      </c>
      <c r="D662" s="23">
        <v>233.04999999999927</v>
      </c>
      <c r="E662" s="23">
        <v>3675.2490000000034</v>
      </c>
      <c r="F662" s="23">
        <v>1007.8209999999963</v>
      </c>
      <c r="G662" s="23">
        <f>G659-G661</f>
        <v>-540.03899999999703</v>
      </c>
      <c r="H662" s="23">
        <f>H659-H661</f>
        <v>1288.7169999999933</v>
      </c>
      <c r="I662" s="23">
        <f>I659-I661</f>
        <v>2025.9279999999962</v>
      </c>
      <c r="J662" s="23">
        <f>J659-J661</f>
        <v>3096.8214799999914</v>
      </c>
      <c r="K662" s="23"/>
    </row>
    <row r="663" spans="1:13" x14ac:dyDescent="0.25">
      <c r="A663" s="49" t="s">
        <v>22</v>
      </c>
      <c r="B663" s="57">
        <v>2016</v>
      </c>
      <c r="C663" s="57">
        <v>2017</v>
      </c>
      <c r="D663" s="57">
        <v>2018</v>
      </c>
      <c r="E663" s="57">
        <v>2019</v>
      </c>
      <c r="F663" s="57">
        <v>2020</v>
      </c>
      <c r="G663" s="57">
        <v>2021</v>
      </c>
      <c r="H663" s="57">
        <v>2022</v>
      </c>
      <c r="I663" s="57">
        <v>2023</v>
      </c>
      <c r="J663" s="57">
        <v>2024</v>
      </c>
      <c r="K663" s="57">
        <v>2025</v>
      </c>
    </row>
    <row r="664" spans="1:13" x14ac:dyDescent="0.25">
      <c r="A664" s="49" t="s">
        <v>476</v>
      </c>
      <c r="B664" s="83"/>
      <c r="C664" s="83"/>
      <c r="D664" s="83"/>
      <c r="E664" s="83"/>
      <c r="F664" s="83"/>
      <c r="G664" s="83"/>
      <c r="H664" s="83"/>
      <c r="I664" s="83"/>
      <c r="J664" s="30"/>
      <c r="K664" s="31"/>
    </row>
    <row r="665" spans="1:13" x14ac:dyDescent="0.25">
      <c r="A665" s="20" t="s">
        <v>477</v>
      </c>
      <c r="B665" s="82"/>
      <c r="C665" s="82"/>
      <c r="D665" s="82"/>
      <c r="E665" s="82"/>
      <c r="F665" s="82"/>
      <c r="G665" s="82"/>
      <c r="H665" s="82"/>
      <c r="I665" s="82"/>
      <c r="K665" s="21"/>
    </row>
    <row r="666" spans="1:13" x14ac:dyDescent="0.25">
      <c r="A666" s="20" t="s">
        <v>480</v>
      </c>
      <c r="B666" s="82"/>
      <c r="C666" s="82"/>
      <c r="D666" s="82"/>
      <c r="E666" s="82"/>
      <c r="F666" s="82"/>
      <c r="G666" s="82"/>
      <c r="H666" s="82"/>
      <c r="I666" s="82"/>
      <c r="K666" s="21"/>
    </row>
    <row r="667" spans="1:13" x14ac:dyDescent="0.25">
      <c r="A667" s="20" t="s">
        <v>481</v>
      </c>
      <c r="B667" s="82"/>
      <c r="C667" s="82"/>
      <c r="D667" s="82"/>
      <c r="E667" s="82"/>
      <c r="F667" s="82"/>
      <c r="G667" s="82"/>
      <c r="H667" s="82"/>
      <c r="I667" s="82"/>
      <c r="K667" s="21"/>
    </row>
    <row r="668" spans="1:13" x14ac:dyDescent="0.25">
      <c r="A668" s="32" t="s">
        <v>648</v>
      </c>
      <c r="B668" s="85"/>
      <c r="C668" s="85"/>
      <c r="D668" s="85"/>
      <c r="E668" s="85"/>
      <c r="F668" s="85"/>
      <c r="G668" s="85"/>
      <c r="H668" s="85"/>
      <c r="I668" s="85"/>
      <c r="J668" s="33"/>
      <c r="K668" s="34"/>
    </row>
    <row r="670" spans="1:13" x14ac:dyDescent="0.25">
      <c r="A670" s="91" t="s">
        <v>14</v>
      </c>
      <c r="B670" s="102" t="s">
        <v>651</v>
      </c>
      <c r="C670" s="55" t="s">
        <v>15</v>
      </c>
    </row>
    <row r="671" spans="1:13" x14ac:dyDescent="0.25">
      <c r="A671" s="32" t="s">
        <v>16</v>
      </c>
      <c r="B671" s="101">
        <v>2014</v>
      </c>
      <c r="C671" s="51">
        <v>2015</v>
      </c>
      <c r="D671" s="51">
        <v>2016</v>
      </c>
      <c r="E671" s="51">
        <v>2017</v>
      </c>
      <c r="F671" s="51">
        <v>2018</v>
      </c>
      <c r="G671" s="51">
        <v>2019</v>
      </c>
      <c r="H671" s="51">
        <v>2020</v>
      </c>
      <c r="I671" s="51">
        <v>2021</v>
      </c>
      <c r="J671" s="51">
        <v>2022</v>
      </c>
      <c r="K671" s="51">
        <v>2023</v>
      </c>
    </row>
    <row r="672" spans="1:13" x14ac:dyDescent="0.25">
      <c r="A672" s="46" t="s">
        <v>17</v>
      </c>
      <c r="B672" s="60">
        <v>1470</v>
      </c>
      <c r="C672" s="60">
        <v>1470</v>
      </c>
      <c r="D672" s="60">
        <v>1470</v>
      </c>
      <c r="E672" s="60">
        <v>1470</v>
      </c>
      <c r="F672" s="60">
        <v>1470</v>
      </c>
      <c r="G672" s="60">
        <v>1470</v>
      </c>
      <c r="H672" s="60">
        <v>1470</v>
      </c>
      <c r="I672" s="23">
        <v>1470</v>
      </c>
      <c r="J672" s="23">
        <v>1470</v>
      </c>
      <c r="K672" s="45">
        <v>1765</v>
      </c>
    </row>
    <row r="673" spans="1:11" x14ac:dyDescent="0.25">
      <c r="A673" s="46" t="s">
        <v>18</v>
      </c>
      <c r="B673" s="60">
        <v>1470</v>
      </c>
      <c r="C673" s="60">
        <v>1719</v>
      </c>
      <c r="D673" s="60">
        <v>1837.5</v>
      </c>
      <c r="E673" s="60">
        <v>1837.5</v>
      </c>
      <c r="F673" s="60">
        <v>1837.5</v>
      </c>
      <c r="G673" s="60">
        <v>1837.5</v>
      </c>
      <c r="H673" s="60">
        <v>1837.5</v>
      </c>
      <c r="I673" s="60">
        <f>+I672+G672*0.25</f>
        <v>1837.5</v>
      </c>
      <c r="J673" s="60">
        <f>+J672+H672*0.25</f>
        <v>1837.5</v>
      </c>
      <c r="K673" s="341">
        <f>K672+I672*0.25</f>
        <v>2132.5</v>
      </c>
    </row>
    <row r="674" spans="1:11" ht="26.4" x14ac:dyDescent="0.25">
      <c r="A674" s="46" t="s">
        <v>19</v>
      </c>
      <c r="B674" s="61" t="s">
        <v>47</v>
      </c>
      <c r="C674" s="61" t="s">
        <v>48</v>
      </c>
      <c r="D674" s="61" t="s">
        <v>49</v>
      </c>
      <c r="E674" s="127" t="s">
        <v>43</v>
      </c>
      <c r="F674" s="127" t="s">
        <v>50</v>
      </c>
      <c r="G674" s="127" t="s">
        <v>51</v>
      </c>
      <c r="H674" s="127" t="s">
        <v>52</v>
      </c>
      <c r="I674" s="84" t="s">
        <v>264</v>
      </c>
      <c r="J674" s="84" t="s">
        <v>485</v>
      </c>
      <c r="K674" s="84" t="s">
        <v>731</v>
      </c>
    </row>
    <row r="675" spans="1:11" x14ac:dyDescent="0.25">
      <c r="A675" s="46" t="s">
        <v>20</v>
      </c>
      <c r="B675" s="23">
        <v>335.36</v>
      </c>
      <c r="C675" s="23">
        <v>472.71</v>
      </c>
      <c r="D675" s="23">
        <v>54.77</v>
      </c>
      <c r="E675" s="23">
        <v>178.2</v>
      </c>
      <c r="F675" s="23">
        <v>102.81099999999999</v>
      </c>
      <c r="G675" s="127">
        <v>81.733813276999982</v>
      </c>
      <c r="H675" s="23">
        <v>60.466000000000008</v>
      </c>
      <c r="I675" s="23">
        <v>70.94</v>
      </c>
      <c r="J675" s="23">
        <v>71.53</v>
      </c>
      <c r="K675" s="23"/>
    </row>
    <row r="676" spans="1:11" x14ac:dyDescent="0.25">
      <c r="A676" s="46" t="s">
        <v>21</v>
      </c>
      <c r="B676" s="23">
        <v>1135</v>
      </c>
      <c r="C676" s="23">
        <v>1246.29</v>
      </c>
      <c r="D676" s="23">
        <v>1782.73</v>
      </c>
      <c r="E676" s="23">
        <v>1659.3</v>
      </c>
      <c r="F676" s="23">
        <v>1734.6890000000001</v>
      </c>
      <c r="G676" s="127">
        <f>G673-G675</f>
        <v>1755.7661867229999</v>
      </c>
      <c r="H676" s="23">
        <f>H673-H675</f>
        <v>1777.0340000000001</v>
      </c>
      <c r="I676" s="23">
        <f>I673-I675</f>
        <v>1766.56</v>
      </c>
      <c r="J676" s="23">
        <f>J673-J675</f>
        <v>1765.97</v>
      </c>
      <c r="K676" s="23"/>
    </row>
    <row r="677" spans="1:11" x14ac:dyDescent="0.25">
      <c r="A677" s="49" t="s">
        <v>22</v>
      </c>
      <c r="B677" s="57">
        <v>2016</v>
      </c>
      <c r="C677" s="57">
        <v>2017</v>
      </c>
      <c r="D677" s="57">
        <v>2018</v>
      </c>
      <c r="E677" s="57">
        <v>2019</v>
      </c>
      <c r="F677" s="57">
        <v>2020</v>
      </c>
      <c r="G677" s="57">
        <v>2021</v>
      </c>
      <c r="H677" s="57">
        <v>2022</v>
      </c>
      <c r="I677" s="57">
        <v>2023</v>
      </c>
      <c r="J677" s="57">
        <v>2024</v>
      </c>
      <c r="K677" s="57">
        <v>2025</v>
      </c>
    </row>
    <row r="678" spans="1:11" x14ac:dyDescent="0.25">
      <c r="A678" s="49" t="s">
        <v>483</v>
      </c>
      <c r="B678" s="83"/>
      <c r="C678" s="83"/>
      <c r="D678" s="83"/>
      <c r="E678" s="83"/>
      <c r="F678" s="83"/>
      <c r="G678" s="83"/>
      <c r="H678" s="83"/>
      <c r="I678" s="83"/>
      <c r="J678" s="30"/>
      <c r="K678" s="31"/>
    </row>
    <row r="679" spans="1:11" x14ac:dyDescent="0.25">
      <c r="A679" s="20" t="s">
        <v>482</v>
      </c>
      <c r="K679" s="21"/>
    </row>
    <row r="680" spans="1:11" x14ac:dyDescent="0.25">
      <c r="A680" s="20" t="s">
        <v>484</v>
      </c>
      <c r="K680" s="21"/>
    </row>
    <row r="681" spans="1:11" x14ac:dyDescent="0.25">
      <c r="A681" s="32" t="s">
        <v>732</v>
      </c>
      <c r="B681" s="33"/>
      <c r="C681" s="33"/>
      <c r="D681" s="33"/>
      <c r="E681" s="33"/>
      <c r="F681" s="33"/>
      <c r="G681" s="33"/>
      <c r="H681" s="33"/>
      <c r="I681" s="33"/>
      <c r="J681" s="33"/>
      <c r="K681" s="34"/>
    </row>
    <row r="683" spans="1:11" x14ac:dyDescent="0.25">
      <c r="A683" s="91" t="s">
        <v>14</v>
      </c>
      <c r="B683" s="102" t="s">
        <v>636</v>
      </c>
      <c r="C683" s="55" t="s">
        <v>15</v>
      </c>
    </row>
    <row r="684" spans="1:11" x14ac:dyDescent="0.25">
      <c r="A684" s="32" t="s">
        <v>16</v>
      </c>
      <c r="B684" s="101">
        <v>2014</v>
      </c>
      <c r="C684" s="51">
        <v>2015</v>
      </c>
      <c r="D684" s="51">
        <v>2016</v>
      </c>
      <c r="E684" s="51">
        <v>2017</v>
      </c>
      <c r="F684" s="51">
        <v>2018</v>
      </c>
      <c r="G684" s="51">
        <v>2019</v>
      </c>
      <c r="H684" s="51">
        <v>2020</v>
      </c>
      <c r="I684" s="51">
        <v>2021</v>
      </c>
      <c r="J684" s="51">
        <v>2022</v>
      </c>
      <c r="K684" s="51">
        <v>2023</v>
      </c>
    </row>
    <row r="685" spans="1:11" x14ac:dyDescent="0.25">
      <c r="A685" s="46" t="s">
        <v>17</v>
      </c>
      <c r="B685" s="60">
        <v>6718</v>
      </c>
      <c r="C685" s="60">
        <v>6718</v>
      </c>
      <c r="D685" s="60">
        <v>6718</v>
      </c>
      <c r="E685" s="60">
        <v>6718</v>
      </c>
      <c r="F685" s="60">
        <v>6718</v>
      </c>
      <c r="G685" s="60">
        <v>6718</v>
      </c>
      <c r="H685" s="60">
        <v>6718</v>
      </c>
      <c r="I685" s="23">
        <v>6718</v>
      </c>
      <c r="J685" s="23">
        <v>6718</v>
      </c>
      <c r="K685" s="23">
        <v>6717.33</v>
      </c>
    </row>
    <row r="686" spans="1:11" x14ac:dyDescent="0.25">
      <c r="A686" s="46" t="s">
        <v>18</v>
      </c>
      <c r="B686" s="60">
        <v>7887.5</v>
      </c>
      <c r="C686" s="60">
        <v>7897.5</v>
      </c>
      <c r="D686" s="60">
        <v>7390.7</v>
      </c>
      <c r="E686" s="60">
        <v>7425.7</v>
      </c>
      <c r="F686" s="60">
        <v>7385.7</v>
      </c>
      <c r="G686" s="60">
        <v>7385.7</v>
      </c>
      <c r="H686" s="60">
        <f>H685+F685*0.15-100-40</f>
        <v>7585.7</v>
      </c>
      <c r="I686" s="60">
        <f>I685+0.15*G685-40-200-0.67</f>
        <v>7485.03</v>
      </c>
      <c r="J686" s="60">
        <f>J685+0.15*H685-40-250-0.0001*J685</f>
        <v>7435.0281999999997</v>
      </c>
      <c r="K686" s="341">
        <f>K685+0.15*I685-327</f>
        <v>7398.03</v>
      </c>
    </row>
    <row r="687" spans="1:11" ht="39.6" x14ac:dyDescent="0.25">
      <c r="A687" s="46" t="s">
        <v>19</v>
      </c>
      <c r="B687" s="61" t="s">
        <v>53</v>
      </c>
      <c r="C687" s="61" t="s">
        <v>54</v>
      </c>
      <c r="D687" s="61" t="s">
        <v>55</v>
      </c>
      <c r="E687" s="127" t="s">
        <v>56</v>
      </c>
      <c r="F687" s="127" t="s">
        <v>57</v>
      </c>
      <c r="G687" s="127" t="s">
        <v>58</v>
      </c>
      <c r="H687" s="127" t="s">
        <v>524</v>
      </c>
      <c r="I687" s="87" t="s">
        <v>525</v>
      </c>
      <c r="J687" s="87" t="s">
        <v>650</v>
      </c>
      <c r="K687" s="628" t="s">
        <v>939</v>
      </c>
    </row>
    <row r="688" spans="1:11" s="41" customFormat="1" x14ac:dyDescent="0.25">
      <c r="A688" s="128" t="s">
        <v>20</v>
      </c>
      <c r="B688" s="23">
        <v>5020.43</v>
      </c>
      <c r="C688" s="23">
        <v>5449.08</v>
      </c>
      <c r="D688" s="23">
        <v>5765.63</v>
      </c>
      <c r="E688" s="23">
        <v>5573.6610000000001</v>
      </c>
      <c r="F688" s="23">
        <v>4966.4159999999993</v>
      </c>
      <c r="G688" s="23">
        <v>5740.2240000000002</v>
      </c>
      <c r="H688" s="23">
        <v>5960.2599999999993</v>
      </c>
      <c r="I688" s="23">
        <v>5522.9264400000002</v>
      </c>
      <c r="J688" s="23">
        <v>5527.68</v>
      </c>
      <c r="K688" s="23"/>
    </row>
    <row r="689" spans="1:14" x14ac:dyDescent="0.25">
      <c r="A689" s="46" t="s">
        <v>21</v>
      </c>
      <c r="B689" s="23">
        <v>2867.0699999999997</v>
      </c>
      <c r="C689" s="23">
        <v>2448.42</v>
      </c>
      <c r="D689" s="23">
        <v>1625.0699999999997</v>
      </c>
      <c r="E689" s="23">
        <v>1852.039</v>
      </c>
      <c r="F689" s="23">
        <v>2419.2840000000006</v>
      </c>
      <c r="G689" s="23">
        <v>1645.4759999999997</v>
      </c>
      <c r="H689" s="23">
        <f>H686-H688</f>
        <v>1625.4400000000005</v>
      </c>
      <c r="I689" s="23">
        <f>I686-I688</f>
        <v>1962.1035599999996</v>
      </c>
      <c r="J689" s="23">
        <f>J686-J688</f>
        <v>1907.3481999999995</v>
      </c>
      <c r="K689" s="23"/>
    </row>
    <row r="690" spans="1:14" x14ac:dyDescent="0.25">
      <c r="A690" s="49" t="s">
        <v>22</v>
      </c>
      <c r="B690" s="57">
        <v>2016</v>
      </c>
      <c r="C690" s="57">
        <v>2017</v>
      </c>
      <c r="D690" s="57">
        <v>2018</v>
      </c>
      <c r="E690" s="57">
        <v>2019</v>
      </c>
      <c r="F690" s="57">
        <v>2020</v>
      </c>
      <c r="G690" s="57">
        <v>2021</v>
      </c>
      <c r="H690" s="57">
        <v>2022</v>
      </c>
      <c r="I690" s="57">
        <v>2023</v>
      </c>
      <c r="J690" s="57">
        <v>2024</v>
      </c>
      <c r="K690" s="57">
        <v>2025</v>
      </c>
    </row>
    <row r="691" spans="1:14" x14ac:dyDescent="0.25">
      <c r="A691" s="49" t="s">
        <v>486</v>
      </c>
      <c r="B691" s="86"/>
      <c r="C691" s="86"/>
      <c r="D691" s="86"/>
      <c r="E691" s="86"/>
      <c r="F691" s="86"/>
      <c r="G691" s="86"/>
      <c r="H691" s="86"/>
      <c r="I691" s="86"/>
      <c r="J691" s="30"/>
      <c r="K691" s="31"/>
    </row>
    <row r="692" spans="1:14" x14ac:dyDescent="0.25">
      <c r="A692" s="20" t="s">
        <v>526</v>
      </c>
      <c r="B692" s="18"/>
      <c r="C692" s="18"/>
      <c r="D692" s="18"/>
      <c r="E692" s="18"/>
      <c r="F692" s="18"/>
      <c r="G692" s="18"/>
      <c r="H692" s="18"/>
      <c r="I692" s="18"/>
      <c r="K692" s="21"/>
    </row>
    <row r="693" spans="1:14" x14ac:dyDescent="0.25">
      <c r="A693" s="220" t="s">
        <v>487</v>
      </c>
      <c r="B693" s="360"/>
      <c r="C693" s="360"/>
      <c r="D693" s="360"/>
      <c r="E693" s="360"/>
      <c r="F693" s="360"/>
      <c r="G693" s="360"/>
      <c r="H693" s="360"/>
      <c r="I693" s="360"/>
      <c r="J693" s="221"/>
      <c r="K693" s="222"/>
      <c r="L693" s="221"/>
      <c r="M693" s="221"/>
      <c r="N693" s="221"/>
    </row>
    <row r="694" spans="1:14" x14ac:dyDescent="0.25">
      <c r="A694" s="220" t="s">
        <v>527</v>
      </c>
      <c r="B694" s="360"/>
      <c r="C694" s="360"/>
      <c r="D694" s="360"/>
      <c r="E694" s="360"/>
      <c r="F694" s="360"/>
      <c r="G694" s="360"/>
      <c r="H694" s="360"/>
      <c r="I694" s="360"/>
      <c r="J694" s="221"/>
      <c r="K694" s="222"/>
      <c r="L694" s="221"/>
      <c r="M694" s="221"/>
      <c r="N694" s="221"/>
    </row>
    <row r="695" spans="1:14" x14ac:dyDescent="0.25">
      <c r="A695" s="220" t="s">
        <v>488</v>
      </c>
      <c r="B695" s="360"/>
      <c r="C695" s="360"/>
      <c r="D695" s="360"/>
      <c r="E695" s="360"/>
      <c r="F695" s="360"/>
      <c r="G695" s="360"/>
      <c r="H695" s="360"/>
      <c r="I695" s="360"/>
      <c r="J695" s="221"/>
      <c r="K695" s="222"/>
      <c r="L695" s="221"/>
      <c r="M695" s="221"/>
      <c r="N695" s="221"/>
    </row>
    <row r="696" spans="1:14" x14ac:dyDescent="0.25">
      <c r="A696" s="220" t="s">
        <v>490</v>
      </c>
      <c r="B696" s="360"/>
      <c r="C696" s="360"/>
      <c r="D696" s="360"/>
      <c r="E696" s="360"/>
      <c r="F696" s="360"/>
      <c r="G696" s="360"/>
      <c r="H696" s="360"/>
      <c r="I696" s="360"/>
      <c r="J696" s="221"/>
      <c r="K696" s="222"/>
      <c r="L696" s="221"/>
      <c r="M696" s="221"/>
      <c r="N696" s="221"/>
    </row>
    <row r="697" spans="1:14" x14ac:dyDescent="0.25">
      <c r="A697" s="220" t="s">
        <v>489</v>
      </c>
      <c r="B697" s="360"/>
      <c r="C697" s="360"/>
      <c r="D697" s="360"/>
      <c r="E697" s="360"/>
      <c r="F697" s="360"/>
      <c r="G697" s="360"/>
      <c r="H697" s="360"/>
      <c r="I697" s="360"/>
      <c r="J697" s="221"/>
      <c r="K697" s="222"/>
      <c r="L697" s="221"/>
      <c r="M697" s="221"/>
      <c r="N697" s="221"/>
    </row>
    <row r="698" spans="1:14" ht="44.25" customHeight="1" x14ac:dyDescent="0.25">
      <c r="A698" s="717" t="s">
        <v>649</v>
      </c>
      <c r="B698" s="718"/>
      <c r="C698" s="718"/>
      <c r="D698" s="718"/>
      <c r="E698" s="718"/>
      <c r="F698" s="718"/>
      <c r="G698" s="718"/>
      <c r="H698" s="718"/>
      <c r="I698" s="718"/>
      <c r="J698" s="718"/>
      <c r="K698" s="222"/>
      <c r="L698" s="221"/>
      <c r="M698" s="221"/>
      <c r="N698" s="221"/>
    </row>
    <row r="699" spans="1:14" x14ac:dyDescent="0.25">
      <c r="A699" s="627" t="s">
        <v>938</v>
      </c>
      <c r="B699" s="592"/>
      <c r="C699" s="592"/>
      <c r="D699" s="592"/>
      <c r="E699" s="592"/>
      <c r="F699" s="592"/>
      <c r="G699" s="592"/>
      <c r="H699" s="592"/>
      <c r="I699" s="592"/>
      <c r="J699" s="223"/>
      <c r="K699" s="224"/>
      <c r="L699" s="221"/>
      <c r="M699" s="221"/>
      <c r="N699" s="221"/>
    </row>
    <row r="700" spans="1:14" x14ac:dyDescent="0.25">
      <c r="A700" s="221"/>
      <c r="B700" s="221"/>
      <c r="C700" s="221"/>
      <c r="D700" s="221"/>
      <c r="E700" s="221"/>
      <c r="F700" s="221"/>
      <c r="G700" s="221"/>
      <c r="H700" s="221"/>
      <c r="I700" s="221"/>
      <c r="J700" s="221"/>
      <c r="K700" s="221"/>
      <c r="L700" s="221"/>
      <c r="M700" s="221"/>
      <c r="N700" s="221"/>
    </row>
    <row r="701" spans="1:14" x14ac:dyDescent="0.25">
      <c r="A701" s="260" t="s">
        <v>14</v>
      </c>
      <c r="B701" s="276" t="s">
        <v>654</v>
      </c>
      <c r="C701" s="274" t="s">
        <v>15</v>
      </c>
      <c r="D701" s="221"/>
      <c r="E701" s="221"/>
      <c r="F701" s="221"/>
      <c r="G701" s="221"/>
      <c r="H701" s="221"/>
      <c r="I701" s="221"/>
      <c r="J701" s="221"/>
      <c r="K701" s="221"/>
      <c r="L701" s="221"/>
      <c r="M701" s="221"/>
      <c r="N701" s="221"/>
    </row>
    <row r="702" spans="1:14" x14ac:dyDescent="0.25">
      <c r="A702" s="211" t="s">
        <v>16</v>
      </c>
      <c r="B702" s="342">
        <v>2014</v>
      </c>
      <c r="C702" s="212">
        <v>2015</v>
      </c>
      <c r="D702" s="212">
        <v>2016</v>
      </c>
      <c r="E702" s="212">
        <v>2017</v>
      </c>
      <c r="F702" s="212">
        <v>2018</v>
      </c>
      <c r="G702" s="212">
        <v>2019</v>
      </c>
      <c r="H702" s="212">
        <v>2020</v>
      </c>
      <c r="I702" s="212">
        <v>2021</v>
      </c>
      <c r="J702" s="212">
        <v>2022</v>
      </c>
      <c r="K702" s="212">
        <v>2023</v>
      </c>
      <c r="L702" s="221"/>
      <c r="M702" s="221"/>
      <c r="N702" s="221"/>
    </row>
    <row r="703" spans="1:14" x14ac:dyDescent="0.25">
      <c r="A703" s="263" t="s">
        <v>17</v>
      </c>
      <c r="B703" s="343">
        <v>4824</v>
      </c>
      <c r="C703" s="343">
        <v>4824</v>
      </c>
      <c r="D703" s="343">
        <v>4824</v>
      </c>
      <c r="E703" s="343">
        <v>4824</v>
      </c>
      <c r="F703" s="343">
        <v>4824</v>
      </c>
      <c r="G703" s="343">
        <v>4824</v>
      </c>
      <c r="H703" s="343">
        <v>4824</v>
      </c>
      <c r="I703" s="343">
        <v>4824</v>
      </c>
      <c r="J703" s="343">
        <v>4824</v>
      </c>
      <c r="K703" s="343">
        <v>4824</v>
      </c>
      <c r="L703" s="221"/>
      <c r="M703" s="221"/>
      <c r="N703" s="221"/>
    </row>
    <row r="704" spans="1:14" x14ac:dyDescent="0.25">
      <c r="A704" s="263" t="s">
        <v>18</v>
      </c>
      <c r="B704" s="343">
        <v>5141.7</v>
      </c>
      <c r="C704" s="343">
        <v>5695.4</v>
      </c>
      <c r="D704" s="343">
        <v>5601.06</v>
      </c>
      <c r="E704" s="343">
        <v>5224.38</v>
      </c>
      <c r="F704" s="343">
        <v>4963.5200000000004</v>
      </c>
      <c r="G704" s="343">
        <v>4928.1499999999996</v>
      </c>
      <c r="H704" s="343">
        <v>5011.2030000000004</v>
      </c>
      <c r="I704" s="343">
        <f>I703+G707</f>
        <v>5243.19</v>
      </c>
      <c r="J704" s="343">
        <f>J703+H707</f>
        <v>5085.0014400000018</v>
      </c>
      <c r="K704" s="343">
        <f>K703+0.1*I703</f>
        <v>5306.4</v>
      </c>
      <c r="L704" s="221"/>
      <c r="M704" s="221"/>
      <c r="N704" s="221"/>
    </row>
    <row r="705" spans="1:14" ht="26.4" x14ac:dyDescent="0.25">
      <c r="A705" s="263" t="s">
        <v>19</v>
      </c>
      <c r="B705" s="345" t="s">
        <v>59</v>
      </c>
      <c r="C705" s="345" t="s">
        <v>60</v>
      </c>
      <c r="D705" s="345" t="s">
        <v>61</v>
      </c>
      <c r="E705" s="346" t="s">
        <v>62</v>
      </c>
      <c r="F705" s="346" t="s">
        <v>63</v>
      </c>
      <c r="G705" s="346" t="s">
        <v>64</v>
      </c>
      <c r="H705" s="346" t="s">
        <v>65</v>
      </c>
      <c r="I705" s="243" t="s">
        <v>265</v>
      </c>
      <c r="J705" s="243" t="s">
        <v>494</v>
      </c>
      <c r="K705" s="243" t="s">
        <v>926</v>
      </c>
      <c r="L705" s="221"/>
      <c r="M705" s="221"/>
      <c r="N705" s="221"/>
    </row>
    <row r="706" spans="1:14" s="41" customFormat="1" x14ac:dyDescent="0.25">
      <c r="A706" s="347" t="s">
        <v>20</v>
      </c>
      <c r="B706" s="215">
        <v>4364.6400000000003</v>
      </c>
      <c r="C706" s="215">
        <v>5295.02</v>
      </c>
      <c r="D706" s="215">
        <v>5461.54</v>
      </c>
      <c r="E706" s="215">
        <v>5120.2</v>
      </c>
      <c r="F706" s="215">
        <v>4776.317</v>
      </c>
      <c r="G706" s="215">
        <v>4508.96</v>
      </c>
      <c r="H706" s="215">
        <v>4750.2015599999986</v>
      </c>
      <c r="I706" s="215">
        <v>4695.1249299999999</v>
      </c>
      <c r="J706" s="215">
        <v>3802.12</v>
      </c>
      <c r="K706" s="215"/>
      <c r="L706" s="395"/>
      <c r="M706" s="395"/>
      <c r="N706" s="395"/>
    </row>
    <row r="707" spans="1:14" x14ac:dyDescent="0.25">
      <c r="A707" s="263" t="s">
        <v>21</v>
      </c>
      <c r="B707" s="215">
        <v>777.06</v>
      </c>
      <c r="C707" s="215">
        <v>400.38</v>
      </c>
      <c r="D707" s="215">
        <v>139.52000000000001</v>
      </c>
      <c r="E707" s="215">
        <v>104.2</v>
      </c>
      <c r="F707" s="215">
        <v>187.20300000000043</v>
      </c>
      <c r="G707" s="215">
        <v>419.1899999999996</v>
      </c>
      <c r="H707" s="215">
        <v>261.00144000000182</v>
      </c>
      <c r="I707" s="215">
        <f>I704-I706</f>
        <v>548.06506999999965</v>
      </c>
      <c r="J707" s="215">
        <f>J704-J706</f>
        <v>1282.8814400000019</v>
      </c>
      <c r="K707" s="226"/>
      <c r="L707" s="221"/>
      <c r="M707" s="221"/>
      <c r="N707" s="221"/>
    </row>
    <row r="708" spans="1:14" x14ac:dyDescent="0.25">
      <c r="A708" s="218" t="s">
        <v>22</v>
      </c>
      <c r="B708" s="244">
        <v>2016</v>
      </c>
      <c r="C708" s="244">
        <v>2017</v>
      </c>
      <c r="D708" s="244">
        <v>2018</v>
      </c>
      <c r="E708" s="244">
        <v>2019</v>
      </c>
      <c r="F708" s="244">
        <v>2020</v>
      </c>
      <c r="G708" s="244">
        <v>2021</v>
      </c>
      <c r="H708" s="244">
        <v>2022</v>
      </c>
      <c r="I708" s="244">
        <v>2023</v>
      </c>
      <c r="J708" s="244">
        <v>2024</v>
      </c>
      <c r="K708" s="244">
        <v>2024</v>
      </c>
      <c r="L708" s="221"/>
      <c r="M708" s="221"/>
      <c r="N708" s="221"/>
    </row>
    <row r="709" spans="1:14" x14ac:dyDescent="0.25">
      <c r="A709" s="218" t="s">
        <v>491</v>
      </c>
      <c r="B709" s="348"/>
      <c r="C709" s="348"/>
      <c r="D709" s="348"/>
      <c r="E709" s="348"/>
      <c r="F709" s="348"/>
      <c r="G709" s="348"/>
      <c r="H709" s="348"/>
      <c r="I709" s="348"/>
      <c r="J709" s="219"/>
      <c r="K709" s="217"/>
      <c r="L709" s="221"/>
      <c r="M709" s="221"/>
      <c r="N709" s="221"/>
    </row>
    <row r="710" spans="1:14" x14ac:dyDescent="0.25">
      <c r="A710" s="220" t="s">
        <v>492</v>
      </c>
      <c r="B710" s="349"/>
      <c r="C710" s="349"/>
      <c r="D710" s="349"/>
      <c r="E710" s="349"/>
      <c r="F710" s="349"/>
      <c r="G710" s="349"/>
      <c r="H710" s="349"/>
      <c r="I710" s="349"/>
      <c r="J710" s="221"/>
      <c r="K710" s="222"/>
      <c r="L710" s="221"/>
      <c r="M710" s="221"/>
      <c r="N710" s="221"/>
    </row>
    <row r="711" spans="1:14" x14ac:dyDescent="0.25">
      <c r="A711" s="220" t="s">
        <v>493</v>
      </c>
      <c r="B711" s="349"/>
      <c r="C711" s="349"/>
      <c r="D711" s="349"/>
      <c r="E711" s="349"/>
      <c r="F711" s="349"/>
      <c r="G711" s="349"/>
      <c r="H711" s="349"/>
      <c r="I711" s="349"/>
      <c r="J711" s="221"/>
      <c r="K711" s="222"/>
      <c r="L711" s="221"/>
      <c r="M711" s="221"/>
      <c r="N711" s="221"/>
    </row>
    <row r="712" spans="1:14" x14ac:dyDescent="0.25">
      <c r="A712" s="734" t="s">
        <v>925</v>
      </c>
      <c r="B712" s="735"/>
      <c r="C712" s="735"/>
      <c r="D712" s="735"/>
      <c r="E712" s="735"/>
      <c r="F712" s="735"/>
      <c r="G712" s="735"/>
      <c r="H712" s="735"/>
      <c r="I712" s="735"/>
      <c r="J712" s="735"/>
      <c r="K712" s="224"/>
      <c r="L712" s="221"/>
      <c r="M712" s="221"/>
      <c r="N712" s="221"/>
    </row>
    <row r="713" spans="1:14" customFormat="1" ht="14.4" x14ac:dyDescent="0.3">
      <c r="A713" s="221"/>
      <c r="B713" s="221"/>
      <c r="C713" s="221"/>
      <c r="D713" s="221"/>
      <c r="E713" s="221"/>
      <c r="F713" s="221"/>
      <c r="G713" s="221"/>
      <c r="H713" s="221"/>
      <c r="I713" s="221"/>
      <c r="J713" s="221"/>
      <c r="K713" s="221"/>
      <c r="L713" s="569"/>
      <c r="M713" s="569"/>
      <c r="N713" s="569"/>
    </row>
    <row r="714" spans="1:14" customFormat="1" ht="14.4" x14ac:dyDescent="0.3">
      <c r="A714" s="260" t="s">
        <v>14</v>
      </c>
      <c r="B714" s="276" t="s">
        <v>655</v>
      </c>
      <c r="C714" s="274" t="s">
        <v>15</v>
      </c>
      <c r="D714" s="221"/>
      <c r="E714" s="221"/>
      <c r="F714" s="221"/>
      <c r="G714" s="221"/>
      <c r="H714" s="221"/>
      <c r="I714" s="221"/>
      <c r="J714" s="221"/>
      <c r="K714" s="221"/>
      <c r="L714" s="569"/>
      <c r="M714" s="569"/>
      <c r="N714" s="569"/>
    </row>
    <row r="715" spans="1:14" customFormat="1" ht="14.4" x14ac:dyDescent="0.3">
      <c r="A715" s="211" t="s">
        <v>16</v>
      </c>
      <c r="B715" s="342">
        <v>2020</v>
      </c>
      <c r="C715" s="212">
        <v>2021</v>
      </c>
      <c r="D715" s="212">
        <v>2022</v>
      </c>
      <c r="E715" s="212">
        <v>2023</v>
      </c>
      <c r="F715" s="212"/>
      <c r="G715" s="212"/>
      <c r="H715" s="212"/>
      <c r="I715" s="212"/>
      <c r="J715" s="212"/>
      <c r="K715" s="221"/>
      <c r="L715" s="569"/>
      <c r="M715" s="569"/>
      <c r="N715" s="569"/>
    </row>
    <row r="716" spans="1:14" customFormat="1" ht="14.4" x14ac:dyDescent="0.3">
      <c r="A716" s="263" t="s">
        <v>17</v>
      </c>
      <c r="B716" s="351">
        <v>19460</v>
      </c>
      <c r="C716" s="351">
        <v>19460</v>
      </c>
      <c r="D716" s="351">
        <v>19460</v>
      </c>
      <c r="E716" s="343">
        <v>21503</v>
      </c>
      <c r="F716" s="343"/>
      <c r="G716" s="343"/>
      <c r="H716" s="344"/>
      <c r="I716" s="226"/>
      <c r="J716" s="226"/>
      <c r="K716" s="221"/>
      <c r="L716" s="569"/>
      <c r="M716" s="569"/>
      <c r="N716" s="569"/>
    </row>
    <row r="717" spans="1:14" customFormat="1" ht="14.4" x14ac:dyDescent="0.3">
      <c r="A717" s="263" t="s">
        <v>18</v>
      </c>
      <c r="B717" s="343"/>
      <c r="C717" s="343">
        <f>C716+B720-48.4</f>
        <v>19737.565544000001</v>
      </c>
      <c r="D717" s="215">
        <f>D716+B720-19360*0.0025</f>
        <v>19737.565544000001</v>
      </c>
      <c r="E717" s="343">
        <f>E716+D720</f>
        <v>22289.665543999999</v>
      </c>
      <c r="F717" s="343"/>
      <c r="G717" s="343"/>
      <c r="H717" s="343"/>
      <c r="I717" s="215"/>
      <c r="J717" s="215"/>
      <c r="K717" s="221"/>
      <c r="L717" s="569"/>
      <c r="M717" s="569"/>
      <c r="N717" s="569"/>
    </row>
    <row r="718" spans="1:14" customFormat="1" ht="27" x14ac:dyDescent="0.3">
      <c r="A718" s="263" t="s">
        <v>19</v>
      </c>
      <c r="B718" s="346"/>
      <c r="C718" s="243" t="s">
        <v>920</v>
      </c>
      <c r="D718" s="352" t="s">
        <v>921</v>
      </c>
      <c r="E718" s="346" t="s">
        <v>933</v>
      </c>
      <c r="F718" s="346"/>
      <c r="G718" s="346"/>
      <c r="H718" s="346"/>
      <c r="I718" s="243"/>
      <c r="J718" s="243"/>
      <c r="K718" s="221"/>
      <c r="L718" s="569"/>
      <c r="M718" s="569"/>
      <c r="N718" s="569"/>
    </row>
    <row r="719" spans="1:14" customFormat="1" ht="14.4" x14ac:dyDescent="0.3">
      <c r="A719" s="347" t="s">
        <v>20</v>
      </c>
      <c r="B719" s="215">
        <v>19134.034455999998</v>
      </c>
      <c r="C719" s="215">
        <v>19163.665450999997</v>
      </c>
      <c r="D719" s="215">
        <v>18950.900000000001</v>
      </c>
      <c r="E719" s="215"/>
      <c r="F719" s="215"/>
      <c r="G719" s="215"/>
      <c r="H719" s="215"/>
      <c r="I719" s="215"/>
      <c r="J719" s="215"/>
      <c r="K719" s="221"/>
      <c r="L719" s="569"/>
      <c r="M719" s="569"/>
      <c r="N719" s="569"/>
    </row>
    <row r="720" spans="1:14" customFormat="1" ht="14.4" x14ac:dyDescent="0.3">
      <c r="A720" s="347" t="s">
        <v>21</v>
      </c>
      <c r="B720" s="215">
        <f>B716-B719</f>
        <v>325.96554400000241</v>
      </c>
      <c r="C720" s="215">
        <f>C717-C719</f>
        <v>573.90009300000384</v>
      </c>
      <c r="D720" s="215">
        <f>D717-D719</f>
        <v>786.6655439999995</v>
      </c>
      <c r="E720" s="215"/>
      <c r="F720" s="215"/>
      <c r="G720" s="215"/>
      <c r="H720" s="215"/>
      <c r="I720" s="215"/>
      <c r="J720" s="215"/>
      <c r="K720" s="221"/>
      <c r="L720" s="569"/>
      <c r="M720" s="569"/>
      <c r="N720" s="569"/>
    </row>
    <row r="721" spans="1:14" customFormat="1" ht="14.4" x14ac:dyDescent="0.3">
      <c r="A721" s="218" t="s">
        <v>22</v>
      </c>
      <c r="B721" s="244">
        <v>2021</v>
      </c>
      <c r="C721" s="244">
        <v>2022</v>
      </c>
      <c r="D721" s="244">
        <v>2023</v>
      </c>
      <c r="E721" s="593"/>
      <c r="F721" s="593"/>
      <c r="G721" s="593"/>
      <c r="H721" s="593"/>
      <c r="I721" s="593"/>
      <c r="J721" s="593"/>
      <c r="K721" s="221"/>
      <c r="L721" s="569"/>
      <c r="M721" s="569"/>
      <c r="N721" s="569"/>
    </row>
    <row r="722" spans="1:14" customFormat="1" ht="14.4" x14ac:dyDescent="0.3">
      <c r="A722" s="218" t="s">
        <v>919</v>
      </c>
      <c r="B722" s="348"/>
      <c r="C722" s="348"/>
      <c r="D722" s="348"/>
      <c r="E722" s="348"/>
      <c r="F722" s="348"/>
      <c r="G722" s="348"/>
      <c r="H722" s="348"/>
      <c r="I722" s="348"/>
      <c r="J722" s="353"/>
      <c r="K722" s="221"/>
      <c r="L722" s="569"/>
      <c r="M722" s="569"/>
      <c r="N722" s="569"/>
    </row>
    <row r="723" spans="1:14" customFormat="1" ht="14.4" x14ac:dyDescent="0.3">
      <c r="A723" s="220" t="s">
        <v>922</v>
      </c>
      <c r="B723" s="349"/>
      <c r="C723" s="349"/>
      <c r="D723" s="349"/>
      <c r="E723" s="349"/>
      <c r="F723" s="349"/>
      <c r="G723" s="349"/>
      <c r="H723" s="349"/>
      <c r="I723" s="349"/>
      <c r="J723" s="354"/>
      <c r="K723" s="221"/>
      <c r="L723" s="569"/>
      <c r="M723" s="569"/>
      <c r="N723" s="569"/>
    </row>
    <row r="724" spans="1:14" customFormat="1" ht="14.4" x14ac:dyDescent="0.3">
      <c r="A724" s="220" t="s">
        <v>502</v>
      </c>
      <c r="B724" s="349"/>
      <c r="C724" s="349"/>
      <c r="D724" s="349"/>
      <c r="E724" s="349"/>
      <c r="F724" s="349"/>
      <c r="G724" s="349"/>
      <c r="H724" s="349"/>
      <c r="I724" s="349"/>
      <c r="J724" s="354"/>
      <c r="K724" s="221"/>
      <c r="L724" s="569"/>
      <c r="M724" s="569"/>
      <c r="N724" s="569"/>
    </row>
    <row r="725" spans="1:14" customFormat="1" ht="14.4" x14ac:dyDescent="0.3">
      <c r="A725" s="220" t="s">
        <v>503</v>
      </c>
      <c r="B725" s="349"/>
      <c r="C725" s="349"/>
      <c r="D725" s="349"/>
      <c r="E725" s="349"/>
      <c r="F725" s="349"/>
      <c r="G725" s="349"/>
      <c r="H725" s="349"/>
      <c r="I725" s="349"/>
      <c r="J725" s="354"/>
      <c r="K725" s="221"/>
      <c r="L725" s="569"/>
      <c r="M725" s="569"/>
      <c r="N725" s="569"/>
    </row>
    <row r="726" spans="1:14" customFormat="1" ht="14.4" x14ac:dyDescent="0.3">
      <c r="A726" s="220" t="s">
        <v>923</v>
      </c>
      <c r="B726" s="349"/>
      <c r="C726" s="349"/>
      <c r="D726" s="349"/>
      <c r="E726" s="349"/>
      <c r="F726" s="349"/>
      <c r="G726" s="349"/>
      <c r="H726" s="349"/>
      <c r="I726" s="349"/>
      <c r="J726" s="354"/>
      <c r="K726" s="221"/>
      <c r="L726" s="569"/>
      <c r="M726" s="569"/>
      <c r="N726" s="569"/>
    </row>
    <row r="727" spans="1:14" customFormat="1" ht="14.4" x14ac:dyDescent="0.3">
      <c r="A727" s="594" t="s">
        <v>932</v>
      </c>
      <c r="B727" s="595"/>
      <c r="C727" s="595"/>
      <c r="D727" s="595"/>
      <c r="E727" s="595"/>
      <c r="F727" s="595"/>
      <c r="G727" s="595"/>
      <c r="H727" s="595"/>
      <c r="I727" s="595"/>
      <c r="J727" s="596"/>
      <c r="K727" s="221"/>
      <c r="L727" s="569"/>
      <c r="M727" s="569"/>
      <c r="N727" s="569"/>
    </row>
    <row r="728" spans="1:14" x14ac:dyDescent="0.25">
      <c r="A728" s="221"/>
      <c r="B728" s="221"/>
      <c r="C728" s="221"/>
      <c r="D728" s="221"/>
      <c r="E728" s="221"/>
      <c r="F728" s="221"/>
      <c r="G728" s="221"/>
      <c r="H728" s="221"/>
      <c r="I728" s="221"/>
      <c r="J728" s="221"/>
      <c r="K728" s="221"/>
      <c r="L728" s="221"/>
      <c r="M728" s="221"/>
      <c r="N728" s="221"/>
    </row>
    <row r="729" spans="1:14" x14ac:dyDescent="0.25">
      <c r="A729" s="260" t="s">
        <v>14</v>
      </c>
      <c r="B729" s="276" t="s">
        <v>66</v>
      </c>
      <c r="C729" s="274" t="s">
        <v>15</v>
      </c>
      <c r="D729" s="221"/>
      <c r="E729" s="221"/>
      <c r="F729" s="221"/>
      <c r="G729" s="221"/>
      <c r="H729" s="221"/>
      <c r="I729" s="221"/>
      <c r="J729" s="221"/>
      <c r="K729" s="221"/>
      <c r="L729" s="221"/>
      <c r="M729" s="221"/>
      <c r="N729" s="221"/>
    </row>
    <row r="730" spans="1:14" x14ac:dyDescent="0.25">
      <c r="A730" s="211" t="s">
        <v>16</v>
      </c>
      <c r="B730" s="342">
        <v>2014</v>
      </c>
      <c r="C730" s="212">
        <v>2015</v>
      </c>
      <c r="D730" s="212">
        <v>2016</v>
      </c>
      <c r="E730" s="212">
        <v>2017</v>
      </c>
      <c r="F730" s="212">
        <v>2018</v>
      </c>
      <c r="G730" s="212">
        <v>2019</v>
      </c>
      <c r="H730" s="212">
        <v>2020</v>
      </c>
      <c r="I730" s="212">
        <v>2021</v>
      </c>
      <c r="J730" s="212">
        <v>2022</v>
      </c>
      <c r="K730" s="212">
        <v>2023</v>
      </c>
      <c r="L730" s="221"/>
      <c r="M730" s="221"/>
      <c r="N730" s="221"/>
    </row>
    <row r="731" spans="1:14" x14ac:dyDescent="0.25">
      <c r="A731" s="263" t="s">
        <v>17</v>
      </c>
      <c r="B731" s="343">
        <v>22667</v>
      </c>
      <c r="C731" s="343">
        <v>22667</v>
      </c>
      <c r="D731" s="343">
        <v>16989</v>
      </c>
      <c r="E731" s="343">
        <v>16989</v>
      </c>
      <c r="F731" s="343">
        <v>16989</v>
      </c>
      <c r="G731" s="343">
        <v>16989</v>
      </c>
      <c r="H731" s="344">
        <v>13421.3</v>
      </c>
      <c r="I731" s="226">
        <v>13206.57</v>
      </c>
      <c r="J731" s="226">
        <v>13313.94</v>
      </c>
      <c r="K731" s="226">
        <v>13313.94</v>
      </c>
      <c r="L731" s="221"/>
      <c r="M731" s="221"/>
      <c r="N731" s="221"/>
    </row>
    <row r="732" spans="1:14" x14ac:dyDescent="0.25">
      <c r="A732" s="263" t="s">
        <v>18</v>
      </c>
      <c r="B732" s="343">
        <v>29467.1</v>
      </c>
      <c r="C732" s="343">
        <v>29467.1</v>
      </c>
      <c r="D732" s="343">
        <v>23789.1</v>
      </c>
      <c r="E732" s="343">
        <v>20389.099999999999</v>
      </c>
      <c r="F732" s="343">
        <v>19537.400000000001</v>
      </c>
      <c r="G732" s="343">
        <v>17157.5</v>
      </c>
      <c r="H732" s="343">
        <f>H731+F735+300</f>
        <v>15842.646000000001</v>
      </c>
      <c r="I732" s="215">
        <f>I731+G735</f>
        <v>13453.544999999998</v>
      </c>
      <c r="J732" s="215">
        <f>J731+0.1*H731</f>
        <v>14656.07</v>
      </c>
      <c r="K732" s="215">
        <f>K731+0.1*I731</f>
        <v>14634.597000000002</v>
      </c>
      <c r="L732" s="221"/>
      <c r="M732" s="221"/>
      <c r="N732" s="221"/>
    </row>
    <row r="733" spans="1:14" ht="26.4" x14ac:dyDescent="0.25">
      <c r="A733" s="263" t="s">
        <v>19</v>
      </c>
      <c r="B733" s="345" t="s">
        <v>67</v>
      </c>
      <c r="C733" s="345" t="s">
        <v>67</v>
      </c>
      <c r="D733" s="345" t="s">
        <v>68</v>
      </c>
      <c r="E733" s="346" t="s">
        <v>69</v>
      </c>
      <c r="F733" s="346" t="s">
        <v>70</v>
      </c>
      <c r="G733" s="346" t="s">
        <v>71</v>
      </c>
      <c r="H733" s="346" t="s">
        <v>266</v>
      </c>
      <c r="I733" s="243" t="s">
        <v>267</v>
      </c>
      <c r="J733" s="243" t="s">
        <v>591</v>
      </c>
      <c r="K733" s="243" t="s">
        <v>924</v>
      </c>
      <c r="L733" s="221"/>
      <c r="M733" s="221"/>
      <c r="N733" s="221"/>
    </row>
    <row r="734" spans="1:14" x14ac:dyDescent="0.25">
      <c r="A734" s="347" t="s">
        <v>20</v>
      </c>
      <c r="B734" s="215">
        <v>18152.900000000001</v>
      </c>
      <c r="C734" s="215">
        <v>15741.23</v>
      </c>
      <c r="D734" s="215">
        <v>18059.400000000001</v>
      </c>
      <c r="E734" s="215">
        <v>20220.53</v>
      </c>
      <c r="F734" s="215">
        <v>17416.054</v>
      </c>
      <c r="G734" s="215">
        <v>16910.525000000001</v>
      </c>
      <c r="H734" s="215">
        <v>11285.478270000007</v>
      </c>
      <c r="I734" s="215">
        <v>11445.933670000008</v>
      </c>
      <c r="J734" s="215">
        <v>12588.91</v>
      </c>
      <c r="K734" s="215"/>
      <c r="L734" s="221"/>
      <c r="M734" s="221"/>
      <c r="N734" s="221"/>
    </row>
    <row r="735" spans="1:14" x14ac:dyDescent="0.25">
      <c r="A735" s="540" t="s">
        <v>21</v>
      </c>
      <c r="B735" s="541">
        <v>11314.2</v>
      </c>
      <c r="C735" s="541">
        <v>13725.87</v>
      </c>
      <c r="D735" s="541">
        <v>5729.68</v>
      </c>
      <c r="E735" s="541">
        <v>168.52</v>
      </c>
      <c r="F735" s="541">
        <v>2121.3460000000014</v>
      </c>
      <c r="G735" s="541">
        <f>G732-G734</f>
        <v>246.97499999999854</v>
      </c>
      <c r="H735" s="541">
        <f>H732-H734</f>
        <v>4557.1677299999938</v>
      </c>
      <c r="I735" s="541">
        <f>I732-I734</f>
        <v>2007.6113299999906</v>
      </c>
      <c r="J735" s="541">
        <f>J732-J734</f>
        <v>2067.16</v>
      </c>
      <c r="K735" s="541"/>
      <c r="L735" s="221"/>
      <c r="M735" s="221"/>
      <c r="N735" s="221"/>
    </row>
    <row r="736" spans="1:14" x14ac:dyDescent="0.25">
      <c r="A736" s="226" t="s">
        <v>22</v>
      </c>
      <c r="B736" s="287">
        <v>2016</v>
      </c>
      <c r="C736" s="287">
        <v>2017</v>
      </c>
      <c r="D736" s="287">
        <v>2018</v>
      </c>
      <c r="E736" s="287">
        <v>2019</v>
      </c>
      <c r="F736" s="287" t="s">
        <v>72</v>
      </c>
      <c r="G736" s="287" t="s">
        <v>73</v>
      </c>
      <c r="H736" s="287">
        <v>2022</v>
      </c>
      <c r="I736" s="287">
        <v>2023</v>
      </c>
      <c r="J736" s="287">
        <v>2024</v>
      </c>
      <c r="K736" s="287"/>
      <c r="L736" s="221"/>
      <c r="M736" s="221"/>
      <c r="N736" s="221"/>
    </row>
    <row r="737" spans="1:14" x14ac:dyDescent="0.25">
      <c r="A737" s="218" t="s">
        <v>495</v>
      </c>
      <c r="B737" s="348"/>
      <c r="C737" s="348"/>
      <c r="D737" s="348"/>
      <c r="E737" s="348"/>
      <c r="F737" s="348"/>
      <c r="G737" s="348"/>
      <c r="H737" s="348"/>
      <c r="I737" s="348"/>
      <c r="J737" s="219"/>
      <c r="K737" s="217"/>
      <c r="L737" s="221"/>
      <c r="M737" s="221"/>
      <c r="N737" s="221"/>
    </row>
    <row r="738" spans="1:14" x14ac:dyDescent="0.25">
      <c r="A738" s="220" t="s">
        <v>496</v>
      </c>
      <c r="B738" s="349"/>
      <c r="C738" s="349"/>
      <c r="D738" s="349"/>
      <c r="E738" s="349"/>
      <c r="F738" s="349"/>
      <c r="G738" s="349"/>
      <c r="H738" s="349"/>
      <c r="I738" s="349"/>
      <c r="J738" s="221"/>
      <c r="K738" s="222"/>
      <c r="L738" s="221"/>
      <c r="M738" s="221"/>
      <c r="N738" s="221"/>
    </row>
    <row r="739" spans="1:14" ht="14.4" x14ac:dyDescent="0.25">
      <c r="A739" s="220" t="s">
        <v>755</v>
      </c>
      <c r="B739" s="349"/>
      <c r="C739" s="349"/>
      <c r="D739" s="349"/>
      <c r="E739" s="349"/>
      <c r="F739" s="349"/>
      <c r="G739" s="349"/>
      <c r="H739" s="349"/>
      <c r="I739" s="349"/>
      <c r="J739" s="221"/>
      <c r="K739" s="222"/>
      <c r="L739" s="221"/>
      <c r="M739" s="221"/>
      <c r="N739" s="221"/>
    </row>
    <row r="740" spans="1:14" x14ac:dyDescent="0.25">
      <c r="A740" s="211" t="s">
        <v>592</v>
      </c>
      <c r="B740" s="542"/>
      <c r="C740" s="542"/>
      <c r="D740" s="542"/>
      <c r="E740" s="542"/>
      <c r="F740" s="542"/>
      <c r="G740" s="542"/>
      <c r="H740" s="542"/>
      <c r="I740" s="542"/>
      <c r="J740" s="223"/>
      <c r="K740" s="224"/>
      <c r="L740" s="221"/>
      <c r="M740" s="221"/>
      <c r="N740" s="221"/>
    </row>
    <row r="741" spans="1:14" x14ac:dyDescent="0.25">
      <c r="A741" s="221"/>
      <c r="B741" s="368"/>
      <c r="C741" s="368"/>
      <c r="D741" s="368"/>
      <c r="E741" s="368"/>
      <c r="F741" s="368"/>
      <c r="G741" s="368"/>
      <c r="H741" s="368"/>
      <c r="I741" s="368"/>
      <c r="J741" s="221"/>
      <c r="K741" s="221"/>
      <c r="L741" s="221"/>
      <c r="M741" s="221"/>
      <c r="N741" s="221"/>
    </row>
    <row r="742" spans="1:14" x14ac:dyDescent="0.25">
      <c r="A742" s="221"/>
      <c r="B742" s="221"/>
      <c r="C742" s="221"/>
      <c r="D742" s="221"/>
      <c r="E742" s="221"/>
      <c r="F742" s="221"/>
      <c r="G742" s="221"/>
      <c r="H742" s="221"/>
      <c r="I742" s="221"/>
      <c r="J742" s="221"/>
      <c r="K742" s="221"/>
      <c r="L742" s="221"/>
      <c r="M742" s="221"/>
      <c r="N742" s="221"/>
    </row>
    <row r="743" spans="1:14" x14ac:dyDescent="0.25">
      <c r="A743" s="260" t="s">
        <v>14</v>
      </c>
      <c r="B743" s="276" t="s">
        <v>74</v>
      </c>
      <c r="C743" s="274" t="s">
        <v>15</v>
      </c>
      <c r="D743" s="221"/>
      <c r="E743" s="221"/>
      <c r="F743" s="221"/>
      <c r="G743" s="221"/>
      <c r="H743" s="221"/>
      <c r="I743" s="221"/>
      <c r="J743" s="221"/>
      <c r="K743" s="221"/>
      <c r="L743" s="221"/>
      <c r="M743" s="221"/>
      <c r="N743" s="221"/>
    </row>
    <row r="744" spans="1:14" x14ac:dyDescent="0.25">
      <c r="A744" s="211" t="s">
        <v>16</v>
      </c>
      <c r="B744" s="342">
        <v>2014</v>
      </c>
      <c r="C744" s="212">
        <v>2015</v>
      </c>
      <c r="D744" s="212">
        <v>2016</v>
      </c>
      <c r="E744" s="212">
        <v>2017</v>
      </c>
      <c r="F744" s="212">
        <v>2018</v>
      </c>
      <c r="G744" s="212">
        <v>2019</v>
      </c>
      <c r="H744" s="212">
        <v>2020</v>
      </c>
      <c r="I744" s="212">
        <v>2021</v>
      </c>
      <c r="J744" s="212">
        <v>2022</v>
      </c>
      <c r="K744" s="212">
        <v>2023</v>
      </c>
      <c r="L744" s="221"/>
      <c r="M744" s="221"/>
      <c r="N744" s="221"/>
    </row>
    <row r="745" spans="1:14" x14ac:dyDescent="0.25">
      <c r="A745" s="263" t="s">
        <v>17</v>
      </c>
      <c r="B745" s="343">
        <v>480</v>
      </c>
      <c r="C745" s="343">
        <v>480</v>
      </c>
      <c r="D745" s="343">
        <v>480</v>
      </c>
      <c r="E745" s="343">
        <v>480</v>
      </c>
      <c r="F745" s="343">
        <v>480</v>
      </c>
      <c r="G745" s="343">
        <v>480</v>
      </c>
      <c r="H745" s="351">
        <v>403.8</v>
      </c>
      <c r="I745" s="226">
        <v>403.8</v>
      </c>
      <c r="J745" s="226">
        <v>403.8</v>
      </c>
      <c r="K745" s="226">
        <v>403.8</v>
      </c>
      <c r="L745" s="221"/>
      <c r="M745" s="221"/>
      <c r="N745" s="221"/>
    </row>
    <row r="746" spans="1:14" x14ac:dyDescent="0.25">
      <c r="A746" s="263" t="s">
        <v>18</v>
      </c>
      <c r="B746" s="343">
        <v>480</v>
      </c>
      <c r="C746" s="343">
        <v>528</v>
      </c>
      <c r="D746" s="343">
        <v>407.63</v>
      </c>
      <c r="E746" s="343">
        <v>414.75</v>
      </c>
      <c r="F746" s="343">
        <v>462.75</v>
      </c>
      <c r="G746" s="343">
        <v>528</v>
      </c>
      <c r="H746" s="343">
        <v>449.8</v>
      </c>
      <c r="I746" s="226">
        <f>I745+0.1*G745-2</f>
        <v>449.8</v>
      </c>
      <c r="J746" s="226">
        <v>401.8</v>
      </c>
      <c r="K746" s="226">
        <v>401.8</v>
      </c>
      <c r="L746" s="221"/>
      <c r="M746" s="221"/>
      <c r="N746" s="221"/>
    </row>
    <row r="747" spans="1:14" ht="26.4" x14ac:dyDescent="0.25">
      <c r="A747" s="263" t="s">
        <v>19</v>
      </c>
      <c r="B747" s="345">
        <v>480</v>
      </c>
      <c r="C747" s="345">
        <v>528</v>
      </c>
      <c r="D747" s="345" t="s">
        <v>75</v>
      </c>
      <c r="E747" s="346" t="s">
        <v>76</v>
      </c>
      <c r="F747" s="346" t="s">
        <v>77</v>
      </c>
      <c r="G747" s="346" t="s">
        <v>78</v>
      </c>
      <c r="H747" s="346" t="s">
        <v>268</v>
      </c>
      <c r="I747" s="352" t="s">
        <v>269</v>
      </c>
      <c r="J747" s="352" t="s">
        <v>497</v>
      </c>
      <c r="K747" s="352" t="s">
        <v>927</v>
      </c>
      <c r="L747" s="221"/>
      <c r="M747" s="221"/>
      <c r="N747" s="221"/>
    </row>
    <row r="748" spans="1:14" x14ac:dyDescent="0.25">
      <c r="A748" s="263" t="s">
        <v>20</v>
      </c>
      <c r="B748" s="215">
        <v>552.37</v>
      </c>
      <c r="C748" s="215">
        <v>658.51</v>
      </c>
      <c r="D748" s="215">
        <v>355.07</v>
      </c>
      <c r="E748" s="215">
        <v>338.75</v>
      </c>
      <c r="F748" s="215">
        <v>120.791</v>
      </c>
      <c r="G748" s="215">
        <v>79.62</v>
      </c>
      <c r="H748" s="215">
        <v>138.81700000000001</v>
      </c>
      <c r="I748" s="226">
        <v>105.06</v>
      </c>
      <c r="J748" s="226">
        <v>282.19</v>
      </c>
      <c r="K748" s="226"/>
      <c r="L748" s="221"/>
      <c r="M748" s="221"/>
      <c r="N748" s="221"/>
    </row>
    <row r="749" spans="1:14" x14ac:dyDescent="0.25">
      <c r="A749" s="263" t="s">
        <v>21</v>
      </c>
      <c r="B749" s="215">
        <v>-72.37</v>
      </c>
      <c r="C749" s="215">
        <v>-130.51</v>
      </c>
      <c r="D749" s="215">
        <f>D746-D748</f>
        <v>52.56</v>
      </c>
      <c r="E749" s="215">
        <f>E746-E748</f>
        <v>76</v>
      </c>
      <c r="F749" s="215">
        <v>341.959</v>
      </c>
      <c r="G749" s="215">
        <f>G746-G748</f>
        <v>448.38</v>
      </c>
      <c r="H749" s="215">
        <f>H746-H748</f>
        <v>310.983</v>
      </c>
      <c r="I749" s="226">
        <f>I746-I748</f>
        <v>344.74</v>
      </c>
      <c r="J749" s="226">
        <f>J746-J748</f>
        <v>119.61000000000001</v>
      </c>
      <c r="K749" s="226"/>
      <c r="L749" s="221"/>
      <c r="M749" s="221"/>
      <c r="N749" s="221"/>
    </row>
    <row r="750" spans="1:14" x14ac:dyDescent="0.25">
      <c r="A750" s="218" t="s">
        <v>22</v>
      </c>
      <c r="B750" s="244">
        <v>2016</v>
      </c>
      <c r="C750" s="244">
        <v>2017</v>
      </c>
      <c r="D750" s="244">
        <v>2018</v>
      </c>
      <c r="E750" s="244">
        <v>2019</v>
      </c>
      <c r="F750" s="244" t="s">
        <v>72</v>
      </c>
      <c r="G750" s="244" t="s">
        <v>73</v>
      </c>
      <c r="H750" s="244" t="s">
        <v>161</v>
      </c>
      <c r="I750" s="244" t="s">
        <v>161</v>
      </c>
      <c r="J750" s="244" t="s">
        <v>161</v>
      </c>
      <c r="K750" s="244" t="s">
        <v>161</v>
      </c>
      <c r="L750" s="221"/>
      <c r="M750" s="221"/>
      <c r="N750" s="221"/>
    </row>
    <row r="751" spans="1:14" x14ac:dyDescent="0.25">
      <c r="A751" s="218" t="s">
        <v>498</v>
      </c>
      <c r="B751" s="348"/>
      <c r="C751" s="348"/>
      <c r="D751" s="348"/>
      <c r="E751" s="348"/>
      <c r="F751" s="348"/>
      <c r="G751" s="348"/>
      <c r="H751" s="348"/>
      <c r="I751" s="348"/>
      <c r="J751" s="353"/>
      <c r="K751" s="353"/>
      <c r="L751" s="221"/>
      <c r="M751" s="221"/>
      <c r="N751" s="221"/>
    </row>
    <row r="752" spans="1:14" x14ac:dyDescent="0.25">
      <c r="A752" s="220" t="s">
        <v>499</v>
      </c>
      <c r="B752" s="349"/>
      <c r="C752" s="349"/>
      <c r="D752" s="349"/>
      <c r="E752" s="349"/>
      <c r="F752" s="349"/>
      <c r="G752" s="349"/>
      <c r="H752" s="349"/>
      <c r="I752" s="349"/>
      <c r="J752" s="354"/>
      <c r="K752" s="354"/>
      <c r="L752" s="221"/>
      <c r="M752" s="221"/>
      <c r="N752" s="221"/>
    </row>
    <row r="753" spans="1:14" x14ac:dyDescent="0.25">
      <c r="A753" s="355" t="s">
        <v>928</v>
      </c>
      <c r="B753" s="356"/>
      <c r="C753" s="356"/>
      <c r="D753" s="356"/>
      <c r="E753" s="356"/>
      <c r="F753" s="356"/>
      <c r="G753" s="356"/>
      <c r="H753" s="356"/>
      <c r="I753" s="223"/>
      <c r="J753" s="224"/>
      <c r="K753" s="224"/>
      <c r="L753" s="221"/>
      <c r="M753" s="221"/>
      <c r="N753" s="221"/>
    </row>
    <row r="754" spans="1:14" x14ac:dyDescent="0.25">
      <c r="A754" s="221"/>
      <c r="B754" s="221"/>
      <c r="C754" s="221"/>
      <c r="D754" s="221"/>
      <c r="E754" s="221"/>
      <c r="F754" s="221"/>
      <c r="G754" s="221"/>
      <c r="H754" s="221"/>
      <c r="I754" s="221"/>
      <c r="J754" s="221"/>
      <c r="K754" s="221"/>
      <c r="L754" s="221"/>
      <c r="M754" s="221"/>
      <c r="N754" s="221"/>
    </row>
    <row r="755" spans="1:14" x14ac:dyDescent="0.25">
      <c r="A755" s="260" t="s">
        <v>14</v>
      </c>
      <c r="B755" s="276" t="s">
        <v>79</v>
      </c>
      <c r="C755" s="274" t="s">
        <v>15</v>
      </c>
      <c r="D755" s="221"/>
      <c r="E755" s="221"/>
      <c r="F755" s="221"/>
      <c r="G755" s="221"/>
      <c r="H755" s="221"/>
      <c r="I755" s="221"/>
      <c r="J755" s="221"/>
      <c r="K755" s="221"/>
      <c r="L755" s="221"/>
      <c r="M755" s="221"/>
      <c r="N755" s="221"/>
    </row>
    <row r="756" spans="1:14" x14ac:dyDescent="0.25">
      <c r="A756" s="211" t="s">
        <v>16</v>
      </c>
      <c r="B756" s="342">
        <v>2014</v>
      </c>
      <c r="C756" s="212">
        <v>2015</v>
      </c>
      <c r="D756" s="212">
        <v>2016</v>
      </c>
      <c r="E756" s="212">
        <v>2017</v>
      </c>
      <c r="F756" s="212">
        <v>2018</v>
      </c>
      <c r="G756" s="212">
        <v>2019</v>
      </c>
      <c r="H756" s="212">
        <v>2020</v>
      </c>
      <c r="I756" s="212">
        <v>2021</v>
      </c>
      <c r="J756" s="212">
        <v>2022</v>
      </c>
      <c r="K756" s="221"/>
      <c r="L756" s="221"/>
      <c r="M756" s="221"/>
      <c r="N756" s="221"/>
    </row>
    <row r="757" spans="1:14" x14ac:dyDescent="0.25">
      <c r="A757" s="263" t="s">
        <v>17</v>
      </c>
      <c r="B757" s="343">
        <v>50</v>
      </c>
      <c r="C757" s="343">
        <v>50</v>
      </c>
      <c r="D757" s="343">
        <v>50</v>
      </c>
      <c r="E757" s="343">
        <v>50</v>
      </c>
      <c r="F757" s="343">
        <v>50</v>
      </c>
      <c r="G757" s="343">
        <v>50</v>
      </c>
      <c r="H757" s="351">
        <v>50</v>
      </c>
      <c r="I757" s="215">
        <v>50</v>
      </c>
      <c r="J757" s="215">
        <v>50</v>
      </c>
      <c r="K757" s="221"/>
      <c r="L757" s="221"/>
      <c r="M757" s="221"/>
      <c r="N757" s="221"/>
    </row>
    <row r="758" spans="1:14" x14ac:dyDescent="0.25">
      <c r="A758" s="263" t="s">
        <v>18</v>
      </c>
      <c r="B758" s="343">
        <v>50</v>
      </c>
      <c r="C758" s="343">
        <v>52.5</v>
      </c>
      <c r="D758" s="343">
        <v>23.9</v>
      </c>
      <c r="E758" s="343">
        <v>23.9</v>
      </c>
      <c r="F758" s="343">
        <v>27.6</v>
      </c>
      <c r="G758" s="343">
        <v>27.6</v>
      </c>
      <c r="H758" s="343">
        <v>32.6</v>
      </c>
      <c r="I758" s="215">
        <v>55</v>
      </c>
      <c r="J758" s="215">
        <v>50</v>
      </c>
      <c r="K758" s="221"/>
      <c r="L758" s="221"/>
      <c r="M758" s="221"/>
      <c r="N758" s="221"/>
    </row>
    <row r="759" spans="1:14" ht="26.4" x14ac:dyDescent="0.25">
      <c r="A759" s="263" t="s">
        <v>19</v>
      </c>
      <c r="B759" s="357">
        <v>50</v>
      </c>
      <c r="C759" s="357">
        <v>52.5</v>
      </c>
      <c r="D759" s="345" t="s">
        <v>80</v>
      </c>
      <c r="E759" s="346" t="s">
        <v>81</v>
      </c>
      <c r="F759" s="346" t="s">
        <v>82</v>
      </c>
      <c r="G759" s="346" t="s">
        <v>83</v>
      </c>
      <c r="H759" s="346" t="s">
        <v>84</v>
      </c>
      <c r="I759" s="243" t="s">
        <v>270</v>
      </c>
      <c r="J759" s="243" t="s">
        <v>580</v>
      </c>
      <c r="K759" s="221"/>
      <c r="L759" s="221"/>
      <c r="M759" s="221"/>
      <c r="N759" s="221"/>
    </row>
    <row r="760" spans="1:14" x14ac:dyDescent="0.25">
      <c r="A760" s="263" t="s">
        <v>20</v>
      </c>
      <c r="B760" s="215">
        <v>102.21</v>
      </c>
      <c r="C760" s="215">
        <v>119.69</v>
      </c>
      <c r="D760" s="215">
        <v>101.54</v>
      </c>
      <c r="E760" s="215">
        <v>14.67</v>
      </c>
      <c r="F760" s="215">
        <v>0.17</v>
      </c>
      <c r="G760" s="215">
        <v>0.7</v>
      </c>
      <c r="H760" s="215">
        <v>3.0670000000000002</v>
      </c>
      <c r="I760" s="215">
        <v>14.32</v>
      </c>
      <c r="J760" s="215">
        <v>1.1000000000000001</v>
      </c>
      <c r="K760" s="221"/>
      <c r="L760" s="221"/>
      <c r="M760" s="221"/>
      <c r="N760" s="221"/>
    </row>
    <row r="761" spans="1:14" x14ac:dyDescent="0.25">
      <c r="A761" s="263" t="s">
        <v>21</v>
      </c>
      <c r="B761" s="215">
        <v>-52.21</v>
      </c>
      <c r="C761" s="215">
        <v>-67.19</v>
      </c>
      <c r="D761" s="215">
        <v>-77.640000000000015</v>
      </c>
      <c r="E761" s="215">
        <f t="shared" ref="E761:J761" si="26">E758-E760</f>
        <v>9.2299999999999986</v>
      </c>
      <c r="F761" s="215">
        <f t="shared" si="26"/>
        <v>27.43</v>
      </c>
      <c r="G761" s="215">
        <f t="shared" si="26"/>
        <v>26.900000000000002</v>
      </c>
      <c r="H761" s="215">
        <f t="shared" si="26"/>
        <v>29.533000000000001</v>
      </c>
      <c r="I761" s="215">
        <f t="shared" si="26"/>
        <v>40.68</v>
      </c>
      <c r="J761" s="215">
        <f t="shared" si="26"/>
        <v>48.9</v>
      </c>
      <c r="K761" s="221"/>
      <c r="L761" s="221"/>
      <c r="M761" s="221"/>
      <c r="N761" s="221"/>
    </row>
    <row r="762" spans="1:14" x14ac:dyDescent="0.25">
      <c r="A762" s="218" t="s">
        <v>22</v>
      </c>
      <c r="B762" s="244">
        <v>2016</v>
      </c>
      <c r="C762" s="244">
        <v>2017</v>
      </c>
      <c r="D762" s="244">
        <v>2018</v>
      </c>
      <c r="E762" s="244">
        <v>2019</v>
      </c>
      <c r="F762" s="244" t="s">
        <v>72</v>
      </c>
      <c r="G762" s="244" t="s">
        <v>73</v>
      </c>
      <c r="H762" s="244" t="s">
        <v>161</v>
      </c>
      <c r="I762" s="244" t="s">
        <v>161</v>
      </c>
      <c r="J762" s="244" t="s">
        <v>161</v>
      </c>
      <c r="K762" s="221"/>
      <c r="L762" s="221"/>
      <c r="M762" s="221"/>
      <c r="N762" s="221"/>
    </row>
    <row r="763" spans="1:14" x14ac:dyDescent="0.25">
      <c r="A763" s="218" t="s">
        <v>500</v>
      </c>
      <c r="B763" s="280"/>
      <c r="C763" s="280"/>
      <c r="D763" s="280"/>
      <c r="E763" s="280"/>
      <c r="F763" s="280"/>
      <c r="G763" s="280"/>
      <c r="H763" s="280"/>
      <c r="I763" s="280"/>
      <c r="J763" s="245"/>
      <c r="K763" s="221"/>
      <c r="L763" s="221"/>
      <c r="M763" s="221"/>
      <c r="N763" s="221"/>
    </row>
    <row r="764" spans="1:14" x14ac:dyDescent="0.25">
      <c r="A764" s="355" t="s">
        <v>501</v>
      </c>
      <c r="B764" s="356"/>
      <c r="C764" s="356"/>
      <c r="D764" s="356"/>
      <c r="E764" s="356"/>
      <c r="F764" s="356"/>
      <c r="G764" s="356"/>
      <c r="H764" s="356"/>
      <c r="I764" s="356"/>
      <c r="J764" s="224"/>
      <c r="K764" s="221"/>
      <c r="L764" s="221"/>
      <c r="M764" s="221"/>
      <c r="N764" s="221"/>
    </row>
    <row r="765" spans="1:14" x14ac:dyDescent="0.25">
      <c r="A765" s="358"/>
      <c r="B765" s="358"/>
      <c r="C765" s="358"/>
      <c r="D765" s="358"/>
      <c r="E765" s="358"/>
      <c r="F765" s="358"/>
      <c r="G765" s="358"/>
      <c r="H765" s="358"/>
      <c r="I765" s="358"/>
      <c r="J765" s="221"/>
      <c r="K765" s="221"/>
      <c r="L765" s="221"/>
      <c r="M765" s="221"/>
      <c r="N765" s="221"/>
    </row>
    <row r="766" spans="1:14" x14ac:dyDescent="0.25">
      <c r="A766" s="221"/>
      <c r="B766" s="221"/>
      <c r="C766" s="221"/>
      <c r="D766" s="221"/>
      <c r="E766" s="221"/>
      <c r="F766" s="221"/>
      <c r="G766" s="221"/>
      <c r="H766" s="221"/>
      <c r="I766" s="221"/>
      <c r="J766" s="221"/>
      <c r="K766" s="221"/>
      <c r="L766" s="221"/>
      <c r="M766" s="221"/>
      <c r="N766" s="221"/>
    </row>
    <row r="767" spans="1:14" x14ac:dyDescent="0.25">
      <c r="A767" s="359" t="s">
        <v>11</v>
      </c>
      <c r="B767" s="550" t="s">
        <v>362</v>
      </c>
      <c r="C767" s="360"/>
      <c r="D767" s="221"/>
      <c r="E767" s="221"/>
      <c r="F767" s="221"/>
      <c r="G767" s="221"/>
      <c r="H767" s="221"/>
      <c r="I767" s="221"/>
      <c r="J767" s="221"/>
      <c r="K767" s="221"/>
      <c r="L767" s="221"/>
      <c r="M767" s="221"/>
      <c r="N767" s="221"/>
    </row>
    <row r="768" spans="1:14" x14ac:dyDescent="0.25">
      <c r="A768" s="361" t="s">
        <v>1</v>
      </c>
      <c r="B768" s="362" t="s">
        <v>637</v>
      </c>
      <c r="C768" s="262" t="s">
        <v>2</v>
      </c>
      <c r="D768" s="221"/>
      <c r="E768" s="221"/>
      <c r="F768" s="221"/>
      <c r="G768" s="221"/>
      <c r="H768" s="221"/>
      <c r="I768" s="221"/>
      <c r="J768" s="221"/>
      <c r="K768" s="221"/>
      <c r="L768" s="221"/>
      <c r="M768" s="221"/>
      <c r="N768" s="221"/>
    </row>
    <row r="769" spans="1:14" x14ac:dyDescent="0.25">
      <c r="A769" s="263" t="s">
        <v>3</v>
      </c>
      <c r="B769" s="212">
        <v>2015</v>
      </c>
      <c r="C769" s="212">
        <v>2016</v>
      </c>
      <c r="D769" s="275">
        <v>2017</v>
      </c>
      <c r="E769" s="212">
        <v>2018</v>
      </c>
      <c r="F769" s="212">
        <v>2019</v>
      </c>
      <c r="G769" s="212">
        <v>2020</v>
      </c>
      <c r="H769" s="212">
        <v>2021</v>
      </c>
      <c r="I769" s="212">
        <v>2022</v>
      </c>
      <c r="J769" s="212">
        <v>2023</v>
      </c>
      <c r="K769" s="221"/>
      <c r="L769" s="221"/>
      <c r="M769" s="221"/>
      <c r="N769" s="221"/>
    </row>
    <row r="770" spans="1:14" x14ac:dyDescent="0.25">
      <c r="A770" s="263" t="s">
        <v>4</v>
      </c>
      <c r="B770" s="231">
        <v>200</v>
      </c>
      <c r="C770" s="277">
        <v>200</v>
      </c>
      <c r="D770" s="231">
        <v>200</v>
      </c>
      <c r="E770" s="213">
        <v>200</v>
      </c>
      <c r="F770" s="213">
        <v>215</v>
      </c>
      <c r="G770" s="213">
        <v>215</v>
      </c>
      <c r="H770" s="213">
        <v>242</v>
      </c>
      <c r="I770" s="213">
        <v>242</v>
      </c>
      <c r="J770" s="213">
        <v>242</v>
      </c>
      <c r="K770" s="221"/>
      <c r="L770" s="221"/>
      <c r="M770" s="221"/>
      <c r="N770" s="221"/>
    </row>
    <row r="771" spans="1:14" x14ac:dyDescent="0.25">
      <c r="A771" s="263" t="s">
        <v>5</v>
      </c>
      <c r="B771" s="231">
        <f>200+(200*25%)</f>
        <v>250</v>
      </c>
      <c r="C771" s="231">
        <f>200+(200*25%)</f>
        <v>250</v>
      </c>
      <c r="D771" s="231">
        <f>200+(200*25%)</f>
        <v>250</v>
      </c>
      <c r="E771" s="231">
        <f>200+(200*25%)</f>
        <v>250</v>
      </c>
      <c r="F771" s="213">
        <f>F770+0.25*E770</f>
        <v>265</v>
      </c>
      <c r="G771" s="213">
        <f>G770+0.25*F770</f>
        <v>268.75</v>
      </c>
      <c r="H771" s="213">
        <f>H770+0.25*G770</f>
        <v>295.75</v>
      </c>
      <c r="I771" s="213">
        <f>I770+0.25*H770</f>
        <v>302.5</v>
      </c>
      <c r="J771" s="213">
        <f>J770+0.25*I770</f>
        <v>302.5</v>
      </c>
      <c r="K771" s="221"/>
      <c r="L771" s="221"/>
      <c r="M771" s="221"/>
      <c r="N771" s="221"/>
    </row>
    <row r="772" spans="1:14" x14ac:dyDescent="0.25">
      <c r="A772" s="263" t="s">
        <v>6</v>
      </c>
      <c r="B772" s="214">
        <v>2</v>
      </c>
      <c r="C772" s="363">
        <v>3</v>
      </c>
      <c r="D772" s="214">
        <v>4</v>
      </c>
      <c r="E772" s="364">
        <v>5</v>
      </c>
      <c r="F772" s="364">
        <v>6</v>
      </c>
      <c r="G772" s="214">
        <v>7</v>
      </c>
      <c r="H772" s="214">
        <v>8</v>
      </c>
      <c r="I772" s="214">
        <v>9</v>
      </c>
      <c r="J772" s="214">
        <v>10</v>
      </c>
      <c r="K772" s="221"/>
      <c r="L772" s="221"/>
      <c r="M772" s="221"/>
      <c r="N772" s="221"/>
    </row>
    <row r="773" spans="1:14" x14ac:dyDescent="0.25">
      <c r="A773" s="263" t="s">
        <v>7</v>
      </c>
      <c r="B773" s="215">
        <v>0</v>
      </c>
      <c r="C773" s="283">
        <v>0</v>
      </c>
      <c r="D773" s="215">
        <v>0</v>
      </c>
      <c r="E773" s="284">
        <v>0</v>
      </c>
      <c r="F773" s="284">
        <v>0</v>
      </c>
      <c r="G773" s="215">
        <v>0</v>
      </c>
      <c r="H773" s="215">
        <v>0</v>
      </c>
      <c r="I773" s="215">
        <v>0</v>
      </c>
      <c r="J773" s="215"/>
      <c r="K773" s="221"/>
      <c r="L773" s="221"/>
      <c r="M773" s="221"/>
      <c r="N773" s="221"/>
    </row>
    <row r="774" spans="1:14" x14ac:dyDescent="0.25">
      <c r="A774" s="263" t="s">
        <v>8</v>
      </c>
      <c r="B774" s="231">
        <f>B771-B773</f>
        <v>250</v>
      </c>
      <c r="C774" s="231">
        <f>C771-C773</f>
        <v>250</v>
      </c>
      <c r="D774" s="231">
        <f>D771-D773</f>
        <v>250</v>
      </c>
      <c r="E774" s="213">
        <v>250</v>
      </c>
      <c r="F774" s="213">
        <f>F771-F773</f>
        <v>265</v>
      </c>
      <c r="G774" s="213">
        <f>G771-G773</f>
        <v>268.75</v>
      </c>
      <c r="H774" s="213">
        <f>H771-H773</f>
        <v>295.75</v>
      </c>
      <c r="I774" s="213">
        <f>I771-I773</f>
        <v>302.5</v>
      </c>
      <c r="J774" s="213"/>
      <c r="K774" s="221"/>
      <c r="L774" s="221"/>
      <c r="M774" s="221"/>
      <c r="N774" s="221"/>
    </row>
    <row r="775" spans="1:14" x14ac:dyDescent="0.25">
      <c r="A775" s="263" t="s">
        <v>9</v>
      </c>
      <c r="B775" s="216">
        <v>2016</v>
      </c>
      <c r="C775" s="216">
        <v>2017</v>
      </c>
      <c r="D775" s="216">
        <v>2018</v>
      </c>
      <c r="E775" s="216">
        <v>2019</v>
      </c>
      <c r="F775" s="216">
        <v>2020</v>
      </c>
      <c r="G775" s="216">
        <v>2021</v>
      </c>
      <c r="H775" s="216">
        <v>2022</v>
      </c>
      <c r="I775" s="216">
        <v>2023</v>
      </c>
      <c r="J775" s="216">
        <v>2024</v>
      </c>
      <c r="K775" s="221"/>
      <c r="L775" s="221"/>
      <c r="M775" s="221"/>
      <c r="N775" s="221"/>
    </row>
    <row r="776" spans="1:14" x14ac:dyDescent="0.25">
      <c r="A776" s="218" t="s">
        <v>10</v>
      </c>
      <c r="B776" s="218"/>
      <c r="C776" s="219"/>
      <c r="D776" s="219"/>
      <c r="E776" s="219"/>
      <c r="F776" s="219"/>
      <c r="G776" s="217"/>
      <c r="H776" s="217"/>
      <c r="I776" s="217"/>
      <c r="J776" s="217"/>
      <c r="K776" s="221"/>
      <c r="L776" s="221"/>
      <c r="M776" s="221"/>
      <c r="N776" s="221"/>
    </row>
    <row r="777" spans="1:14" x14ac:dyDescent="0.25">
      <c r="A777" s="218" t="s">
        <v>363</v>
      </c>
      <c r="B777" s="219"/>
      <c r="C777" s="219"/>
      <c r="D777" s="219"/>
      <c r="E777" s="219"/>
      <c r="F777" s="219"/>
      <c r="G777" s="219"/>
      <c r="H777" s="219"/>
      <c r="I777" s="219"/>
      <c r="J777" s="217"/>
      <c r="K777" s="221"/>
      <c r="L777" s="221"/>
      <c r="M777" s="221"/>
      <c r="N777" s="221"/>
    </row>
    <row r="778" spans="1:14" x14ac:dyDescent="0.25">
      <c r="A778" s="220" t="s">
        <v>833</v>
      </c>
      <c r="B778" s="221"/>
      <c r="C778" s="221"/>
      <c r="D778" s="221"/>
      <c r="E778" s="221"/>
      <c r="F778" s="221"/>
      <c r="G778" s="221"/>
      <c r="H778" s="221"/>
      <c r="I778" s="221"/>
      <c r="J778" s="222"/>
      <c r="K778" s="221"/>
      <c r="L778" s="221"/>
      <c r="M778" s="221"/>
      <c r="N778" s="221"/>
    </row>
    <row r="779" spans="1:14" x14ac:dyDescent="0.25">
      <c r="A779" s="220" t="s">
        <v>834</v>
      </c>
      <c r="B779" s="221"/>
      <c r="C779" s="221"/>
      <c r="D779" s="221"/>
      <c r="E779" s="221"/>
      <c r="F779" s="221"/>
      <c r="G779" s="221"/>
      <c r="H779" s="221"/>
      <c r="I779" s="221"/>
      <c r="J779" s="222"/>
      <c r="K779" s="221"/>
      <c r="L779" s="221"/>
      <c r="M779" s="221"/>
      <c r="N779" s="221"/>
    </row>
    <row r="780" spans="1:14" x14ac:dyDescent="0.25">
      <c r="A780" s="220" t="s">
        <v>835</v>
      </c>
      <c r="B780" s="221"/>
      <c r="C780" s="221"/>
      <c r="D780" s="221"/>
      <c r="E780" s="221"/>
      <c r="F780" s="221"/>
      <c r="G780" s="221"/>
      <c r="H780" s="221"/>
      <c r="I780" s="221"/>
      <c r="J780" s="222"/>
      <c r="K780" s="221"/>
      <c r="L780" s="221"/>
      <c r="M780" s="221"/>
      <c r="N780" s="221"/>
    </row>
    <row r="781" spans="1:14" x14ac:dyDescent="0.25">
      <c r="A781" s="220" t="s">
        <v>836</v>
      </c>
      <c r="B781" s="221"/>
      <c r="C781" s="221"/>
      <c r="D781" s="221"/>
      <c r="E781" s="221"/>
      <c r="F781" s="221"/>
      <c r="G781" s="221"/>
      <c r="H781" s="221"/>
      <c r="I781" s="221"/>
      <c r="J781" s="222"/>
      <c r="K781" s="221"/>
      <c r="L781" s="221"/>
      <c r="M781" s="221"/>
      <c r="N781" s="221"/>
    </row>
    <row r="782" spans="1:14" x14ac:dyDescent="0.25">
      <c r="A782" s="220" t="s">
        <v>837</v>
      </c>
      <c r="B782" s="221"/>
      <c r="C782" s="221"/>
      <c r="D782" s="221"/>
      <c r="E782" s="221"/>
      <c r="F782" s="221"/>
      <c r="G782" s="221"/>
      <c r="H782" s="221"/>
      <c r="I782" s="221"/>
      <c r="J782" s="222"/>
      <c r="K782" s="221"/>
      <c r="L782" s="221"/>
      <c r="M782" s="221"/>
      <c r="N782" s="221"/>
    </row>
    <row r="783" spans="1:14" x14ac:dyDescent="0.25">
      <c r="A783" s="220" t="s">
        <v>838</v>
      </c>
      <c r="B783" s="221"/>
      <c r="C783" s="221"/>
      <c r="D783" s="221"/>
      <c r="E783" s="221"/>
      <c r="F783" s="221"/>
      <c r="G783" s="221"/>
      <c r="H783" s="221"/>
      <c r="I783" s="221"/>
      <c r="J783" s="222"/>
      <c r="K783" s="221"/>
      <c r="L783" s="221"/>
      <c r="M783" s="221"/>
      <c r="N783" s="221"/>
    </row>
    <row r="784" spans="1:14" x14ac:dyDescent="0.25">
      <c r="A784" s="220" t="s">
        <v>839</v>
      </c>
      <c r="B784" s="221"/>
      <c r="C784" s="221"/>
      <c r="D784" s="221"/>
      <c r="E784" s="221"/>
      <c r="F784" s="221"/>
      <c r="G784" s="221"/>
      <c r="H784" s="221"/>
      <c r="I784" s="221"/>
      <c r="J784" s="222"/>
      <c r="K784" s="221"/>
      <c r="L784" s="221"/>
      <c r="M784" s="221"/>
      <c r="N784" s="221"/>
    </row>
    <row r="785" spans="1:14" x14ac:dyDescent="0.25">
      <c r="A785" s="220" t="s">
        <v>840</v>
      </c>
      <c r="B785" s="221"/>
      <c r="C785" s="221"/>
      <c r="D785" s="221"/>
      <c r="E785" s="221"/>
      <c r="F785" s="221"/>
      <c r="G785" s="221"/>
      <c r="H785" s="221"/>
      <c r="I785" s="221"/>
      <c r="J785" s="222"/>
      <c r="K785" s="221"/>
      <c r="L785" s="221"/>
      <c r="M785" s="221"/>
      <c r="N785" s="221"/>
    </row>
    <row r="786" spans="1:14" x14ac:dyDescent="0.25">
      <c r="A786" s="211" t="s">
        <v>841</v>
      </c>
      <c r="B786" s="223"/>
      <c r="C786" s="223"/>
      <c r="D786" s="223"/>
      <c r="E786" s="223"/>
      <c r="F786" s="223"/>
      <c r="G786" s="223"/>
      <c r="H786" s="223"/>
      <c r="I786" s="223"/>
      <c r="J786" s="224"/>
      <c r="K786" s="221"/>
      <c r="L786" s="221"/>
      <c r="M786" s="221"/>
      <c r="N786" s="221"/>
    </row>
    <row r="787" spans="1:14" x14ac:dyDescent="0.25">
      <c r="A787" s="221"/>
      <c r="B787" s="221"/>
      <c r="C787" s="221"/>
      <c r="D787" s="221"/>
      <c r="E787" s="221"/>
      <c r="F787" s="221"/>
      <c r="G787" s="221"/>
      <c r="H787" s="221"/>
      <c r="I787" s="221"/>
      <c r="J787" s="221"/>
      <c r="K787" s="221"/>
      <c r="L787" s="221"/>
      <c r="M787" s="221"/>
      <c r="N787" s="221"/>
    </row>
    <row r="788" spans="1:14" s="66" customFormat="1" x14ac:dyDescent="0.25">
      <c r="A788" s="365" t="s">
        <v>1</v>
      </c>
      <c r="B788" s="366" t="s">
        <v>636</v>
      </c>
      <c r="C788" s="367" t="s">
        <v>2</v>
      </c>
      <c r="D788" s="368"/>
      <c r="E788" s="368"/>
      <c r="F788" s="368"/>
      <c r="G788" s="368"/>
      <c r="H788" s="368"/>
      <c r="I788" s="368"/>
      <c r="J788" s="368"/>
      <c r="K788" s="368"/>
      <c r="L788" s="368"/>
      <c r="M788" s="368"/>
      <c r="N788" s="368"/>
    </row>
    <row r="789" spans="1:14" s="66" customFormat="1" x14ac:dyDescent="0.25">
      <c r="A789" s="369" t="s">
        <v>3</v>
      </c>
      <c r="B789" s="370">
        <v>2015</v>
      </c>
      <c r="C789" s="370">
        <v>2016</v>
      </c>
      <c r="D789" s="371">
        <v>2017</v>
      </c>
      <c r="E789" s="370">
        <v>2018</v>
      </c>
      <c r="F789" s="370">
        <v>2019</v>
      </c>
      <c r="G789" s="370">
        <v>2020</v>
      </c>
      <c r="H789" s="370">
        <v>2021</v>
      </c>
      <c r="I789" s="370">
        <v>2022</v>
      </c>
      <c r="J789" s="370">
        <v>2023</v>
      </c>
      <c r="K789" s="368"/>
      <c r="L789" s="368"/>
      <c r="M789" s="368"/>
      <c r="N789" s="368"/>
    </row>
    <row r="790" spans="1:14" s="66" customFormat="1" x14ac:dyDescent="0.25">
      <c r="A790" s="369" t="s">
        <v>4</v>
      </c>
      <c r="B790" s="372">
        <v>40</v>
      </c>
      <c r="C790" s="372">
        <v>40</v>
      </c>
      <c r="D790" s="373">
        <v>40</v>
      </c>
      <c r="E790" s="372">
        <v>40</v>
      </c>
      <c r="F790" s="374">
        <v>40</v>
      </c>
      <c r="G790" s="374">
        <v>40</v>
      </c>
      <c r="H790" s="374">
        <v>40</v>
      </c>
      <c r="I790" s="374">
        <v>40</v>
      </c>
      <c r="J790" s="374">
        <v>40</v>
      </c>
      <c r="K790" s="368"/>
      <c r="L790" s="368"/>
      <c r="M790" s="368"/>
      <c r="N790" s="368"/>
    </row>
    <row r="791" spans="1:14" s="66" customFormat="1" x14ac:dyDescent="0.25">
      <c r="A791" s="369" t="s">
        <v>5</v>
      </c>
      <c r="B791" s="372">
        <f>40+(40*50%)+40</f>
        <v>100</v>
      </c>
      <c r="C791" s="372">
        <f>40+(40*50%)+40</f>
        <v>100</v>
      </c>
      <c r="D791" s="372">
        <v>112.75</v>
      </c>
      <c r="E791" s="372">
        <v>108.75</v>
      </c>
      <c r="F791" s="372">
        <v>108.75</v>
      </c>
      <c r="G791" s="372">
        <v>108.75</v>
      </c>
      <c r="H791" s="372">
        <v>108.75</v>
      </c>
      <c r="I791" s="372">
        <f>I790+0.4*G790+40</f>
        <v>96</v>
      </c>
      <c r="J791" s="628">
        <f>J790+0.4*H790</f>
        <v>56</v>
      </c>
      <c r="K791" s="368"/>
      <c r="L791" s="368"/>
      <c r="M791" s="368"/>
      <c r="N791" s="368"/>
    </row>
    <row r="792" spans="1:14" s="66" customFormat="1" x14ac:dyDescent="0.25">
      <c r="A792" s="369" t="s">
        <v>6</v>
      </c>
      <c r="B792" s="243">
        <v>1</v>
      </c>
      <c r="C792" s="243">
        <v>2</v>
      </c>
      <c r="D792" s="375">
        <v>3</v>
      </c>
      <c r="E792" s="243">
        <v>4</v>
      </c>
      <c r="F792" s="376">
        <v>5</v>
      </c>
      <c r="G792" s="243">
        <v>6</v>
      </c>
      <c r="H792" s="243">
        <v>7</v>
      </c>
      <c r="I792" s="243">
        <v>8</v>
      </c>
      <c r="J792" s="243">
        <v>9</v>
      </c>
      <c r="K792" s="368"/>
      <c r="L792" s="368"/>
      <c r="M792" s="368"/>
      <c r="N792" s="368"/>
    </row>
    <row r="793" spans="1:14" s="66" customFormat="1" x14ac:dyDescent="0.25">
      <c r="A793" s="369" t="s">
        <v>7</v>
      </c>
      <c r="B793" s="372">
        <v>0</v>
      </c>
      <c r="C793" s="372">
        <v>0</v>
      </c>
      <c r="D793" s="373">
        <v>0</v>
      </c>
      <c r="E793" s="372">
        <v>0</v>
      </c>
      <c r="F793" s="374">
        <v>0</v>
      </c>
      <c r="G793" s="372">
        <v>0</v>
      </c>
      <c r="H793" s="372">
        <v>0</v>
      </c>
      <c r="I793" s="372">
        <v>78</v>
      </c>
      <c r="J793" s="372"/>
      <c r="K793" s="368"/>
      <c r="L793" s="368"/>
      <c r="M793" s="368"/>
      <c r="N793" s="368"/>
    </row>
    <row r="794" spans="1:14" s="66" customFormat="1" x14ac:dyDescent="0.25">
      <c r="A794" s="369" t="s">
        <v>8</v>
      </c>
      <c r="B794" s="372">
        <f t="shared" ref="B794:G794" si="27">B791-B793</f>
        <v>100</v>
      </c>
      <c r="C794" s="372">
        <f t="shared" si="27"/>
        <v>100</v>
      </c>
      <c r="D794" s="372">
        <f t="shared" si="27"/>
        <v>112.75</v>
      </c>
      <c r="E794" s="372">
        <f t="shared" si="27"/>
        <v>108.75</v>
      </c>
      <c r="F794" s="372">
        <f t="shared" si="27"/>
        <v>108.75</v>
      </c>
      <c r="G794" s="372">
        <f t="shared" si="27"/>
        <v>108.75</v>
      </c>
      <c r="H794" s="372">
        <v>108.75</v>
      </c>
      <c r="I794" s="372">
        <f>I791-I793</f>
        <v>18</v>
      </c>
      <c r="J794" s="372"/>
      <c r="K794" s="368"/>
      <c r="L794" s="368"/>
      <c r="M794" s="368"/>
      <c r="N794" s="368"/>
    </row>
    <row r="795" spans="1:14" s="66" customFormat="1" x14ac:dyDescent="0.25">
      <c r="A795" s="377" t="s">
        <v>9</v>
      </c>
      <c r="B795" s="378">
        <v>2017</v>
      </c>
      <c r="C795" s="378">
        <v>2018</v>
      </c>
      <c r="D795" s="378">
        <v>2019</v>
      </c>
      <c r="E795" s="378">
        <v>2020</v>
      </c>
      <c r="F795" s="378">
        <v>2021</v>
      </c>
      <c r="G795" s="378">
        <v>2022</v>
      </c>
      <c r="H795" s="378">
        <v>2023</v>
      </c>
      <c r="I795" s="378">
        <v>2024</v>
      </c>
      <c r="J795" s="378">
        <v>2025</v>
      </c>
      <c r="K795" s="368"/>
      <c r="L795" s="368"/>
      <c r="M795" s="368"/>
      <c r="N795" s="368"/>
    </row>
    <row r="796" spans="1:14" s="66" customFormat="1" x14ac:dyDescent="0.25">
      <c r="A796" s="736" t="s">
        <v>10</v>
      </c>
      <c r="B796" s="737"/>
      <c r="C796" s="737"/>
      <c r="D796" s="737"/>
      <c r="E796" s="737"/>
      <c r="F796" s="737"/>
      <c r="G796" s="375"/>
      <c r="H796" s="375"/>
      <c r="I796" s="375"/>
      <c r="J796" s="376"/>
      <c r="K796" s="368"/>
      <c r="L796" s="368"/>
      <c r="M796" s="368"/>
      <c r="N796" s="368"/>
    </row>
    <row r="797" spans="1:14" s="66" customFormat="1" x14ac:dyDescent="0.25">
      <c r="A797" s="518" t="s">
        <v>363</v>
      </c>
      <c r="B797" s="368"/>
      <c r="C797" s="368"/>
      <c r="D797" s="368"/>
      <c r="E797" s="368"/>
      <c r="F797" s="368"/>
      <c r="G797" s="368"/>
      <c r="H797" s="368"/>
      <c r="I797" s="368"/>
      <c r="J797" s="381"/>
      <c r="K797" s="368"/>
      <c r="L797" s="368"/>
      <c r="M797" s="368"/>
      <c r="N797" s="368"/>
    </row>
    <row r="798" spans="1:14" s="66" customFormat="1" x14ac:dyDescent="0.25">
      <c r="A798" s="717" t="s">
        <v>364</v>
      </c>
      <c r="B798" s="718"/>
      <c r="C798" s="718"/>
      <c r="D798" s="718"/>
      <c r="E798" s="718"/>
      <c r="F798" s="718"/>
      <c r="G798" s="368"/>
      <c r="H798" s="368"/>
      <c r="I798" s="368"/>
      <c r="J798" s="381"/>
      <c r="K798" s="368"/>
      <c r="L798" s="368"/>
      <c r="M798" s="368"/>
      <c r="N798" s="368"/>
    </row>
    <row r="799" spans="1:14" s="66" customFormat="1" x14ac:dyDescent="0.25">
      <c r="A799" s="717" t="s">
        <v>365</v>
      </c>
      <c r="B799" s="718"/>
      <c r="C799" s="718"/>
      <c r="D799" s="718"/>
      <c r="E799" s="718"/>
      <c r="F799" s="718"/>
      <c r="G799" s="368"/>
      <c r="H799" s="368"/>
      <c r="I799" s="368"/>
      <c r="J799" s="381"/>
      <c r="K799" s="368"/>
      <c r="L799" s="368"/>
      <c r="M799" s="368"/>
      <c r="N799" s="368"/>
    </row>
    <row r="800" spans="1:14" s="66" customFormat="1" ht="45" customHeight="1" x14ac:dyDescent="0.25">
      <c r="A800" s="717" t="s">
        <v>366</v>
      </c>
      <c r="B800" s="718"/>
      <c r="C800" s="718"/>
      <c r="D800" s="718"/>
      <c r="E800" s="718"/>
      <c r="F800" s="718"/>
      <c r="G800" s="718"/>
      <c r="H800" s="368"/>
      <c r="I800" s="368"/>
      <c r="J800" s="381"/>
      <c r="K800" s="368"/>
      <c r="L800" s="368"/>
      <c r="M800" s="368"/>
      <c r="N800" s="368"/>
    </row>
    <row r="801" spans="1:14" s="66" customFormat="1" ht="30" customHeight="1" x14ac:dyDescent="0.25">
      <c r="A801" s="717" t="s">
        <v>367</v>
      </c>
      <c r="B801" s="718"/>
      <c r="C801" s="718"/>
      <c r="D801" s="718"/>
      <c r="E801" s="718"/>
      <c r="F801" s="718"/>
      <c r="G801" s="718"/>
      <c r="H801" s="368"/>
      <c r="I801" s="368"/>
      <c r="J801" s="381"/>
      <c r="K801" s="368"/>
      <c r="L801" s="368"/>
      <c r="M801" s="368"/>
      <c r="N801" s="368"/>
    </row>
    <row r="802" spans="1:14" s="66" customFormat="1" ht="30" customHeight="1" x14ac:dyDescent="0.25">
      <c r="A802" s="717" t="s">
        <v>368</v>
      </c>
      <c r="B802" s="718"/>
      <c r="C802" s="718"/>
      <c r="D802" s="718"/>
      <c r="E802" s="718"/>
      <c r="F802" s="718"/>
      <c r="G802" s="718"/>
      <c r="H802" s="368"/>
      <c r="I802" s="368"/>
      <c r="J802" s="381"/>
      <c r="K802" s="368"/>
      <c r="L802" s="368"/>
      <c r="M802" s="368"/>
      <c r="N802" s="368"/>
    </row>
    <row r="803" spans="1:14" s="66" customFormat="1" ht="30" customHeight="1" x14ac:dyDescent="0.25">
      <c r="A803" s="717" t="s">
        <v>369</v>
      </c>
      <c r="B803" s="718"/>
      <c r="C803" s="718"/>
      <c r="D803" s="718"/>
      <c r="E803" s="718"/>
      <c r="F803" s="718"/>
      <c r="G803" s="718"/>
      <c r="H803" s="368"/>
      <c r="I803" s="368"/>
      <c r="J803" s="381"/>
      <c r="K803" s="368"/>
      <c r="L803" s="368"/>
      <c r="M803" s="368"/>
      <c r="N803" s="368"/>
    </row>
    <row r="804" spans="1:14" s="66" customFormat="1" ht="30" customHeight="1" x14ac:dyDescent="0.25">
      <c r="A804" s="717" t="s">
        <v>607</v>
      </c>
      <c r="B804" s="718"/>
      <c r="C804" s="718"/>
      <c r="D804" s="718"/>
      <c r="E804" s="718"/>
      <c r="F804" s="718"/>
      <c r="G804" s="718"/>
      <c r="H804" s="368"/>
      <c r="I804" s="368"/>
      <c r="J804" s="381"/>
      <c r="K804" s="368"/>
      <c r="L804" s="368"/>
      <c r="M804" s="368"/>
      <c r="N804" s="368"/>
    </row>
    <row r="805" spans="1:14" s="66" customFormat="1" ht="30" customHeight="1" x14ac:dyDescent="0.25">
      <c r="A805" s="273" t="s">
        <v>608</v>
      </c>
      <c r="B805" s="509"/>
      <c r="C805" s="509"/>
      <c r="D805" s="509"/>
      <c r="E805" s="509"/>
      <c r="F805" s="509"/>
      <c r="G805" s="509"/>
      <c r="H805" s="368"/>
      <c r="I805" s="368"/>
      <c r="J805" s="381"/>
      <c r="K805" s="368"/>
      <c r="L805" s="368"/>
      <c r="M805" s="368"/>
      <c r="N805" s="368"/>
    </row>
    <row r="806" spans="1:14" s="66" customFormat="1" ht="30" customHeight="1" x14ac:dyDescent="0.25">
      <c r="A806" s="726" t="s">
        <v>940</v>
      </c>
      <c r="B806" s="727"/>
      <c r="C806" s="727"/>
      <c r="D806" s="727"/>
      <c r="E806" s="727"/>
      <c r="F806" s="727"/>
      <c r="G806" s="727"/>
      <c r="H806" s="350"/>
      <c r="I806" s="350"/>
      <c r="J806" s="382"/>
      <c r="K806" s="368"/>
      <c r="L806" s="368"/>
      <c r="M806" s="368"/>
      <c r="N806" s="368"/>
    </row>
    <row r="807" spans="1:14" x14ac:dyDescent="0.25">
      <c r="A807" s="221"/>
      <c r="B807" s="221"/>
      <c r="C807" s="221"/>
      <c r="D807" s="221"/>
      <c r="E807" s="221"/>
      <c r="F807" s="221"/>
      <c r="G807" s="221"/>
      <c r="H807" s="221"/>
      <c r="I807" s="221"/>
      <c r="J807" s="221"/>
      <c r="K807" s="221"/>
      <c r="L807" s="221"/>
      <c r="M807" s="221"/>
      <c r="N807" s="221"/>
    </row>
    <row r="808" spans="1:14" x14ac:dyDescent="0.25">
      <c r="A808" s="260" t="s">
        <v>1</v>
      </c>
      <c r="B808" s="274" t="s">
        <v>658</v>
      </c>
      <c r="C808" s="367" t="s">
        <v>2</v>
      </c>
      <c r="D808" s="221"/>
      <c r="E808" s="221"/>
      <c r="F808" s="221"/>
      <c r="G808" s="221"/>
      <c r="H808" s="221"/>
      <c r="I808" s="221"/>
      <c r="J808" s="221"/>
      <c r="K808" s="221"/>
      <c r="L808" s="221"/>
      <c r="M808" s="221"/>
      <c r="N808" s="221"/>
    </row>
    <row r="809" spans="1:14" x14ac:dyDescent="0.25">
      <c r="A809" s="263" t="s">
        <v>3</v>
      </c>
      <c r="B809" s="383">
        <v>2015</v>
      </c>
      <c r="C809" s="383">
        <v>2016</v>
      </c>
      <c r="D809" s="384">
        <v>2017</v>
      </c>
      <c r="E809" s="383">
        <v>2018</v>
      </c>
      <c r="F809" s="383">
        <v>2019</v>
      </c>
      <c r="G809" s="212">
        <v>2020</v>
      </c>
      <c r="H809" s="212">
        <v>2021</v>
      </c>
      <c r="I809" s="212">
        <v>2022</v>
      </c>
      <c r="J809" s="212">
        <v>2023</v>
      </c>
      <c r="K809" s="221"/>
      <c r="L809" s="221"/>
      <c r="M809" s="221"/>
      <c r="N809" s="221"/>
    </row>
    <row r="810" spans="1:14" x14ac:dyDescent="0.25">
      <c r="A810" s="263" t="s">
        <v>4</v>
      </c>
      <c r="B810" s="385">
        <v>4.51</v>
      </c>
      <c r="C810" s="385">
        <v>4.51</v>
      </c>
      <c r="D810" s="386">
        <v>4.51</v>
      </c>
      <c r="E810" s="385">
        <v>5.31</v>
      </c>
      <c r="F810" s="387">
        <v>5.31</v>
      </c>
      <c r="G810" s="215">
        <v>5.31</v>
      </c>
      <c r="H810" s="215">
        <v>5.31</v>
      </c>
      <c r="I810" s="215">
        <v>6.18</v>
      </c>
      <c r="J810" s="215">
        <v>6.18</v>
      </c>
      <c r="K810" s="221"/>
      <c r="L810" s="221"/>
      <c r="M810" s="221"/>
      <c r="N810" s="221"/>
    </row>
    <row r="811" spans="1:14" x14ac:dyDescent="0.25">
      <c r="A811" s="263" t="s">
        <v>5</v>
      </c>
      <c r="B811" s="385">
        <v>8.51</v>
      </c>
      <c r="C811" s="385">
        <v>9.02</v>
      </c>
      <c r="D811" s="385">
        <v>4.1899999999999995</v>
      </c>
      <c r="E811" s="385">
        <v>9.5</v>
      </c>
      <c r="F811" s="385">
        <f>2*F810-9.62</f>
        <v>1</v>
      </c>
      <c r="G811" s="215">
        <f>G810+F814-4.78</f>
        <v>1.5299999999999994</v>
      </c>
      <c r="H811" s="215">
        <f>H810+G814-4.78</f>
        <v>2.0599999999999987</v>
      </c>
      <c r="I811" s="215">
        <f>I810+H814-4.78</f>
        <v>3.4599999999999982</v>
      </c>
      <c r="J811" s="215">
        <f>J810+I814-5.18</f>
        <v>4.4599999999999973</v>
      </c>
      <c r="K811" s="221"/>
      <c r="L811" s="221"/>
      <c r="M811" s="221"/>
      <c r="N811" s="221"/>
    </row>
    <row r="812" spans="1:14" x14ac:dyDescent="0.25">
      <c r="A812" s="263" t="s">
        <v>6</v>
      </c>
      <c r="B812" s="388">
        <v>1</v>
      </c>
      <c r="C812" s="388">
        <v>2</v>
      </c>
      <c r="D812" s="389">
        <v>3</v>
      </c>
      <c r="E812" s="388">
        <v>4</v>
      </c>
      <c r="F812" s="390">
        <v>5</v>
      </c>
      <c r="G812" s="226">
        <v>6</v>
      </c>
      <c r="H812" s="226">
        <v>7</v>
      </c>
      <c r="I812" s="226">
        <v>8</v>
      </c>
      <c r="J812" s="226">
        <v>9</v>
      </c>
      <c r="K812" s="221"/>
      <c r="L812" s="221"/>
      <c r="M812" s="221"/>
      <c r="N812" s="221"/>
    </row>
    <row r="813" spans="1:14" x14ac:dyDescent="0.25">
      <c r="A813" s="263" t="s">
        <v>7</v>
      </c>
      <c r="B813" s="385">
        <v>0.17</v>
      </c>
      <c r="C813" s="385">
        <v>9.34</v>
      </c>
      <c r="D813" s="386">
        <v>0</v>
      </c>
      <c r="E813" s="385">
        <v>0</v>
      </c>
      <c r="F813" s="387">
        <v>0</v>
      </c>
      <c r="G813" s="215">
        <v>0</v>
      </c>
      <c r="H813" s="215">
        <v>0</v>
      </c>
      <c r="I813" s="215">
        <v>0</v>
      </c>
      <c r="J813" s="215"/>
      <c r="K813" s="221"/>
      <c r="L813" s="221"/>
      <c r="M813" s="221"/>
      <c r="N813" s="221"/>
    </row>
    <row r="814" spans="1:14" x14ac:dyDescent="0.25">
      <c r="A814" s="263" t="s">
        <v>8</v>
      </c>
      <c r="B814" s="385">
        <v>8.34</v>
      </c>
      <c r="C814" s="385">
        <v>-0.32000000000000028</v>
      </c>
      <c r="D814" s="385">
        <v>4.1899999999999995</v>
      </c>
      <c r="E814" s="385">
        <v>9.5</v>
      </c>
      <c r="F814" s="387">
        <f>F811-F813</f>
        <v>1</v>
      </c>
      <c r="G814" s="215">
        <f>G811</f>
        <v>1.5299999999999994</v>
      </c>
      <c r="H814" s="215">
        <f>H811</f>
        <v>2.0599999999999987</v>
      </c>
      <c r="I814" s="215">
        <f>I811-I813</f>
        <v>3.4599999999999982</v>
      </c>
      <c r="J814" s="215"/>
      <c r="K814" s="221"/>
      <c r="L814" s="221"/>
      <c r="M814" s="221"/>
      <c r="N814" s="221"/>
    </row>
    <row r="815" spans="1:14" x14ac:dyDescent="0.25">
      <c r="A815" s="218" t="s">
        <v>9</v>
      </c>
      <c r="B815" s="391">
        <v>2016</v>
      </c>
      <c r="C815" s="391">
        <v>2017</v>
      </c>
      <c r="D815" s="391">
        <v>2018</v>
      </c>
      <c r="E815" s="391">
        <v>2019</v>
      </c>
      <c r="F815" s="391">
        <v>2020</v>
      </c>
      <c r="G815" s="391">
        <v>2021</v>
      </c>
      <c r="H815" s="391">
        <v>2022</v>
      </c>
      <c r="I815" s="391">
        <v>2023</v>
      </c>
      <c r="J815" s="391">
        <v>2024</v>
      </c>
      <c r="K815" s="221"/>
      <c r="L815" s="221"/>
      <c r="M815" s="221"/>
      <c r="N815" s="221"/>
    </row>
    <row r="816" spans="1:14" x14ac:dyDescent="0.25">
      <c r="A816" s="263" t="s">
        <v>10</v>
      </c>
      <c r="B816" s="507"/>
      <c r="C816" s="507"/>
      <c r="D816" s="507"/>
      <c r="E816" s="507"/>
      <c r="F816" s="507"/>
      <c r="G816" s="507"/>
      <c r="H816" s="507"/>
      <c r="I816" s="507"/>
      <c r="J816" s="232"/>
      <c r="K816" s="221"/>
      <c r="L816" s="221"/>
      <c r="M816" s="221"/>
      <c r="N816" s="221"/>
    </row>
    <row r="817" spans="1:14" x14ac:dyDescent="0.25">
      <c r="A817" s="218" t="s">
        <v>370</v>
      </c>
      <c r="B817" s="219"/>
      <c r="C817" s="219"/>
      <c r="D817" s="219"/>
      <c r="E817" s="219"/>
      <c r="F817" s="219"/>
      <c r="G817" s="219"/>
      <c r="H817" s="219"/>
      <c r="I817" s="219"/>
      <c r="J817" s="217"/>
      <c r="K817" s="221"/>
      <c r="L817" s="221"/>
      <c r="M817" s="221"/>
      <c r="N817" s="221"/>
    </row>
    <row r="818" spans="1:14" x14ac:dyDescent="0.25">
      <c r="A818" s="220" t="s">
        <v>371</v>
      </c>
      <c r="B818" s="221"/>
      <c r="C818" s="221"/>
      <c r="D818" s="221"/>
      <c r="E818" s="221"/>
      <c r="F818" s="221"/>
      <c r="G818" s="221"/>
      <c r="H818" s="221"/>
      <c r="I818" s="221"/>
      <c r="J818" s="222"/>
      <c r="K818" s="221"/>
      <c r="L818" s="221"/>
      <c r="M818" s="221"/>
      <c r="N818" s="221"/>
    </row>
    <row r="819" spans="1:14" x14ac:dyDescent="0.25">
      <c r="A819" s="220" t="s">
        <v>372</v>
      </c>
      <c r="B819" s="221"/>
      <c r="C819" s="221"/>
      <c r="D819" s="221"/>
      <c r="E819" s="221"/>
      <c r="F819" s="221"/>
      <c r="G819" s="221"/>
      <c r="H819" s="221"/>
      <c r="I819" s="221"/>
      <c r="J819" s="222"/>
      <c r="K819" s="221"/>
      <c r="L819" s="221"/>
      <c r="M819" s="221"/>
      <c r="N819" s="221"/>
    </row>
    <row r="820" spans="1:14" x14ac:dyDescent="0.25">
      <c r="A820" s="220" t="s">
        <v>373</v>
      </c>
      <c r="B820" s="221"/>
      <c r="C820" s="221"/>
      <c r="D820" s="221"/>
      <c r="E820" s="221"/>
      <c r="F820" s="221"/>
      <c r="G820" s="221"/>
      <c r="H820" s="221"/>
      <c r="I820" s="221"/>
      <c r="J820" s="222"/>
      <c r="K820" s="221"/>
      <c r="L820" s="221"/>
      <c r="M820" s="221"/>
      <c r="N820" s="221"/>
    </row>
    <row r="821" spans="1:14" x14ac:dyDescent="0.25">
      <c r="A821" s="220" t="s">
        <v>609</v>
      </c>
      <c r="B821" s="221"/>
      <c r="C821" s="221"/>
      <c r="D821" s="221"/>
      <c r="E821" s="221"/>
      <c r="F821" s="221"/>
      <c r="G821" s="221"/>
      <c r="H821" s="221"/>
      <c r="I821" s="221"/>
      <c r="J821" s="222"/>
      <c r="K821" s="221"/>
      <c r="L821" s="221"/>
      <c r="M821" s="221"/>
      <c r="N821" s="221"/>
    </row>
    <row r="822" spans="1:14" x14ac:dyDescent="0.25">
      <c r="A822" s="220" t="s">
        <v>598</v>
      </c>
      <c r="B822" s="221"/>
      <c r="C822" s="221"/>
      <c r="D822" s="221"/>
      <c r="E822" s="221"/>
      <c r="F822" s="221"/>
      <c r="G822" s="221"/>
      <c r="H822" s="221"/>
      <c r="I822" s="221"/>
      <c r="J822" s="222"/>
      <c r="K822" s="221"/>
      <c r="L822" s="221"/>
      <c r="M822" s="221"/>
      <c r="N822" s="221"/>
    </row>
    <row r="823" spans="1:14" x14ac:dyDescent="0.25">
      <c r="A823" s="220" t="s">
        <v>597</v>
      </c>
      <c r="B823" s="221"/>
      <c r="C823" s="221"/>
      <c r="D823" s="221"/>
      <c r="E823" s="221"/>
      <c r="F823" s="221"/>
      <c r="G823" s="221"/>
      <c r="H823" s="221"/>
      <c r="I823" s="221"/>
      <c r="J823" s="222"/>
      <c r="K823" s="221"/>
      <c r="L823" s="221"/>
      <c r="M823" s="221"/>
      <c r="N823" s="221"/>
    </row>
    <row r="824" spans="1:14" x14ac:dyDescent="0.25">
      <c r="A824" s="220" t="s">
        <v>610</v>
      </c>
      <c r="B824" s="221"/>
      <c r="C824" s="221"/>
      <c r="D824" s="221"/>
      <c r="E824" s="221"/>
      <c r="F824" s="221"/>
      <c r="G824" s="221"/>
      <c r="H824" s="221"/>
      <c r="I824" s="221"/>
      <c r="J824" s="222"/>
      <c r="K824" s="221"/>
      <c r="L824" s="221"/>
      <c r="M824" s="221"/>
      <c r="N824" s="221"/>
    </row>
    <row r="825" spans="1:14" x14ac:dyDescent="0.25">
      <c r="A825" s="211" t="s">
        <v>842</v>
      </c>
      <c r="B825" s="223"/>
      <c r="C825" s="223"/>
      <c r="D825" s="223"/>
      <c r="E825" s="223"/>
      <c r="F825" s="223"/>
      <c r="G825" s="223"/>
      <c r="H825" s="223"/>
      <c r="I825" s="223"/>
      <c r="J825" s="224"/>
      <c r="K825" s="221"/>
      <c r="L825" s="221"/>
      <c r="M825" s="221"/>
      <c r="N825" s="221"/>
    </row>
    <row r="826" spans="1:14" x14ac:dyDescent="0.25">
      <c r="A826" s="221"/>
      <c r="B826" s="221"/>
      <c r="C826" s="221"/>
      <c r="D826" s="221"/>
      <c r="E826" s="221"/>
      <c r="F826" s="221"/>
      <c r="G826" s="221"/>
      <c r="H826" s="221"/>
      <c r="I826" s="221"/>
      <c r="J826" s="221"/>
      <c r="K826" s="221"/>
      <c r="L826" s="221"/>
      <c r="M826" s="221"/>
      <c r="N826" s="221"/>
    </row>
    <row r="827" spans="1:14" x14ac:dyDescent="0.25">
      <c r="A827" s="221"/>
      <c r="B827" s="221"/>
      <c r="C827" s="221"/>
      <c r="D827" s="221"/>
      <c r="E827" s="221"/>
      <c r="F827" s="221"/>
      <c r="G827" s="221"/>
      <c r="H827" s="221"/>
      <c r="I827" s="221"/>
      <c r="J827" s="221"/>
      <c r="K827" s="221"/>
      <c r="L827" s="221"/>
      <c r="M827" s="221"/>
      <c r="N827" s="221"/>
    </row>
    <row r="828" spans="1:14" x14ac:dyDescent="0.25">
      <c r="A828" s="392" t="s">
        <v>12</v>
      </c>
      <c r="B828" s="551" t="s">
        <v>249</v>
      </c>
      <c r="C828" s="393"/>
      <c r="D828" s="252"/>
      <c r="E828" s="252"/>
      <c r="F828" s="252"/>
      <c r="G828" s="221"/>
      <c r="H828" s="221"/>
      <c r="I828" s="221"/>
      <c r="J828" s="221"/>
      <c r="K828" s="221"/>
      <c r="L828" s="221"/>
      <c r="M828" s="221"/>
      <c r="N828" s="221"/>
    </row>
    <row r="829" spans="1:14" x14ac:dyDescent="0.25">
      <c r="A829" s="249" t="s">
        <v>14</v>
      </c>
      <c r="B829" s="250" t="s">
        <v>66</v>
      </c>
      <c r="C829" s="251" t="s">
        <v>15</v>
      </c>
      <c r="D829" s="252"/>
      <c r="E829" s="252"/>
      <c r="F829" s="252"/>
      <c r="G829" s="221"/>
      <c r="H829" s="221"/>
      <c r="I829" s="221"/>
      <c r="J829" s="221"/>
      <c r="K829" s="221"/>
      <c r="L829" s="221"/>
      <c r="M829" s="221"/>
      <c r="N829" s="221"/>
    </row>
    <row r="830" spans="1:14" x14ac:dyDescent="0.25">
      <c r="A830" s="253" t="s">
        <v>16</v>
      </c>
      <c r="B830" s="337">
        <v>2015</v>
      </c>
      <c r="C830" s="337">
        <v>2016</v>
      </c>
      <c r="D830" s="394">
        <v>2017</v>
      </c>
      <c r="E830" s="337">
        <v>2018</v>
      </c>
      <c r="F830" s="228">
        <v>2019</v>
      </c>
      <c r="G830" s="228">
        <v>2020</v>
      </c>
      <c r="H830" s="228">
        <v>2021</v>
      </c>
      <c r="I830" s="228">
        <v>2022</v>
      </c>
      <c r="J830" s="221"/>
      <c r="K830" s="221"/>
      <c r="L830" s="221"/>
      <c r="M830" s="221"/>
      <c r="N830" s="221"/>
    </row>
    <row r="831" spans="1:14" x14ac:dyDescent="0.25">
      <c r="A831" s="253" t="s">
        <v>17</v>
      </c>
      <c r="B831" s="215">
        <v>4722</v>
      </c>
      <c r="C831" s="215">
        <v>4250</v>
      </c>
      <c r="D831" s="215">
        <v>4250</v>
      </c>
      <c r="E831" s="215">
        <v>4250</v>
      </c>
      <c r="F831" s="215">
        <v>4250</v>
      </c>
      <c r="G831" s="215">
        <v>3968.23</v>
      </c>
      <c r="H831" s="215">
        <v>3904.7383199999999</v>
      </c>
      <c r="I831" s="215">
        <v>3936.48416</v>
      </c>
      <c r="J831" s="221"/>
      <c r="K831" s="221"/>
      <c r="L831" s="221"/>
      <c r="M831" s="221"/>
      <c r="N831" s="221"/>
    </row>
    <row r="832" spans="1:14" x14ac:dyDescent="0.25">
      <c r="A832" s="253" t="s">
        <v>18</v>
      </c>
      <c r="B832" s="215">
        <v>6614.6</v>
      </c>
      <c r="C832" s="215">
        <f>C831+70+583-337</f>
        <v>4566</v>
      </c>
      <c r="D832" s="215">
        <f>D831-337+70+B835+C835</f>
        <v>4433.3230000000003</v>
      </c>
      <c r="E832" s="215">
        <f>E831-337+70</f>
        <v>3983</v>
      </c>
      <c r="F832" s="215">
        <f>F831+70+D835</f>
        <v>4667.3230000000003</v>
      </c>
      <c r="G832" s="215">
        <f>G831+E835</f>
        <v>4380.2299999999996</v>
      </c>
      <c r="H832" s="215">
        <f>H831+425</f>
        <v>4329.7383200000004</v>
      </c>
      <c r="I832" s="215">
        <f>I831+396.82</f>
        <v>4333.3041599999997</v>
      </c>
      <c r="J832" s="221"/>
      <c r="K832" s="221"/>
      <c r="L832" s="221"/>
      <c r="M832" s="221"/>
      <c r="N832" s="221"/>
    </row>
    <row r="833" spans="1:14" x14ac:dyDescent="0.25">
      <c r="A833" s="253" t="s">
        <v>19</v>
      </c>
      <c r="B833" s="214"/>
      <c r="C833" s="214">
        <v>1</v>
      </c>
      <c r="D833" s="214">
        <v>2</v>
      </c>
      <c r="E833" s="214">
        <v>3</v>
      </c>
      <c r="F833" s="214">
        <v>4</v>
      </c>
      <c r="G833" s="214">
        <v>5</v>
      </c>
      <c r="H833" s="214">
        <v>6</v>
      </c>
      <c r="I833" s="214">
        <v>7</v>
      </c>
      <c r="J833" s="395"/>
      <c r="K833" s="221"/>
      <c r="L833" s="221"/>
      <c r="M833" s="221"/>
      <c r="N833" s="221"/>
    </row>
    <row r="834" spans="1:14" x14ac:dyDescent="0.25">
      <c r="A834" s="253" t="s">
        <v>20</v>
      </c>
      <c r="B834" s="215">
        <v>5917.6769999999997</v>
      </c>
      <c r="C834" s="215">
        <v>4812.6000000000004</v>
      </c>
      <c r="D834" s="215">
        <v>4086</v>
      </c>
      <c r="E834" s="215">
        <v>3571</v>
      </c>
      <c r="F834" s="215">
        <v>2864.5</v>
      </c>
      <c r="G834" s="215">
        <v>2932.5</v>
      </c>
      <c r="H834" s="215">
        <v>1925</v>
      </c>
      <c r="I834" s="215"/>
      <c r="J834" s="221"/>
      <c r="K834" s="221"/>
      <c r="L834" s="221"/>
      <c r="M834" s="221"/>
      <c r="N834" s="221"/>
    </row>
    <row r="835" spans="1:14" x14ac:dyDescent="0.25">
      <c r="A835" s="253" t="s">
        <v>21</v>
      </c>
      <c r="B835" s="215">
        <f t="shared" ref="B835:H835" si="28">B832-B834</f>
        <v>696.92300000000068</v>
      </c>
      <c r="C835" s="215">
        <f t="shared" si="28"/>
        <v>-246.60000000000036</v>
      </c>
      <c r="D835" s="215">
        <f t="shared" si="28"/>
        <v>347.32300000000032</v>
      </c>
      <c r="E835" s="215">
        <f t="shared" si="28"/>
        <v>412</v>
      </c>
      <c r="F835" s="215">
        <f t="shared" si="28"/>
        <v>1802.8230000000003</v>
      </c>
      <c r="G835" s="215">
        <f t="shared" si="28"/>
        <v>1447.7299999999996</v>
      </c>
      <c r="H835" s="215">
        <f t="shared" si="28"/>
        <v>2404.7383200000004</v>
      </c>
      <c r="I835" s="215"/>
      <c r="J835" s="395"/>
      <c r="K835" s="221"/>
      <c r="L835" s="221"/>
      <c r="M835" s="221"/>
      <c r="N835" s="221"/>
    </row>
    <row r="836" spans="1:14" x14ac:dyDescent="0.25">
      <c r="A836" s="256" t="s">
        <v>22</v>
      </c>
      <c r="B836" s="229">
        <v>2017</v>
      </c>
      <c r="C836" s="229">
        <v>2018</v>
      </c>
      <c r="D836" s="229">
        <v>2019</v>
      </c>
      <c r="E836" s="229">
        <v>2020</v>
      </c>
      <c r="F836" s="229">
        <v>2021</v>
      </c>
      <c r="G836" s="229">
        <v>2022</v>
      </c>
      <c r="H836" s="229">
        <v>2023</v>
      </c>
      <c r="I836" s="229"/>
      <c r="J836" s="221"/>
      <c r="K836" s="221"/>
      <c r="L836" s="221"/>
      <c r="M836" s="221"/>
      <c r="N836" s="221"/>
    </row>
    <row r="837" spans="1:14" x14ac:dyDescent="0.25">
      <c r="A837" s="396"/>
      <c r="B837" s="219"/>
      <c r="C837" s="397"/>
      <c r="D837" s="219"/>
      <c r="E837" s="219"/>
      <c r="F837" s="219"/>
      <c r="G837" s="219"/>
      <c r="H837" s="219"/>
      <c r="I837" s="217"/>
      <c r="J837" s="221"/>
      <c r="K837" s="221"/>
      <c r="L837" s="221"/>
      <c r="M837" s="221"/>
      <c r="N837" s="221"/>
    </row>
    <row r="838" spans="1:14" x14ac:dyDescent="0.25">
      <c r="A838" s="220" t="s">
        <v>611</v>
      </c>
      <c r="B838" s="221"/>
      <c r="C838" s="221"/>
      <c r="D838" s="221"/>
      <c r="E838" s="221"/>
      <c r="F838" s="221"/>
      <c r="G838" s="221"/>
      <c r="H838" s="221"/>
      <c r="I838" s="222"/>
      <c r="J838" s="221"/>
      <c r="K838" s="221"/>
      <c r="L838" s="221"/>
      <c r="M838" s="221"/>
      <c r="N838" s="221"/>
    </row>
    <row r="839" spans="1:14" x14ac:dyDescent="0.25">
      <c r="A839" s="220" t="s">
        <v>612</v>
      </c>
      <c r="B839" s="221"/>
      <c r="C839" s="221"/>
      <c r="D839" s="221"/>
      <c r="E839" s="221"/>
      <c r="F839" s="221"/>
      <c r="G839" s="221"/>
      <c r="H839" s="221"/>
      <c r="I839" s="222"/>
      <c r="J839" s="221"/>
      <c r="K839" s="221"/>
      <c r="L839" s="221"/>
      <c r="M839" s="221"/>
      <c r="N839" s="221"/>
    </row>
    <row r="840" spans="1:14" x14ac:dyDescent="0.25">
      <c r="A840" s="220" t="s">
        <v>613</v>
      </c>
      <c r="B840" s="221"/>
      <c r="C840" s="398"/>
      <c r="D840" s="221"/>
      <c r="E840" s="221"/>
      <c r="F840" s="221"/>
      <c r="G840" s="221"/>
      <c r="H840" s="221"/>
      <c r="I840" s="222"/>
      <c r="J840" s="221"/>
      <c r="K840" s="221"/>
      <c r="L840" s="221"/>
      <c r="M840" s="221"/>
      <c r="N840" s="221"/>
    </row>
    <row r="841" spans="1:14" x14ac:dyDescent="0.25">
      <c r="A841" s="220" t="s">
        <v>614</v>
      </c>
      <c r="B841" s="221"/>
      <c r="C841" s="398"/>
      <c r="D841" s="221"/>
      <c r="E841" s="221"/>
      <c r="F841" s="221"/>
      <c r="G841" s="221"/>
      <c r="H841" s="221"/>
      <c r="I841" s="222"/>
      <c r="J841" s="221"/>
      <c r="K841" s="221"/>
      <c r="L841" s="221"/>
      <c r="M841" s="221"/>
      <c r="N841" s="221"/>
    </row>
    <row r="842" spans="1:14" x14ac:dyDescent="0.25">
      <c r="A842" s="220" t="s">
        <v>615</v>
      </c>
      <c r="B842" s="221"/>
      <c r="C842" s="398"/>
      <c r="D842" s="221"/>
      <c r="E842" s="221"/>
      <c r="F842" s="221"/>
      <c r="G842" s="221"/>
      <c r="H842" s="221"/>
      <c r="I842" s="222"/>
      <c r="J842" s="221"/>
      <c r="K842" s="221"/>
      <c r="L842" s="221"/>
      <c r="M842" s="221"/>
      <c r="N842" s="221"/>
    </row>
    <row r="843" spans="1:14" x14ac:dyDescent="0.25">
      <c r="A843" s="220" t="s">
        <v>508</v>
      </c>
      <c r="B843" s="221"/>
      <c r="C843" s="221"/>
      <c r="D843" s="221"/>
      <c r="E843" s="221"/>
      <c r="F843" s="221"/>
      <c r="G843" s="221"/>
      <c r="H843" s="221"/>
      <c r="I843" s="222"/>
      <c r="J843" s="221"/>
      <c r="K843" s="221"/>
      <c r="L843" s="221"/>
      <c r="M843" s="221"/>
      <c r="N843" s="221"/>
    </row>
    <row r="844" spans="1:14" x14ac:dyDescent="0.25">
      <c r="A844" s="220" t="s">
        <v>759</v>
      </c>
      <c r="B844" s="221"/>
      <c r="C844" s="221"/>
      <c r="D844" s="221"/>
      <c r="E844" s="221"/>
      <c r="F844" s="221"/>
      <c r="G844" s="221"/>
      <c r="H844" s="221"/>
      <c r="I844" s="222"/>
      <c r="J844" s="221"/>
      <c r="K844" s="221"/>
      <c r="L844" s="221"/>
      <c r="M844" s="221"/>
      <c r="N844" s="221"/>
    </row>
    <row r="845" spans="1:14" x14ac:dyDescent="0.25">
      <c r="A845" s="211" t="s">
        <v>758</v>
      </c>
      <c r="B845" s="223"/>
      <c r="C845" s="223"/>
      <c r="D845" s="223"/>
      <c r="E845" s="223"/>
      <c r="F845" s="223"/>
      <c r="G845" s="223"/>
      <c r="H845" s="223"/>
      <c r="I845" s="224"/>
      <c r="J845" s="221"/>
      <c r="K845" s="221"/>
      <c r="L845" s="221"/>
      <c r="M845" s="221"/>
      <c r="N845" s="221"/>
    </row>
    <row r="846" spans="1:14" x14ac:dyDescent="0.25">
      <c r="A846" s="221"/>
      <c r="B846" s="221"/>
      <c r="C846" s="221"/>
      <c r="D846" s="221"/>
      <c r="E846" s="221"/>
      <c r="F846" s="221"/>
      <c r="G846" s="221"/>
      <c r="H846" s="221"/>
      <c r="I846" s="221"/>
      <c r="J846" s="221"/>
      <c r="K846" s="221"/>
      <c r="L846" s="221"/>
      <c r="M846" s="221"/>
      <c r="N846" s="221"/>
    </row>
    <row r="847" spans="1:14" x14ac:dyDescent="0.25">
      <c r="A847" s="221"/>
      <c r="B847" s="221"/>
      <c r="C847" s="221"/>
      <c r="D847" s="221"/>
      <c r="E847" s="221"/>
      <c r="F847" s="221"/>
      <c r="G847" s="221"/>
      <c r="H847" s="221"/>
      <c r="I847" s="221"/>
      <c r="J847" s="221"/>
      <c r="K847" s="221"/>
      <c r="L847" s="221"/>
      <c r="M847" s="221"/>
      <c r="N847" s="221"/>
    </row>
    <row r="848" spans="1:14" x14ac:dyDescent="0.25">
      <c r="A848" s="221"/>
      <c r="B848" s="221"/>
      <c r="C848" s="221"/>
      <c r="D848" s="221"/>
      <c r="E848" s="221"/>
      <c r="F848" s="221"/>
      <c r="G848" s="221"/>
      <c r="H848" s="221"/>
      <c r="I848" s="221"/>
      <c r="J848" s="221"/>
      <c r="K848" s="221"/>
      <c r="L848" s="221"/>
      <c r="M848" s="221"/>
      <c r="N848" s="221"/>
    </row>
    <row r="849" spans="1:14" x14ac:dyDescent="0.25">
      <c r="A849" s="556" t="s">
        <v>12</v>
      </c>
      <c r="B849" s="557" t="s">
        <v>433</v>
      </c>
      <c r="C849" s="221"/>
      <c r="D849" s="221"/>
      <c r="E849" s="221"/>
      <c r="F849" s="221"/>
      <c r="G849" s="221"/>
      <c r="H849" s="221"/>
      <c r="I849" s="221"/>
      <c r="J849" s="221"/>
      <c r="K849" s="221"/>
      <c r="L849" s="221"/>
      <c r="M849" s="221"/>
      <c r="N849" s="221"/>
    </row>
    <row r="850" spans="1:14" x14ac:dyDescent="0.25">
      <c r="A850" s="554" t="s">
        <v>14</v>
      </c>
      <c r="B850" s="555" t="s">
        <v>66</v>
      </c>
      <c r="C850" s="250" t="s">
        <v>152</v>
      </c>
      <c r="D850" s="252"/>
      <c r="E850" s="252"/>
      <c r="F850" s="252"/>
      <c r="G850" s="252"/>
      <c r="H850" s="221"/>
      <c r="I850" s="221"/>
      <c r="J850" s="221"/>
      <c r="K850" s="221"/>
      <c r="L850" s="221"/>
      <c r="M850" s="221"/>
      <c r="N850" s="221"/>
    </row>
    <row r="851" spans="1:14" x14ac:dyDescent="0.25">
      <c r="A851" s="321" t="s">
        <v>16</v>
      </c>
      <c r="B851" s="340"/>
      <c r="C851" s="337">
        <v>2020</v>
      </c>
      <c r="D851" s="337">
        <v>2021</v>
      </c>
      <c r="E851" s="337">
        <v>2022</v>
      </c>
      <c r="F851" s="221"/>
      <c r="G851" s="221"/>
      <c r="H851" s="221"/>
      <c r="I851" s="221"/>
      <c r="J851" s="221"/>
      <c r="K851" s="221"/>
      <c r="L851" s="221"/>
      <c r="M851" s="221"/>
      <c r="N851" s="221"/>
    </row>
    <row r="852" spans="1:14" x14ac:dyDescent="0.25">
      <c r="A852" s="253" t="s">
        <v>17</v>
      </c>
      <c r="B852" s="324"/>
      <c r="C852" s="325">
        <v>911.93</v>
      </c>
      <c r="D852" s="325">
        <v>911.93</v>
      </c>
      <c r="E852" s="325">
        <v>911.93</v>
      </c>
      <c r="F852" s="221"/>
      <c r="G852" s="221"/>
      <c r="H852" s="221"/>
      <c r="I852" s="221"/>
      <c r="J852" s="221"/>
      <c r="K852" s="221"/>
      <c r="L852" s="221"/>
      <c r="M852" s="221"/>
      <c r="N852" s="221"/>
    </row>
    <row r="853" spans="1:14" x14ac:dyDescent="0.25">
      <c r="A853" s="253" t="s">
        <v>18</v>
      </c>
      <c r="B853" s="324"/>
      <c r="C853" s="325"/>
      <c r="D853" s="325"/>
      <c r="E853" s="325"/>
      <c r="F853" s="221"/>
      <c r="G853" s="221"/>
      <c r="H853" s="221"/>
      <c r="I853" s="221"/>
      <c r="J853" s="221"/>
      <c r="K853" s="221"/>
      <c r="L853" s="221"/>
      <c r="M853" s="221"/>
      <c r="N853" s="221"/>
    </row>
    <row r="854" spans="1:14" x14ac:dyDescent="0.25">
      <c r="A854" s="253" t="s">
        <v>19</v>
      </c>
      <c r="B854" s="329"/>
      <c r="C854" s="338"/>
      <c r="D854" s="338"/>
      <c r="E854" s="338"/>
      <c r="F854" s="221"/>
      <c r="G854" s="221"/>
      <c r="H854" s="221"/>
      <c r="I854" s="221"/>
      <c r="J854" s="221"/>
      <c r="K854" s="221"/>
      <c r="L854" s="221"/>
      <c r="M854" s="221"/>
      <c r="N854" s="221"/>
    </row>
    <row r="855" spans="1:14" x14ac:dyDescent="0.25">
      <c r="A855" s="253" t="s">
        <v>20</v>
      </c>
      <c r="B855" s="324"/>
      <c r="C855" s="325">
        <v>905.99</v>
      </c>
      <c r="D855" s="325">
        <v>768.09</v>
      </c>
      <c r="E855" s="325">
        <v>855.34</v>
      </c>
      <c r="F855" s="221"/>
      <c r="G855" s="221"/>
      <c r="H855" s="221"/>
      <c r="I855" s="221"/>
      <c r="J855" s="221"/>
      <c r="K855" s="221"/>
      <c r="L855" s="221"/>
      <c r="M855" s="221"/>
      <c r="N855" s="221"/>
    </row>
    <row r="856" spans="1:14" x14ac:dyDescent="0.25">
      <c r="A856" s="253" t="s">
        <v>21</v>
      </c>
      <c r="B856" s="324"/>
      <c r="C856" s="325"/>
      <c r="D856" s="325"/>
      <c r="E856" s="325"/>
      <c r="F856" s="221"/>
      <c r="G856" s="221"/>
      <c r="H856" s="221"/>
      <c r="I856" s="221"/>
      <c r="J856" s="221"/>
      <c r="K856" s="221"/>
      <c r="L856" s="221"/>
      <c r="M856" s="221"/>
      <c r="N856" s="221"/>
    </row>
    <row r="857" spans="1:14" x14ac:dyDescent="0.25">
      <c r="A857" s="256" t="s">
        <v>22</v>
      </c>
      <c r="B857" s="257"/>
      <c r="C857" s="399"/>
      <c r="D857" s="399"/>
      <c r="E857" s="399"/>
      <c r="F857" s="221"/>
      <c r="G857" s="221"/>
      <c r="H857" s="221"/>
      <c r="I857" s="221"/>
      <c r="J857" s="221"/>
      <c r="K857" s="221"/>
      <c r="L857" s="221"/>
      <c r="M857" s="221"/>
      <c r="N857" s="221"/>
    </row>
    <row r="858" spans="1:14" x14ac:dyDescent="0.25">
      <c r="A858" s="400"/>
      <c r="B858" s="401"/>
      <c r="C858" s="402"/>
      <c r="D858" s="402"/>
      <c r="E858" s="402"/>
      <c r="F858" s="339"/>
      <c r="G858" s="339"/>
      <c r="H858" s="339"/>
      <c r="I858" s="221"/>
      <c r="J858" s="221"/>
      <c r="K858" s="221"/>
      <c r="L858" s="221"/>
      <c r="M858" s="221"/>
      <c r="N858" s="221"/>
    </row>
    <row r="859" spans="1:14" x14ac:dyDescent="0.25">
      <c r="A859" s="305"/>
      <c r="B859" s="305"/>
      <c r="C859" s="305"/>
      <c r="D859" s="305"/>
      <c r="E859" s="339"/>
      <c r="F859" s="339"/>
      <c r="G859" s="339"/>
      <c r="H859" s="339"/>
      <c r="I859" s="221"/>
      <c r="J859" s="221"/>
      <c r="K859" s="221"/>
      <c r="L859" s="221"/>
      <c r="M859" s="221"/>
      <c r="N859" s="221"/>
    </row>
    <row r="860" spans="1:14" x14ac:dyDescent="0.25">
      <c r="A860" s="305"/>
      <c r="B860" s="305"/>
      <c r="C860" s="305"/>
      <c r="D860" s="305"/>
      <c r="E860" s="305"/>
      <c r="F860" s="305"/>
      <c r="G860" s="305"/>
      <c r="H860" s="221"/>
      <c r="I860" s="221"/>
      <c r="J860" s="221"/>
      <c r="K860" s="221"/>
      <c r="L860" s="221"/>
      <c r="M860" s="221"/>
      <c r="N860" s="221"/>
    </row>
    <row r="861" spans="1:14" x14ac:dyDescent="0.25">
      <c r="A861" s="556" t="s">
        <v>12</v>
      </c>
      <c r="B861" s="557" t="s">
        <v>434</v>
      </c>
      <c r="C861" s="221"/>
      <c r="D861" s="221"/>
      <c r="E861" s="221"/>
      <c r="F861" s="221"/>
      <c r="G861" s="221"/>
      <c r="H861" s="221"/>
      <c r="I861" s="221"/>
      <c r="J861" s="221"/>
      <c r="K861" s="221"/>
      <c r="L861" s="221"/>
      <c r="M861" s="221"/>
      <c r="N861" s="221"/>
    </row>
    <row r="862" spans="1:14" x14ac:dyDescent="0.25">
      <c r="A862" s="554" t="s">
        <v>14</v>
      </c>
      <c r="B862" s="555" t="s">
        <v>636</v>
      </c>
      <c r="C862" s="250" t="s">
        <v>152</v>
      </c>
      <c r="D862" s="252"/>
      <c r="E862" s="252"/>
      <c r="F862" s="252"/>
      <c r="G862" s="252"/>
      <c r="H862" s="221"/>
      <c r="I862" s="221"/>
      <c r="J862" s="221"/>
      <c r="K862" s="221"/>
      <c r="L862" s="221"/>
      <c r="M862" s="221"/>
      <c r="N862" s="221"/>
    </row>
    <row r="863" spans="1:14" x14ac:dyDescent="0.25">
      <c r="A863" s="321" t="s">
        <v>16</v>
      </c>
      <c r="B863" s="340">
        <v>2016</v>
      </c>
      <c r="C863" s="337">
        <v>2017</v>
      </c>
      <c r="D863" s="337">
        <v>2018</v>
      </c>
      <c r="E863" s="337">
        <v>2019</v>
      </c>
      <c r="F863" s="337">
        <v>2020</v>
      </c>
      <c r="G863" s="337">
        <v>2021</v>
      </c>
      <c r="H863" s="337">
        <v>2022</v>
      </c>
      <c r="I863" s="337">
        <v>2023</v>
      </c>
      <c r="J863" s="221"/>
      <c r="K863" s="221"/>
      <c r="L863" s="221"/>
      <c r="M863" s="221"/>
      <c r="N863" s="221"/>
    </row>
    <row r="864" spans="1:14" x14ac:dyDescent="0.25">
      <c r="A864" s="253" t="s">
        <v>17</v>
      </c>
      <c r="B864" s="325">
        <v>0</v>
      </c>
      <c r="C864" s="325">
        <v>0</v>
      </c>
      <c r="D864" s="325">
        <v>0</v>
      </c>
      <c r="E864" s="325">
        <v>0</v>
      </c>
      <c r="F864" s="325">
        <v>0</v>
      </c>
      <c r="G864" s="325">
        <v>0</v>
      </c>
      <c r="H864" s="325">
        <v>0</v>
      </c>
      <c r="I864" s="325">
        <v>0</v>
      </c>
      <c r="J864" s="221"/>
      <c r="K864" s="221"/>
      <c r="L864" s="221"/>
      <c r="M864" s="221"/>
      <c r="N864" s="221"/>
    </row>
    <row r="865" spans="1:14" x14ac:dyDescent="0.25">
      <c r="A865" s="253" t="s">
        <v>18</v>
      </c>
      <c r="B865" s="325">
        <f>B868+B867</f>
        <v>-0.66000000000000014</v>
      </c>
      <c r="C865" s="325">
        <f t="shared" ref="C865:I865" si="29">B868</f>
        <v>-6.29</v>
      </c>
      <c r="D865" s="325">
        <f t="shared" si="29"/>
        <v>-14.989999999999998</v>
      </c>
      <c r="E865" s="325">
        <f t="shared" si="29"/>
        <v>-19.489999999999998</v>
      </c>
      <c r="F865" s="325">
        <f t="shared" si="29"/>
        <v>-21.189999999999998</v>
      </c>
      <c r="G865" s="325">
        <f t="shared" si="29"/>
        <v>-25.709999999999997</v>
      </c>
      <c r="H865" s="325">
        <f t="shared" si="29"/>
        <v>-28.479999999999997</v>
      </c>
      <c r="I865" s="325">
        <f t="shared" si="29"/>
        <v>-28.479999999999997</v>
      </c>
      <c r="J865" s="221"/>
      <c r="K865" s="221"/>
      <c r="L865" s="221"/>
      <c r="M865" s="221"/>
      <c r="N865" s="221"/>
    </row>
    <row r="866" spans="1:14" x14ac:dyDescent="0.25">
      <c r="A866" s="253" t="s">
        <v>19</v>
      </c>
      <c r="B866" s="338"/>
      <c r="C866" s="338"/>
      <c r="D866" s="338"/>
      <c r="E866" s="338"/>
      <c r="F866" s="338"/>
      <c r="G866" s="338"/>
      <c r="H866" s="338"/>
      <c r="I866" s="338"/>
      <c r="J866" s="221"/>
      <c r="K866" s="221"/>
      <c r="L866" s="221"/>
      <c r="M866" s="221"/>
      <c r="N866" s="221"/>
    </row>
    <row r="867" spans="1:14" x14ac:dyDescent="0.25">
      <c r="A867" s="253" t="s">
        <v>20</v>
      </c>
      <c r="B867" s="325">
        <v>5.63</v>
      </c>
      <c r="C867" s="325">
        <v>8.6999999999999993</v>
      </c>
      <c r="D867" s="325">
        <v>4.5</v>
      </c>
      <c r="E867" s="325">
        <v>1.7</v>
      </c>
      <c r="F867" s="325">
        <v>4.5199999999999996</v>
      </c>
      <c r="G867" s="325">
        <v>2.77</v>
      </c>
      <c r="H867" s="325">
        <v>0</v>
      </c>
      <c r="I867" s="325"/>
      <c r="J867" s="221"/>
      <c r="K867" s="221"/>
      <c r="L867" s="221"/>
      <c r="M867" s="221"/>
      <c r="N867" s="221"/>
    </row>
    <row r="868" spans="1:14" x14ac:dyDescent="0.25">
      <c r="A868" s="253" t="s">
        <v>21</v>
      </c>
      <c r="B868" s="325">
        <v>-6.29</v>
      </c>
      <c r="C868" s="325">
        <f t="shared" ref="C868:H868" si="30">C865-C867</f>
        <v>-14.989999999999998</v>
      </c>
      <c r="D868" s="325">
        <f t="shared" si="30"/>
        <v>-19.489999999999998</v>
      </c>
      <c r="E868" s="325">
        <f t="shared" si="30"/>
        <v>-21.189999999999998</v>
      </c>
      <c r="F868" s="325">
        <f t="shared" si="30"/>
        <v>-25.709999999999997</v>
      </c>
      <c r="G868" s="325">
        <f t="shared" si="30"/>
        <v>-28.479999999999997</v>
      </c>
      <c r="H868" s="325">
        <f t="shared" si="30"/>
        <v>-28.479999999999997</v>
      </c>
      <c r="I868" s="325"/>
      <c r="J868" s="221"/>
      <c r="K868" s="221"/>
      <c r="L868" s="221"/>
      <c r="M868" s="221"/>
      <c r="N868" s="221"/>
    </row>
    <row r="869" spans="1:14" x14ac:dyDescent="0.25">
      <c r="A869" s="256" t="s">
        <v>22</v>
      </c>
      <c r="B869" s="257">
        <v>2017</v>
      </c>
      <c r="C869" s="257">
        <v>2018</v>
      </c>
      <c r="D869" s="257">
        <v>2019</v>
      </c>
      <c r="E869" s="257">
        <v>2020</v>
      </c>
      <c r="F869" s="257">
        <v>2021</v>
      </c>
      <c r="G869" s="257">
        <v>2022</v>
      </c>
      <c r="H869" s="257">
        <v>2023</v>
      </c>
      <c r="I869" s="257">
        <v>2024</v>
      </c>
      <c r="J869" s="221"/>
      <c r="K869" s="221"/>
      <c r="L869" s="221"/>
      <c r="M869" s="221"/>
      <c r="N869" s="221"/>
    </row>
    <row r="870" spans="1:14" x14ac:dyDescent="0.25">
      <c r="A870" s="256" t="s">
        <v>435</v>
      </c>
      <c r="B870" s="258"/>
      <c r="C870" s="258"/>
      <c r="D870" s="258"/>
      <c r="E870" s="258"/>
      <c r="F870" s="258"/>
      <c r="G870" s="258"/>
      <c r="H870" s="219"/>
      <c r="I870" s="217"/>
      <c r="J870" s="221"/>
      <c r="K870" s="221"/>
      <c r="L870" s="221"/>
      <c r="M870" s="221"/>
      <c r="N870" s="221"/>
    </row>
    <row r="871" spans="1:14" ht="13.2" customHeight="1" x14ac:dyDescent="0.25">
      <c r="A871" s="321" t="s">
        <v>676</v>
      </c>
      <c r="B871" s="403"/>
      <c r="C871" s="403"/>
      <c r="D871" s="403"/>
      <c r="E871" s="403"/>
      <c r="F871" s="403"/>
      <c r="G871" s="403"/>
      <c r="H871" s="519"/>
      <c r="I871" s="404"/>
      <c r="J871" s="221"/>
      <c r="K871" s="221"/>
      <c r="L871" s="221"/>
      <c r="M871" s="221"/>
      <c r="N871" s="221"/>
    </row>
    <row r="872" spans="1:14" ht="13.2" customHeight="1" x14ac:dyDescent="0.25">
      <c r="A872" s="321"/>
      <c r="B872" s="403"/>
      <c r="C872" s="403"/>
      <c r="D872" s="252"/>
      <c r="E872" s="252"/>
      <c r="F872" s="252"/>
      <c r="G872" s="252"/>
      <c r="H872" s="339"/>
      <c r="I872" s="221"/>
      <c r="J872" s="221"/>
      <c r="K872" s="221"/>
      <c r="L872" s="221"/>
      <c r="M872" s="221"/>
      <c r="N872" s="221"/>
    </row>
    <row r="873" spans="1:14" x14ac:dyDescent="0.25">
      <c r="A873" s="249" t="s">
        <v>14</v>
      </c>
      <c r="B873" s="250" t="s">
        <v>74</v>
      </c>
      <c r="C873" s="250" t="s">
        <v>152</v>
      </c>
      <c r="D873" s="252"/>
      <c r="E873" s="252"/>
      <c r="F873" s="252"/>
      <c r="G873" s="252"/>
      <c r="H873" s="221"/>
      <c r="I873" s="221"/>
      <c r="J873" s="221"/>
      <c r="K873" s="221"/>
      <c r="L873" s="221"/>
      <c r="M873" s="221"/>
      <c r="N873" s="221"/>
    </row>
    <row r="874" spans="1:14" x14ac:dyDescent="0.25">
      <c r="A874" s="321" t="s">
        <v>16</v>
      </c>
      <c r="B874" s="340">
        <v>2019</v>
      </c>
      <c r="C874" s="337">
        <v>2020</v>
      </c>
      <c r="D874" s="337">
        <v>2021</v>
      </c>
      <c r="E874" s="337">
        <v>2022</v>
      </c>
      <c r="F874" s="337">
        <v>2023</v>
      </c>
      <c r="G874" s="221"/>
      <c r="H874" s="221"/>
      <c r="I874" s="221"/>
      <c r="J874" s="221"/>
      <c r="K874" s="221"/>
      <c r="L874" s="221"/>
      <c r="M874" s="221"/>
      <c r="N874" s="221"/>
    </row>
    <row r="875" spans="1:14" x14ac:dyDescent="0.25">
      <c r="A875" s="253" t="s">
        <v>17</v>
      </c>
      <c r="B875" s="324">
        <v>10</v>
      </c>
      <c r="C875" s="324">
        <v>10</v>
      </c>
      <c r="D875" s="324">
        <v>10</v>
      </c>
      <c r="E875" s="324">
        <v>10</v>
      </c>
      <c r="F875" s="324">
        <v>10</v>
      </c>
      <c r="G875" s="221"/>
      <c r="H875" s="221"/>
      <c r="I875" s="221"/>
      <c r="J875" s="221"/>
      <c r="K875" s="221"/>
      <c r="L875" s="221"/>
      <c r="M875" s="221"/>
      <c r="N875" s="221"/>
    </row>
    <row r="876" spans="1:14" x14ac:dyDescent="0.25">
      <c r="A876" s="253" t="s">
        <v>18</v>
      </c>
      <c r="B876" s="324"/>
      <c r="C876" s="325">
        <f>B879+C875</f>
        <v>-108.22</v>
      </c>
      <c r="D876" s="325">
        <f>C879+D875</f>
        <v>-137.05000000000001</v>
      </c>
      <c r="E876" s="201">
        <f>1.25*D879+E875</f>
        <v>-255.38749999999999</v>
      </c>
      <c r="F876" s="201">
        <f>E879+F875</f>
        <v>-245.38749999999999</v>
      </c>
      <c r="G876" s="221"/>
      <c r="H876" s="221"/>
      <c r="I876" s="221"/>
      <c r="J876" s="221"/>
      <c r="K876" s="221"/>
      <c r="L876" s="221"/>
      <c r="M876" s="221"/>
      <c r="N876" s="221"/>
    </row>
    <row r="877" spans="1:14" x14ac:dyDescent="0.25">
      <c r="A877" s="253" t="s">
        <v>19</v>
      </c>
      <c r="B877" s="329"/>
      <c r="C877" s="329"/>
      <c r="D877" s="329"/>
      <c r="E877" s="329" t="str">
        <f>"(1)"</f>
        <v>(1)</v>
      </c>
      <c r="F877" s="329" t="str">
        <f>"(2)"</f>
        <v>(2)</v>
      </c>
      <c r="G877" s="221"/>
      <c r="H877" s="221"/>
      <c r="I877" s="221"/>
      <c r="J877" s="221"/>
      <c r="K877" s="221"/>
      <c r="L877" s="221"/>
      <c r="M877" s="221"/>
      <c r="N877" s="221"/>
    </row>
    <row r="878" spans="1:14" x14ac:dyDescent="0.25">
      <c r="A878" s="253" t="s">
        <v>20</v>
      </c>
      <c r="B878" s="324">
        <v>128.22</v>
      </c>
      <c r="C878" s="324">
        <v>38.83</v>
      </c>
      <c r="D878" s="324">
        <v>75.260000000000005</v>
      </c>
      <c r="E878" s="324">
        <v>0</v>
      </c>
      <c r="F878" s="324"/>
      <c r="G878" s="221"/>
      <c r="H878" s="221"/>
      <c r="I878" s="221"/>
      <c r="J878" s="221"/>
      <c r="K878" s="221"/>
      <c r="L878" s="221"/>
      <c r="M878" s="221"/>
      <c r="N878" s="221"/>
    </row>
    <row r="879" spans="1:14" x14ac:dyDescent="0.25">
      <c r="A879" s="253" t="s">
        <v>21</v>
      </c>
      <c r="B879" s="325">
        <f>B875-B878</f>
        <v>-118.22</v>
      </c>
      <c r="C879" s="325">
        <f>C876-C878</f>
        <v>-147.05000000000001</v>
      </c>
      <c r="D879" s="325">
        <f>D876-D878</f>
        <v>-212.31</v>
      </c>
      <c r="E879" s="201">
        <f>E876-E878</f>
        <v>-255.38749999999999</v>
      </c>
      <c r="F879" s="325"/>
      <c r="G879" s="221"/>
      <c r="H879" s="221"/>
      <c r="I879" s="221"/>
      <c r="J879" s="221"/>
      <c r="K879" s="221"/>
      <c r="L879" s="221"/>
      <c r="M879" s="221"/>
      <c r="N879" s="221"/>
    </row>
    <row r="880" spans="1:14" x14ac:dyDescent="0.25">
      <c r="A880" s="256" t="s">
        <v>22</v>
      </c>
      <c r="B880" s="257">
        <v>2020</v>
      </c>
      <c r="C880" s="257">
        <v>2021</v>
      </c>
      <c r="D880" s="257">
        <v>2022</v>
      </c>
      <c r="E880" s="257">
        <v>2023</v>
      </c>
      <c r="F880" s="257">
        <v>2023</v>
      </c>
      <c r="G880" s="221"/>
      <c r="H880" s="221"/>
      <c r="I880" s="221"/>
      <c r="J880" s="221"/>
      <c r="K880" s="221"/>
      <c r="L880" s="221"/>
      <c r="M880" s="221"/>
      <c r="N880" s="221"/>
    </row>
    <row r="881" spans="1:14" x14ac:dyDescent="0.25">
      <c r="A881" s="256" t="s">
        <v>435</v>
      </c>
      <c r="B881" s="258"/>
      <c r="C881" s="258"/>
      <c r="D881" s="258"/>
      <c r="E881" s="258"/>
      <c r="F881" s="259"/>
      <c r="G881" s="221"/>
      <c r="H881" s="221"/>
      <c r="I881" s="221"/>
      <c r="J881" s="221"/>
      <c r="K881" s="221"/>
      <c r="L881" s="221"/>
      <c r="M881" s="221"/>
      <c r="N881" s="221"/>
    </row>
    <row r="882" spans="1:14" ht="12.75" customHeight="1" x14ac:dyDescent="0.25">
      <c r="A882" s="646" t="s">
        <v>951</v>
      </c>
      <c r="B882" s="252"/>
      <c r="C882" s="252"/>
      <c r="D882" s="252"/>
      <c r="E882" s="252"/>
      <c r="F882" s="652"/>
      <c r="G882" s="339"/>
      <c r="H882" s="339"/>
      <c r="I882" s="221"/>
      <c r="J882" s="221"/>
      <c r="K882" s="221"/>
      <c r="L882" s="221"/>
      <c r="M882" s="221"/>
      <c r="N882" s="221"/>
    </row>
    <row r="883" spans="1:14" x14ac:dyDescent="0.25">
      <c r="A883" s="647" t="s">
        <v>952</v>
      </c>
      <c r="B883" s="223"/>
      <c r="C883" s="223"/>
      <c r="D883" s="223"/>
      <c r="E883" s="223"/>
      <c r="F883" s="224"/>
      <c r="G883" s="221"/>
      <c r="H883" s="221"/>
      <c r="I883" s="221"/>
      <c r="J883" s="221"/>
      <c r="K883" s="221"/>
      <c r="L883" s="221"/>
      <c r="M883" s="221"/>
      <c r="N883" s="221"/>
    </row>
    <row r="884" spans="1:14" x14ac:dyDescent="0.25">
      <c r="A884" s="647"/>
      <c r="B884" s="221"/>
      <c r="C884" s="221"/>
      <c r="D884" s="221"/>
      <c r="E884" s="221"/>
      <c r="F884" s="221"/>
      <c r="G884" s="221"/>
      <c r="H884" s="221"/>
      <c r="I884" s="221"/>
      <c r="J884" s="221"/>
      <c r="K884" s="221"/>
      <c r="L884" s="221"/>
      <c r="M884" s="221"/>
      <c r="N884" s="221"/>
    </row>
    <row r="885" spans="1:14" x14ac:dyDescent="0.25">
      <c r="A885" s="249" t="s">
        <v>14</v>
      </c>
      <c r="B885" s="250" t="s">
        <v>79</v>
      </c>
      <c r="C885" s="250" t="s">
        <v>152</v>
      </c>
      <c r="D885" s="252"/>
      <c r="E885" s="252"/>
      <c r="F885" s="252"/>
      <c r="G885" s="252"/>
      <c r="H885" s="221"/>
      <c r="I885" s="221"/>
      <c r="J885" s="221"/>
      <c r="K885" s="221"/>
      <c r="L885" s="221"/>
      <c r="M885" s="221"/>
      <c r="N885" s="221"/>
    </row>
    <row r="886" spans="1:14" x14ac:dyDescent="0.25">
      <c r="A886" s="321" t="s">
        <v>16</v>
      </c>
      <c r="B886" s="340">
        <v>2016</v>
      </c>
      <c r="C886" s="337">
        <v>2017</v>
      </c>
      <c r="D886" s="337">
        <v>2018</v>
      </c>
      <c r="E886" s="337">
        <v>2019</v>
      </c>
      <c r="F886" s="337">
        <v>2020</v>
      </c>
      <c r="G886" s="337">
        <v>2021</v>
      </c>
      <c r="H886" s="337">
        <v>2022</v>
      </c>
      <c r="I886" s="337">
        <v>2023</v>
      </c>
      <c r="J886" s="221"/>
      <c r="K886" s="221"/>
      <c r="L886" s="221"/>
      <c r="M886" s="221"/>
      <c r="N886" s="221"/>
    </row>
    <row r="887" spans="1:14" x14ac:dyDescent="0.25">
      <c r="A887" s="253" t="s">
        <v>17</v>
      </c>
      <c r="B887" s="325">
        <v>2</v>
      </c>
      <c r="C887" s="325">
        <v>2</v>
      </c>
      <c r="D887" s="325">
        <v>2</v>
      </c>
      <c r="E887" s="325">
        <v>2</v>
      </c>
      <c r="F887" s="325">
        <v>2</v>
      </c>
      <c r="G887" s="325">
        <v>2</v>
      </c>
      <c r="H887" s="325">
        <v>2</v>
      </c>
      <c r="I887" s="325">
        <v>2</v>
      </c>
      <c r="J887" s="221"/>
      <c r="K887" s="221"/>
      <c r="L887" s="221"/>
      <c r="M887" s="221"/>
      <c r="N887" s="221"/>
    </row>
    <row r="888" spans="1:14" x14ac:dyDescent="0.25">
      <c r="A888" s="253" t="s">
        <v>18</v>
      </c>
      <c r="B888" s="325">
        <f>B890+B891</f>
        <v>1.3599999999999994</v>
      </c>
      <c r="C888" s="325">
        <f>B891+C887</f>
        <v>-45.06</v>
      </c>
      <c r="D888" s="325">
        <f>D887+C891</f>
        <v>-100.26</v>
      </c>
      <c r="E888" s="325">
        <f>D891+E887</f>
        <v>-165.26</v>
      </c>
      <c r="F888" s="325">
        <f>F887+E891</f>
        <v>-163.26</v>
      </c>
      <c r="G888" s="325">
        <f>G887+F891</f>
        <v>-161.26</v>
      </c>
      <c r="H888" s="325">
        <f>H887+G891</f>
        <v>-159.26</v>
      </c>
      <c r="I888" s="325">
        <f>I887+H891</f>
        <v>-157.26</v>
      </c>
      <c r="J888" s="221"/>
      <c r="K888" s="221"/>
      <c r="L888" s="221"/>
      <c r="M888" s="221"/>
      <c r="N888" s="221"/>
    </row>
    <row r="889" spans="1:14" x14ac:dyDescent="0.25">
      <c r="A889" s="253" t="s">
        <v>19</v>
      </c>
      <c r="B889" s="338"/>
      <c r="C889" s="338"/>
      <c r="D889" s="338"/>
      <c r="E889" s="338"/>
      <c r="F889" s="338"/>
      <c r="G889" s="338"/>
      <c r="H889" s="338"/>
      <c r="I889" s="338"/>
      <c r="J889" s="221"/>
      <c r="K889" s="221"/>
      <c r="L889" s="221"/>
      <c r="M889" s="221"/>
      <c r="N889" s="221"/>
    </row>
    <row r="890" spans="1:14" x14ac:dyDescent="0.25">
      <c r="A890" s="253" t="s">
        <v>20</v>
      </c>
      <c r="B890" s="325">
        <v>48.42</v>
      </c>
      <c r="C890" s="325">
        <v>57.2</v>
      </c>
      <c r="D890" s="325">
        <v>67</v>
      </c>
      <c r="E890" s="325">
        <v>0</v>
      </c>
      <c r="F890" s="325">
        <v>0</v>
      </c>
      <c r="G890" s="325">
        <v>0</v>
      </c>
      <c r="H890" s="325">
        <v>0</v>
      </c>
      <c r="I890" s="325"/>
      <c r="J890" s="221"/>
      <c r="K890" s="221"/>
      <c r="L890" s="221"/>
      <c r="M890" s="221"/>
      <c r="N890" s="221"/>
    </row>
    <row r="891" spans="1:14" x14ac:dyDescent="0.25">
      <c r="A891" s="253" t="s">
        <v>21</v>
      </c>
      <c r="B891" s="325">
        <v>-47.06</v>
      </c>
      <c r="C891" s="325">
        <f>C888-C890</f>
        <v>-102.26</v>
      </c>
      <c r="D891" s="325">
        <f>D888-D890</f>
        <v>-167.26</v>
      </c>
      <c r="E891" s="325">
        <f>E888-E890</f>
        <v>-165.26</v>
      </c>
      <c r="F891" s="325">
        <f>F888-F890</f>
        <v>-163.26</v>
      </c>
      <c r="G891" s="325">
        <f>G888</f>
        <v>-161.26</v>
      </c>
      <c r="H891" s="325">
        <f>H888</f>
        <v>-159.26</v>
      </c>
      <c r="I891" s="325"/>
      <c r="J891" s="221"/>
      <c r="K891" s="221"/>
      <c r="L891" s="221"/>
      <c r="M891" s="221"/>
      <c r="N891" s="221"/>
    </row>
    <row r="892" spans="1:14" x14ac:dyDescent="0.25">
      <c r="A892" s="256" t="s">
        <v>22</v>
      </c>
      <c r="B892" s="257">
        <v>2017</v>
      </c>
      <c r="C892" s="257">
        <v>2018</v>
      </c>
      <c r="D892" s="257">
        <v>2019</v>
      </c>
      <c r="E892" s="257">
        <v>2020</v>
      </c>
      <c r="F892" s="257">
        <v>2021</v>
      </c>
      <c r="G892" s="257">
        <v>2022</v>
      </c>
      <c r="H892" s="257">
        <v>2023</v>
      </c>
      <c r="I892" s="257">
        <v>2023</v>
      </c>
      <c r="J892" s="221"/>
      <c r="K892" s="221"/>
      <c r="L892" s="221"/>
      <c r="M892" s="221"/>
      <c r="N892" s="221"/>
    </row>
    <row r="893" spans="1:14" ht="13.2" customHeight="1" x14ac:dyDescent="0.25">
      <c r="A893" s="400" t="s">
        <v>435</v>
      </c>
      <c r="B893" s="401"/>
      <c r="C893" s="401"/>
      <c r="D893" s="401"/>
      <c r="E893" s="401"/>
      <c r="F893" s="401"/>
      <c r="G893" s="401"/>
      <c r="H893" s="401"/>
      <c r="I893" s="402"/>
      <c r="J893" s="221"/>
      <c r="K893" s="221"/>
      <c r="L893" s="221"/>
      <c r="M893" s="221"/>
      <c r="N893" s="221"/>
    </row>
    <row r="894" spans="1:14" x14ac:dyDescent="0.25">
      <c r="A894" s="305"/>
      <c r="B894" s="305"/>
      <c r="C894" s="305"/>
      <c r="D894" s="305"/>
      <c r="E894" s="339"/>
      <c r="F894" s="339"/>
      <c r="G894" s="339"/>
      <c r="H894" s="339"/>
      <c r="I894" s="221"/>
      <c r="J894" s="221"/>
      <c r="K894" s="221"/>
      <c r="L894" s="221"/>
      <c r="M894" s="221"/>
      <c r="N894" s="221"/>
    </row>
    <row r="895" spans="1:14" x14ac:dyDescent="0.25">
      <c r="A895" s="358"/>
      <c r="B895" s="221"/>
      <c r="C895" s="398"/>
      <c r="D895" s="221"/>
      <c r="E895" s="221"/>
      <c r="F895" s="221"/>
      <c r="G895" s="221"/>
      <c r="H895" s="221"/>
      <c r="I895" s="221"/>
      <c r="J895" s="221"/>
      <c r="K895" s="221"/>
      <c r="L895" s="221"/>
      <c r="M895" s="221"/>
      <c r="N895" s="221"/>
    </row>
    <row r="896" spans="1:14" x14ac:dyDescent="0.25">
      <c r="A896" s="597" t="s">
        <v>12</v>
      </c>
      <c r="B896" s="598" t="s">
        <v>173</v>
      </c>
      <c r="C896" s="393"/>
      <c r="D896" s="393"/>
      <c r="E896" s="393"/>
      <c r="F896" s="393"/>
      <c r="G896" s="393"/>
      <c r="H896" s="393"/>
      <c r="I896" s="393"/>
      <c r="J896" s="393"/>
      <c r="K896" s="393"/>
      <c r="L896" s="393"/>
      <c r="M896" s="221"/>
      <c r="N896" s="221"/>
    </row>
    <row r="897" spans="1:16" x14ac:dyDescent="0.25">
      <c r="A897" s="563" t="s">
        <v>14</v>
      </c>
      <c r="B897" s="564" t="s">
        <v>637</v>
      </c>
      <c r="C897" s="135" t="s">
        <v>15</v>
      </c>
      <c r="D897" s="132"/>
      <c r="E897" s="132"/>
      <c r="F897" s="132"/>
      <c r="G897" s="132"/>
      <c r="H897" s="132"/>
      <c r="I897" s="132"/>
      <c r="J897" s="132"/>
      <c r="K897" s="132"/>
      <c r="L897" s="132"/>
    </row>
    <row r="898" spans="1:16" customFormat="1" ht="14.4" x14ac:dyDescent="0.3">
      <c r="A898" s="136" t="s">
        <v>16</v>
      </c>
      <c r="B898" s="149">
        <v>2009</v>
      </c>
      <c r="C898" s="150">
        <v>2010</v>
      </c>
      <c r="D898" s="150">
        <v>2011</v>
      </c>
      <c r="E898" s="150">
        <v>2012</v>
      </c>
      <c r="F898" s="150">
        <v>2013</v>
      </c>
      <c r="G898" s="150">
        <v>2014</v>
      </c>
      <c r="H898" s="150">
        <v>2015</v>
      </c>
      <c r="I898" s="150">
        <v>2016</v>
      </c>
      <c r="J898" s="150">
        <v>2017</v>
      </c>
      <c r="K898" s="150">
        <v>2018</v>
      </c>
      <c r="L898" s="150">
        <v>2019</v>
      </c>
      <c r="M898" s="150">
        <v>2020</v>
      </c>
      <c r="N898" s="150">
        <v>2021</v>
      </c>
      <c r="O898" s="150">
        <v>2022</v>
      </c>
      <c r="P898" s="137"/>
    </row>
    <row r="899" spans="1:16" customFormat="1" ht="14.4" x14ac:dyDescent="0.3">
      <c r="A899" s="138" t="s">
        <v>17</v>
      </c>
      <c r="B899" s="139"/>
      <c r="C899" s="139"/>
      <c r="D899" s="139"/>
      <c r="E899" s="139"/>
      <c r="F899" s="139"/>
      <c r="G899" s="139"/>
      <c r="H899" s="139"/>
      <c r="I899" s="139"/>
      <c r="J899" s="139"/>
      <c r="K899" s="139"/>
      <c r="L899" s="139"/>
      <c r="M899" s="139"/>
      <c r="N899" s="139"/>
      <c r="O899" s="139"/>
      <c r="P899" s="137"/>
    </row>
    <row r="900" spans="1:16" customFormat="1" ht="14.4" x14ac:dyDescent="0.3">
      <c r="A900" s="138" t="s">
        <v>18</v>
      </c>
      <c r="B900" s="139">
        <v>525.11158760000001</v>
      </c>
      <c r="C900" s="139">
        <v>516.79334119999999</v>
      </c>
      <c r="D900" s="139">
        <v>478.68400000000003</v>
      </c>
      <c r="E900" s="139">
        <v>638.87599999999998</v>
      </c>
      <c r="F900" s="139">
        <v>573.67999999999995</v>
      </c>
      <c r="G900" s="139">
        <v>503.80800000000005</v>
      </c>
      <c r="H900" s="139">
        <v>407.19200000000001</v>
      </c>
      <c r="I900" s="139">
        <v>449.52</v>
      </c>
      <c r="J900" s="139">
        <v>394.88799999999998</v>
      </c>
      <c r="K900" s="139">
        <v>393.98364000000004</v>
      </c>
      <c r="L900" s="139">
        <v>397.32737956000005</v>
      </c>
      <c r="M900" s="139">
        <v>371.77199999999999</v>
      </c>
      <c r="N900" s="139">
        <v>505.18</v>
      </c>
      <c r="O900" s="599">
        <v>556.85249999999996</v>
      </c>
      <c r="P900" s="137"/>
    </row>
    <row r="901" spans="1:16" customFormat="1" ht="14.4" x14ac:dyDescent="0.3">
      <c r="A901" s="138" t="s">
        <v>19</v>
      </c>
      <c r="B901" s="139"/>
      <c r="C901" s="139"/>
      <c r="D901" s="139"/>
      <c r="E901" s="139"/>
      <c r="F901" s="139"/>
      <c r="G901" s="139"/>
      <c r="H901" s="139"/>
      <c r="I901" s="139"/>
      <c r="J901" s="139"/>
      <c r="K901" s="139"/>
      <c r="L901" s="139"/>
      <c r="M901" s="139"/>
      <c r="N901" s="139"/>
      <c r="O901" s="139"/>
      <c r="P901" s="137"/>
    </row>
    <row r="902" spans="1:16" customFormat="1" ht="14.4" x14ac:dyDescent="0.3">
      <c r="A902" s="138" t="s">
        <v>20</v>
      </c>
      <c r="B902" s="139">
        <v>419.55900000000003</v>
      </c>
      <c r="C902" s="139">
        <v>483.41500000000002</v>
      </c>
      <c r="D902" s="139">
        <v>285.3</v>
      </c>
      <c r="E902" s="139">
        <v>1822.1</v>
      </c>
      <c r="F902" s="139">
        <v>266.39999999999998</v>
      </c>
      <c r="G902" s="139">
        <v>305.2</v>
      </c>
      <c r="H902" s="139">
        <v>329.8</v>
      </c>
      <c r="I902" s="139">
        <v>254.9</v>
      </c>
      <c r="J902" s="139">
        <v>335</v>
      </c>
      <c r="K902" s="139">
        <v>210.6</v>
      </c>
      <c r="L902" s="139">
        <v>319.27300000000002</v>
      </c>
      <c r="M902" s="139">
        <v>282.8</v>
      </c>
      <c r="N902" s="139">
        <v>223.4</v>
      </c>
      <c r="O902" s="599">
        <v>241.6</v>
      </c>
      <c r="P902" s="137"/>
    </row>
    <row r="903" spans="1:16" customFormat="1" ht="14.4" x14ac:dyDescent="0.3">
      <c r="A903" s="140" t="s">
        <v>21</v>
      </c>
      <c r="B903" s="166">
        <v>105.55258759999998</v>
      </c>
      <c r="C903" s="166">
        <v>33.378341199999966</v>
      </c>
      <c r="D903" s="166">
        <v>193.38400000000001</v>
      </c>
      <c r="E903" s="520">
        <v>-1183.2239999999999</v>
      </c>
      <c r="F903" s="166">
        <v>307.28000000000009</v>
      </c>
      <c r="G903" s="166">
        <v>198.60800000000006</v>
      </c>
      <c r="H903" s="166">
        <v>77.391999999999996</v>
      </c>
      <c r="I903" s="166">
        <v>194.61999999999998</v>
      </c>
      <c r="J903" s="166">
        <v>59.888000000000034</v>
      </c>
      <c r="K903" s="166">
        <v>183.38364000000004</v>
      </c>
      <c r="L903" s="166">
        <v>78.054379560000029</v>
      </c>
      <c r="M903" s="166">
        <v>88.971999999999994</v>
      </c>
      <c r="N903" s="166">
        <f>N900-N902</f>
        <v>281.77999999999997</v>
      </c>
      <c r="O903" s="602">
        <f>O900-O902</f>
        <v>315.25249999999994</v>
      </c>
      <c r="P903" s="137"/>
    </row>
    <row r="904" spans="1:16" customFormat="1" ht="14.4" x14ac:dyDescent="0.3">
      <c r="A904" s="138" t="s">
        <v>22</v>
      </c>
      <c r="B904" s="521"/>
      <c r="C904" s="521"/>
      <c r="D904" s="521"/>
      <c r="E904" s="521"/>
      <c r="F904" s="521"/>
      <c r="G904" s="521"/>
      <c r="H904" s="521"/>
      <c r="I904" s="521"/>
      <c r="J904" s="521"/>
      <c r="K904" s="521"/>
      <c r="L904" s="521"/>
      <c r="M904" s="521"/>
      <c r="N904" s="521"/>
      <c r="O904" s="522"/>
      <c r="P904" s="137"/>
    </row>
    <row r="905" spans="1:16" customFormat="1" ht="14.4" x14ac:dyDescent="0.3">
      <c r="A905" s="143" t="s">
        <v>23</v>
      </c>
      <c r="B905" s="132"/>
      <c r="C905" s="132"/>
      <c r="D905" s="132"/>
      <c r="E905" s="132"/>
      <c r="F905" s="132"/>
      <c r="G905" s="132"/>
      <c r="H905" s="132"/>
      <c r="I905" s="132"/>
      <c r="J905" s="132"/>
      <c r="K905" s="132"/>
      <c r="L905" s="132"/>
      <c r="M905" s="132"/>
      <c r="N905" s="132"/>
      <c r="O905" s="144"/>
      <c r="P905" s="137"/>
    </row>
    <row r="906" spans="1:16" customFormat="1" ht="14.4" x14ac:dyDescent="0.3">
      <c r="A906" s="143" t="s">
        <v>174</v>
      </c>
      <c r="B906" s="132"/>
      <c r="C906" s="132"/>
      <c r="D906" s="132"/>
      <c r="E906" s="132"/>
      <c r="F906" s="132"/>
      <c r="G906" s="132"/>
      <c r="H906" s="132"/>
      <c r="I906" s="132"/>
      <c r="J906" s="132"/>
      <c r="K906" s="132"/>
      <c r="L906" s="132"/>
      <c r="M906" s="132"/>
      <c r="N906" s="132"/>
      <c r="O906" s="144"/>
      <c r="P906" s="137"/>
    </row>
    <row r="907" spans="1:16" customFormat="1" ht="14.4" x14ac:dyDescent="0.3">
      <c r="A907" s="20" t="s">
        <v>220</v>
      </c>
      <c r="B907" s="132"/>
      <c r="C907" s="132"/>
      <c r="D907" s="132"/>
      <c r="E907" s="132"/>
      <c r="F907" s="132"/>
      <c r="G907" s="132"/>
      <c r="H907" s="132"/>
      <c r="I907" s="132"/>
      <c r="J907" s="132"/>
      <c r="K907" s="132"/>
      <c r="L907" s="132"/>
      <c r="M907" s="132"/>
      <c r="N907" s="132"/>
      <c r="O907" s="144"/>
      <c r="P907" s="137"/>
    </row>
    <row r="908" spans="1:16" customFormat="1" ht="14.4" x14ac:dyDescent="0.3">
      <c r="A908" s="143" t="s">
        <v>271</v>
      </c>
      <c r="B908" s="132"/>
      <c r="C908" s="132"/>
      <c r="D908" s="132"/>
      <c r="E908" s="132"/>
      <c r="F908" s="132"/>
      <c r="G908" s="132"/>
      <c r="H908" s="132"/>
      <c r="I908" s="132"/>
      <c r="J908" s="132"/>
      <c r="K908" s="132"/>
      <c r="L908" s="132"/>
      <c r="M908" s="132"/>
      <c r="N908" s="132"/>
      <c r="O908" s="144"/>
      <c r="P908" s="137"/>
    </row>
    <row r="909" spans="1:16" customFormat="1" ht="14.4" x14ac:dyDescent="0.3">
      <c r="A909" s="143" t="s">
        <v>466</v>
      </c>
      <c r="B909" s="132"/>
      <c r="C909" s="132"/>
      <c r="D909" s="132"/>
      <c r="E909" s="132"/>
      <c r="F909" s="132"/>
      <c r="G909" s="132"/>
      <c r="H909" s="132"/>
      <c r="I909" s="132"/>
      <c r="J909" s="132"/>
      <c r="K909" s="132"/>
      <c r="L909" s="132"/>
      <c r="M909" s="132"/>
      <c r="N909" s="132"/>
      <c r="O909" s="144"/>
      <c r="P909" s="137"/>
    </row>
    <row r="910" spans="1:16" customFormat="1" ht="14.4" x14ac:dyDescent="0.3">
      <c r="A910" s="143" t="s">
        <v>728</v>
      </c>
      <c r="B910" s="132"/>
      <c r="C910" s="132"/>
      <c r="D910" s="132"/>
      <c r="E910" s="132"/>
      <c r="F910" s="132"/>
      <c r="G910" s="132"/>
      <c r="H910" s="132"/>
      <c r="I910" s="132"/>
      <c r="J910" s="132"/>
      <c r="K910" s="132"/>
      <c r="L910" s="132"/>
      <c r="M910" s="132"/>
      <c r="N910" s="132"/>
      <c r="O910" s="144"/>
      <c r="P910" s="137"/>
    </row>
    <row r="911" spans="1:16" customFormat="1" ht="14.4" x14ac:dyDescent="0.3">
      <c r="A911" s="143" t="s">
        <v>845</v>
      </c>
      <c r="B911" s="132"/>
      <c r="C911" s="132"/>
      <c r="D911" s="132"/>
      <c r="E911" s="132"/>
      <c r="F911" s="132"/>
      <c r="G911" s="132"/>
      <c r="H911" s="132"/>
      <c r="I911" s="132"/>
      <c r="J911" s="132"/>
      <c r="K911" s="132"/>
      <c r="L911" s="132"/>
      <c r="M911" s="132"/>
      <c r="N911" s="132"/>
      <c r="O911" s="144"/>
      <c r="P911" s="137"/>
    </row>
    <row r="912" spans="1:16" customFormat="1" ht="14.4" x14ac:dyDescent="0.3">
      <c r="A912" s="143"/>
      <c r="B912" s="132"/>
      <c r="C912" s="132"/>
      <c r="D912" s="132"/>
      <c r="E912" s="132"/>
      <c r="F912" s="132" t="s">
        <v>175</v>
      </c>
      <c r="G912" s="132"/>
      <c r="H912" s="132"/>
      <c r="I912" s="132"/>
      <c r="J912" s="132"/>
      <c r="K912" s="132"/>
      <c r="L912" s="132"/>
      <c r="M912" s="132"/>
      <c r="N912" s="132"/>
      <c r="O912" s="144"/>
      <c r="P912" s="137"/>
    </row>
    <row r="913" spans="1:18" customFormat="1" ht="14.4" x14ac:dyDescent="0.3">
      <c r="A913" s="143"/>
      <c r="B913" s="145" t="s">
        <v>176</v>
      </c>
      <c r="C913" s="600">
        <v>2.9134057665175392E-2</v>
      </c>
      <c r="D913" s="19"/>
      <c r="E913" s="132"/>
      <c r="F913" s="146" t="s">
        <v>177</v>
      </c>
      <c r="G913" s="236">
        <v>2019</v>
      </c>
      <c r="H913" s="236">
        <v>2020</v>
      </c>
      <c r="I913" s="236">
        <v>2021</v>
      </c>
      <c r="J913" s="236">
        <v>2022</v>
      </c>
      <c r="K913" s="132"/>
      <c r="L913" s="132"/>
      <c r="M913" s="132"/>
      <c r="N913" s="132"/>
      <c r="O913" s="144"/>
      <c r="P913" s="137"/>
    </row>
    <row r="914" spans="1:18" customFormat="1" ht="14.4" x14ac:dyDescent="0.3">
      <c r="A914" s="143"/>
      <c r="B914" s="132"/>
      <c r="C914" s="132"/>
      <c r="D914" s="132"/>
      <c r="E914" s="132"/>
      <c r="F914" s="146" t="s">
        <v>14</v>
      </c>
      <c r="G914" s="236" t="s">
        <v>66</v>
      </c>
      <c r="H914" s="236" t="s">
        <v>66</v>
      </c>
      <c r="I914" s="236" t="s">
        <v>66</v>
      </c>
      <c r="J914" s="236" t="s">
        <v>66</v>
      </c>
      <c r="K914" s="132"/>
      <c r="L914" s="132"/>
      <c r="M914" s="132"/>
      <c r="N914" s="132"/>
      <c r="O914" s="144"/>
      <c r="P914" s="137"/>
    </row>
    <row r="915" spans="1:18" customFormat="1" ht="14.4" x14ac:dyDescent="0.3">
      <c r="A915" s="143"/>
      <c r="B915" s="132"/>
      <c r="C915" s="132"/>
      <c r="D915" s="132"/>
      <c r="E915" s="132"/>
      <c r="F915" s="146" t="s">
        <v>178</v>
      </c>
      <c r="G915" s="237">
        <v>9933.1844890000011</v>
      </c>
      <c r="H915" s="237">
        <v>9294.2999999999993</v>
      </c>
      <c r="I915" s="236">
        <v>11226.4</v>
      </c>
      <c r="J915" s="601">
        <v>12374.5</v>
      </c>
      <c r="K915" s="132"/>
      <c r="L915" s="132"/>
      <c r="M915" s="132"/>
      <c r="N915" s="132"/>
      <c r="O915" s="144"/>
      <c r="P915" s="137"/>
    </row>
    <row r="916" spans="1:18" customFormat="1" ht="14.4" x14ac:dyDescent="0.3">
      <c r="A916" s="136"/>
      <c r="B916" s="147"/>
      <c r="C916" s="147"/>
      <c r="D916" s="147"/>
      <c r="E916" s="147"/>
      <c r="F916" s="147"/>
      <c r="G916" s="147"/>
      <c r="H916" s="147"/>
      <c r="I916" s="147"/>
      <c r="J916" s="147"/>
      <c r="K916" s="147"/>
      <c r="L916" s="147"/>
      <c r="M916" s="147"/>
      <c r="N916" s="147"/>
      <c r="O916" s="148"/>
      <c r="P916" s="137"/>
    </row>
    <row r="917" spans="1:18" x14ac:dyDescent="0.25">
      <c r="A917" s="131"/>
      <c r="C917" s="133"/>
    </row>
    <row r="918" spans="1:18" x14ac:dyDescent="0.25">
      <c r="A918" s="134" t="s">
        <v>14</v>
      </c>
      <c r="B918" s="135" t="s">
        <v>651</v>
      </c>
      <c r="C918" s="135" t="s">
        <v>15</v>
      </c>
      <c r="D918" s="132"/>
      <c r="E918" s="132"/>
      <c r="F918" s="132"/>
      <c r="G918" s="132"/>
      <c r="H918" s="132"/>
      <c r="I918" s="132"/>
      <c r="J918" s="132"/>
      <c r="K918" s="132"/>
      <c r="L918" s="132"/>
      <c r="M918" s="132"/>
      <c r="N918" s="132"/>
      <c r="O918" s="132"/>
      <c r="P918" s="132"/>
      <c r="Q918" s="132"/>
      <c r="R918" s="132"/>
    </row>
    <row r="919" spans="1:18" s="26" customFormat="1" ht="13.8" x14ac:dyDescent="0.25">
      <c r="A919" s="136" t="s">
        <v>16</v>
      </c>
      <c r="B919" s="149">
        <v>2009</v>
      </c>
      <c r="C919" s="150">
        <v>2010</v>
      </c>
      <c r="D919" s="150">
        <v>2011</v>
      </c>
      <c r="E919" s="150">
        <v>2012</v>
      </c>
      <c r="F919" s="150">
        <v>2013</v>
      </c>
      <c r="G919" s="150">
        <v>2014</v>
      </c>
      <c r="H919" s="150">
        <v>2015</v>
      </c>
      <c r="I919" s="150">
        <v>2016</v>
      </c>
      <c r="J919" s="150">
        <v>2017</v>
      </c>
      <c r="K919" s="150">
        <v>2018</v>
      </c>
      <c r="L919" s="150">
        <v>2019</v>
      </c>
      <c r="M919" s="150">
        <v>2020</v>
      </c>
      <c r="N919" s="150">
        <v>2021</v>
      </c>
      <c r="O919" s="150">
        <v>2022</v>
      </c>
      <c r="P919" s="150">
        <v>2023</v>
      </c>
      <c r="Q919" s="603">
        <v>2024</v>
      </c>
    </row>
    <row r="920" spans="1:18" s="26" customFormat="1" ht="13.8" x14ac:dyDescent="0.25">
      <c r="A920" s="138" t="s">
        <v>17</v>
      </c>
      <c r="B920" s="151"/>
      <c r="C920" s="151"/>
      <c r="D920" s="151"/>
      <c r="E920" s="151"/>
      <c r="F920" s="151"/>
      <c r="G920" s="151">
        <v>1355</v>
      </c>
      <c r="H920" s="151">
        <v>1355</v>
      </c>
      <c r="I920" s="151">
        <v>1355</v>
      </c>
      <c r="J920" s="151">
        <v>1355</v>
      </c>
      <c r="K920" s="151">
        <v>1355</v>
      </c>
      <c r="L920" s="151">
        <v>1355</v>
      </c>
      <c r="M920" s="151">
        <v>1355</v>
      </c>
      <c r="N920" s="151">
        <v>1355</v>
      </c>
      <c r="O920" s="151">
        <v>1355</v>
      </c>
      <c r="P920" s="151">
        <v>1630</v>
      </c>
      <c r="Q920" s="202">
        <v>1630</v>
      </c>
    </row>
    <row r="921" spans="1:18" s="26" customFormat="1" ht="13.8" x14ac:dyDescent="0.25">
      <c r="A921" s="138" t="s">
        <v>18</v>
      </c>
      <c r="B921" s="151">
        <v>237.31834029985683</v>
      </c>
      <c r="C921" s="151">
        <v>315.5295404143024</v>
      </c>
      <c r="D921" s="151">
        <v>275.05599999999998</v>
      </c>
      <c r="E921" s="151">
        <v>415.68</v>
      </c>
      <c r="F921" s="151">
        <v>341.67599999999999</v>
      </c>
      <c r="G921" s="151">
        <v>1725</v>
      </c>
      <c r="H921" s="151">
        <v>1555</v>
      </c>
      <c r="I921" s="151">
        <v>1693.75</v>
      </c>
      <c r="J921" s="151">
        <v>1717.1</v>
      </c>
      <c r="K921" s="151">
        <v>1893.75</v>
      </c>
      <c r="L921" s="151">
        <v>1936.3</v>
      </c>
      <c r="M921" s="151">
        <v>2693.75</v>
      </c>
      <c r="N921" s="151">
        <f>N920+0.25*L920</f>
        <v>1693.75</v>
      </c>
      <c r="O921" s="151">
        <v>1693.75</v>
      </c>
      <c r="P921" s="240">
        <f>P920+N924+300</f>
        <v>2136.15</v>
      </c>
      <c r="Q921" s="202">
        <f>Q920+O924</f>
        <v>1582.55</v>
      </c>
    </row>
    <row r="922" spans="1:18" s="26" customFormat="1" ht="13.8" x14ac:dyDescent="0.25">
      <c r="A922" s="138" t="s">
        <v>19</v>
      </c>
      <c r="B922" s="151"/>
      <c r="C922" s="151"/>
      <c r="D922" s="151"/>
      <c r="E922" s="151"/>
      <c r="F922" s="151"/>
      <c r="G922" s="151"/>
      <c r="H922" s="151"/>
      <c r="I922" s="151"/>
      <c r="J922" s="151"/>
      <c r="K922" s="151"/>
      <c r="L922" s="151"/>
      <c r="M922" s="151"/>
      <c r="N922" s="151"/>
      <c r="O922" s="151"/>
      <c r="P922" s="151"/>
      <c r="Q922" s="202"/>
    </row>
    <row r="923" spans="1:18" s="26" customFormat="1" ht="13.8" x14ac:dyDescent="0.25">
      <c r="A923" s="138" t="s">
        <v>20</v>
      </c>
      <c r="B923" s="151">
        <v>958.10900000000004</v>
      </c>
      <c r="C923" s="151">
        <v>1217.827</v>
      </c>
      <c r="D923" s="151">
        <v>1776.4</v>
      </c>
      <c r="E923" s="151">
        <v>3550.6</v>
      </c>
      <c r="F923" s="151">
        <v>1713.8</v>
      </c>
      <c r="G923" s="151">
        <v>1198.9000000000001</v>
      </c>
      <c r="H923" s="151">
        <v>1392.9</v>
      </c>
      <c r="I923" s="151">
        <v>1212.8</v>
      </c>
      <c r="J923" s="151">
        <v>2135.8000000000002</v>
      </c>
      <c r="K923" s="151">
        <v>1654.5</v>
      </c>
      <c r="L923" s="151">
        <v>1465.57</v>
      </c>
      <c r="M923" s="151">
        <v>1621.8</v>
      </c>
      <c r="N923" s="151">
        <v>1487.6</v>
      </c>
      <c r="O923" s="202">
        <v>1741.2</v>
      </c>
      <c r="P923" s="151"/>
      <c r="Q923" s="202"/>
    </row>
    <row r="924" spans="1:18" s="26" customFormat="1" ht="13.8" x14ac:dyDescent="0.25">
      <c r="A924" s="138" t="s">
        <v>21</v>
      </c>
      <c r="B924" s="151">
        <v>-720.79065970014324</v>
      </c>
      <c r="C924" s="151">
        <v>-902.29745958569765</v>
      </c>
      <c r="D924" s="151">
        <v>-1501.3440000000001</v>
      </c>
      <c r="E924" s="151">
        <v>-3134.92</v>
      </c>
      <c r="F924" s="151">
        <v>-1372.124</v>
      </c>
      <c r="G924" s="151">
        <v>526.09999999999991</v>
      </c>
      <c r="H924" s="151">
        <v>162.09999999999991</v>
      </c>
      <c r="I924" s="151">
        <v>480.95000000000005</v>
      </c>
      <c r="J924" s="151">
        <v>-418.70000000000027</v>
      </c>
      <c r="K924" s="151">
        <v>239.25</v>
      </c>
      <c r="L924" s="151">
        <v>470.73</v>
      </c>
      <c r="M924" s="151">
        <v>1071.95</v>
      </c>
      <c r="N924" s="151">
        <f>N921-N923</f>
        <v>206.15000000000009</v>
      </c>
      <c r="O924" s="202">
        <f>O921-O923</f>
        <v>-47.450000000000045</v>
      </c>
      <c r="P924" s="151"/>
      <c r="Q924" s="202"/>
    </row>
    <row r="925" spans="1:18" s="26" customFormat="1" ht="13.8" x14ac:dyDescent="0.25">
      <c r="A925" s="140" t="s">
        <v>22</v>
      </c>
      <c r="B925" s="152"/>
      <c r="C925" s="152"/>
      <c r="D925" s="152"/>
      <c r="E925" s="152"/>
      <c r="F925" s="152"/>
      <c r="G925" s="153">
        <v>2016</v>
      </c>
      <c r="H925" s="153">
        <v>2017</v>
      </c>
      <c r="I925" s="153">
        <v>2018</v>
      </c>
      <c r="J925" s="153">
        <v>2019</v>
      </c>
      <c r="K925" s="153">
        <v>2020</v>
      </c>
      <c r="L925" s="153">
        <v>2021</v>
      </c>
      <c r="M925" s="153">
        <v>2022</v>
      </c>
      <c r="N925" s="153">
        <v>2023</v>
      </c>
      <c r="O925" s="153">
        <v>2024</v>
      </c>
      <c r="P925" s="153">
        <v>2025</v>
      </c>
      <c r="Q925" s="604">
        <v>2026</v>
      </c>
    </row>
    <row r="926" spans="1:18" s="26" customFormat="1" ht="13.8" x14ac:dyDescent="0.25">
      <c r="A926" s="140" t="s">
        <v>179</v>
      </c>
      <c r="B926" s="141"/>
      <c r="C926" s="141"/>
      <c r="D926" s="141"/>
      <c r="E926" s="141"/>
      <c r="F926" s="141"/>
      <c r="G926" s="141"/>
      <c r="H926" s="141"/>
      <c r="I926" s="141"/>
      <c r="J926" s="141"/>
      <c r="K926" s="141"/>
      <c r="L926" s="141"/>
      <c r="M926" s="141"/>
      <c r="N926" s="141"/>
      <c r="O926" s="141"/>
      <c r="P926" s="142"/>
      <c r="Q926" s="142"/>
    </row>
    <row r="927" spans="1:18" s="26" customFormat="1" ht="13.8" x14ac:dyDescent="0.25">
      <c r="A927" s="140" t="s">
        <v>180</v>
      </c>
      <c r="B927" s="141"/>
      <c r="C927" s="141"/>
      <c r="D927" s="141"/>
      <c r="E927" s="141"/>
      <c r="F927" s="141"/>
      <c r="G927" s="141"/>
      <c r="H927" s="141"/>
      <c r="I927" s="141"/>
      <c r="J927" s="141"/>
      <c r="K927" s="141"/>
      <c r="L927" s="141"/>
      <c r="M927" s="141"/>
      <c r="N927" s="141"/>
      <c r="O927" s="141"/>
      <c r="P927" s="141"/>
      <c r="Q927" s="142"/>
    </row>
    <row r="928" spans="1:18" s="26" customFormat="1" ht="13.8" x14ac:dyDescent="0.25">
      <c r="A928" s="143" t="s">
        <v>181</v>
      </c>
      <c r="B928" s="132"/>
      <c r="C928" s="132"/>
      <c r="D928" s="132"/>
      <c r="E928" s="132"/>
      <c r="F928" s="132"/>
      <c r="G928" s="132"/>
      <c r="H928" s="132"/>
      <c r="I928" s="132"/>
      <c r="J928" s="132"/>
      <c r="K928" s="132"/>
      <c r="L928" s="132"/>
      <c r="M928" s="132"/>
      <c r="N928" s="132"/>
      <c r="O928" s="132"/>
      <c r="P928" s="132"/>
      <c r="Q928" s="144"/>
    </row>
    <row r="929" spans="1:18" s="26" customFormat="1" ht="13.8" x14ac:dyDescent="0.25">
      <c r="A929" s="143" t="s">
        <v>182</v>
      </c>
      <c r="B929" s="132"/>
      <c r="C929" s="132"/>
      <c r="D929" s="132"/>
      <c r="E929" s="132"/>
      <c r="F929" s="132"/>
      <c r="G929" s="132"/>
      <c r="H929" s="132"/>
      <c r="I929" s="132"/>
      <c r="J929" s="132"/>
      <c r="K929" s="132"/>
      <c r="L929" s="132"/>
      <c r="M929" s="132"/>
      <c r="N929" s="132"/>
      <c r="O929" s="132"/>
      <c r="P929" s="132"/>
      <c r="Q929" s="144"/>
    </row>
    <row r="930" spans="1:18" s="26" customFormat="1" ht="13.8" x14ac:dyDescent="0.25">
      <c r="A930" s="143" t="s">
        <v>183</v>
      </c>
      <c r="B930" s="155"/>
      <c r="C930" s="156"/>
      <c r="D930" s="157"/>
      <c r="E930" s="132"/>
      <c r="F930" s="132"/>
      <c r="G930" s="156"/>
      <c r="H930" s="132"/>
      <c r="I930" s="132"/>
      <c r="J930" s="132"/>
      <c r="K930" s="132"/>
      <c r="L930" s="132"/>
      <c r="M930" s="132"/>
      <c r="N930" s="132"/>
      <c r="O930" s="132"/>
      <c r="P930" s="132"/>
      <c r="Q930" s="144"/>
    </row>
    <row r="931" spans="1:18" s="26" customFormat="1" ht="13.8" x14ac:dyDescent="0.25">
      <c r="A931" s="143" t="s">
        <v>184</v>
      </c>
      <c r="B931" s="132"/>
      <c r="C931" s="132"/>
      <c r="D931" s="132"/>
      <c r="E931" s="132"/>
      <c r="F931" s="132"/>
      <c r="G931" s="132"/>
      <c r="H931" s="132"/>
      <c r="I931" s="132"/>
      <c r="J931" s="132"/>
      <c r="K931" s="132"/>
      <c r="L931" s="132"/>
      <c r="M931" s="132"/>
      <c r="N931" s="132"/>
      <c r="O931" s="132"/>
      <c r="P931" s="132"/>
      <c r="Q931" s="144"/>
    </row>
    <row r="932" spans="1:18" s="26" customFormat="1" ht="13.8" x14ac:dyDescent="0.25">
      <c r="A932" s="143" t="s">
        <v>185</v>
      </c>
      <c r="B932" s="132"/>
      <c r="C932" s="132"/>
      <c r="D932" s="132"/>
      <c r="E932" s="132"/>
      <c r="F932" s="132"/>
      <c r="G932" s="132"/>
      <c r="H932" s="132"/>
      <c r="I932" s="132"/>
      <c r="J932" s="132"/>
      <c r="K932" s="132"/>
      <c r="L932" s="132"/>
      <c r="M932" s="132"/>
      <c r="N932" s="132"/>
      <c r="O932" s="132"/>
      <c r="P932" s="132"/>
      <c r="Q932" s="144"/>
    </row>
    <row r="933" spans="1:18" s="26" customFormat="1" ht="13.8" x14ac:dyDescent="0.25">
      <c r="A933" s="158" t="s">
        <v>221</v>
      </c>
      <c r="B933" s="132"/>
      <c r="C933" s="132"/>
      <c r="D933" s="132"/>
      <c r="E933" s="132"/>
      <c r="F933" s="132"/>
      <c r="G933" s="132"/>
      <c r="H933" s="132"/>
      <c r="I933" s="132"/>
      <c r="J933" s="132"/>
      <c r="K933" s="132"/>
      <c r="L933" s="132"/>
      <c r="M933" s="132"/>
      <c r="N933" s="132"/>
      <c r="O933" s="132"/>
      <c r="P933" s="132"/>
      <c r="Q933" s="144"/>
    </row>
    <row r="934" spans="1:18" s="26" customFormat="1" ht="13.8" x14ac:dyDescent="0.25">
      <c r="A934" s="143" t="s">
        <v>222</v>
      </c>
      <c r="B934" s="132"/>
      <c r="C934" s="132"/>
      <c r="D934" s="132"/>
      <c r="E934" s="132"/>
      <c r="F934" s="132"/>
      <c r="G934" s="156"/>
      <c r="H934" s="132"/>
      <c r="I934" s="132"/>
      <c r="J934" s="132"/>
      <c r="K934" s="132"/>
      <c r="L934" s="132"/>
      <c r="M934" s="132"/>
      <c r="N934" s="132"/>
      <c r="O934" s="132"/>
      <c r="P934" s="132"/>
      <c r="Q934" s="144"/>
    </row>
    <row r="935" spans="1:18" s="160" customFormat="1" x14ac:dyDescent="0.25">
      <c r="A935" s="143" t="s">
        <v>223</v>
      </c>
      <c r="B935" s="606"/>
      <c r="C935" s="606"/>
      <c r="D935" s="606"/>
      <c r="E935" s="606"/>
      <c r="F935" s="606"/>
      <c r="G935" s="607"/>
      <c r="H935" s="606"/>
      <c r="I935" s="606"/>
      <c r="J935" s="606"/>
      <c r="K935" s="606"/>
      <c r="L935" s="606"/>
      <c r="M935" s="606"/>
      <c r="N935" s="606"/>
      <c r="O935" s="606"/>
      <c r="P935" s="606"/>
      <c r="Q935" s="159"/>
    </row>
    <row r="936" spans="1:18" s="160" customFormat="1" x14ac:dyDescent="0.25">
      <c r="A936" s="143" t="s">
        <v>224</v>
      </c>
      <c r="B936" s="606"/>
      <c r="C936" s="606"/>
      <c r="D936" s="606"/>
      <c r="E936" s="606"/>
      <c r="F936" s="606"/>
      <c r="G936" s="608"/>
      <c r="H936" s="606"/>
      <c r="I936" s="606"/>
      <c r="J936" s="606"/>
      <c r="K936" s="606"/>
      <c r="L936" s="606"/>
      <c r="M936" s="606"/>
      <c r="N936" s="606"/>
      <c r="O936" s="606"/>
      <c r="P936" s="606"/>
      <c r="Q936" s="159"/>
    </row>
    <row r="937" spans="1:18" s="160" customFormat="1" x14ac:dyDescent="0.25">
      <c r="A937" s="143" t="s">
        <v>272</v>
      </c>
      <c r="B937" s="606"/>
      <c r="C937" s="606"/>
      <c r="D937" s="606"/>
      <c r="E937" s="606"/>
      <c r="F937" s="606"/>
      <c r="G937" s="608"/>
      <c r="H937" s="606"/>
      <c r="I937" s="606"/>
      <c r="J937" s="606"/>
      <c r="K937" s="606"/>
      <c r="L937" s="606"/>
      <c r="M937" s="606"/>
      <c r="N937" s="606"/>
      <c r="O937" s="606"/>
      <c r="P937" s="606"/>
      <c r="Q937" s="159"/>
    </row>
    <row r="938" spans="1:18" s="26" customFormat="1" ht="13.8" x14ac:dyDescent="0.25">
      <c r="A938" s="161" t="s">
        <v>225</v>
      </c>
      <c r="B938" s="609"/>
      <c r="C938" s="609"/>
      <c r="D938" s="609"/>
      <c r="E938" s="609"/>
      <c r="F938" s="609"/>
      <c r="G938" s="609"/>
      <c r="H938" s="609"/>
      <c r="I938" s="609"/>
      <c r="J938" s="609"/>
      <c r="K938" s="609"/>
      <c r="L938" s="609"/>
      <c r="M938" s="609"/>
      <c r="N938" s="609"/>
      <c r="O938" s="609"/>
      <c r="P938" s="132"/>
      <c r="Q938" s="144"/>
      <c r="R938" s="132"/>
    </row>
    <row r="939" spans="1:18" s="26" customFormat="1" ht="27" customHeight="1" x14ac:dyDescent="0.25">
      <c r="A939" s="743" t="s">
        <v>348</v>
      </c>
      <c r="B939" s="744"/>
      <c r="C939" s="744"/>
      <c r="D939" s="744"/>
      <c r="E939" s="744"/>
      <c r="F939" s="744"/>
      <c r="G939" s="744"/>
      <c r="H939" s="744"/>
      <c r="I939" s="744"/>
      <c r="J939" s="744"/>
      <c r="K939" s="744"/>
      <c r="L939" s="744"/>
      <c r="M939" s="744"/>
      <c r="N939" s="744"/>
      <c r="O939" s="609"/>
      <c r="P939" s="132"/>
      <c r="Q939" s="144"/>
      <c r="R939" s="132"/>
    </row>
    <row r="940" spans="1:18" s="26" customFormat="1" ht="13.95" customHeight="1" x14ac:dyDescent="0.25">
      <c r="A940" s="161" t="s">
        <v>410</v>
      </c>
      <c r="B940" s="609"/>
      <c r="C940" s="609"/>
      <c r="D940" s="609"/>
      <c r="E940" s="609"/>
      <c r="F940" s="609"/>
      <c r="G940" s="609"/>
      <c r="H940" s="609"/>
      <c r="I940" s="609"/>
      <c r="J940" s="609"/>
      <c r="K940" s="609"/>
      <c r="L940" s="609"/>
      <c r="M940" s="609"/>
      <c r="N940" s="609"/>
      <c r="O940" s="609"/>
      <c r="P940" s="132"/>
      <c r="Q940" s="144"/>
      <c r="R940" s="132"/>
    </row>
    <row r="941" spans="1:18" s="26" customFormat="1" ht="13.95" customHeight="1" x14ac:dyDescent="0.25">
      <c r="A941" s="161" t="s">
        <v>652</v>
      </c>
      <c r="B941" s="609"/>
      <c r="C941" s="609"/>
      <c r="D941" s="609"/>
      <c r="E941" s="609"/>
      <c r="F941" s="609"/>
      <c r="G941" s="609"/>
      <c r="H941" s="609"/>
      <c r="I941" s="609"/>
      <c r="J941" s="609"/>
      <c r="K941" s="609"/>
      <c r="L941" s="609"/>
      <c r="M941" s="609"/>
      <c r="N941" s="609"/>
      <c r="O941" s="609"/>
      <c r="P941" s="132"/>
      <c r="Q941" s="144"/>
      <c r="R941" s="132"/>
    </row>
    <row r="942" spans="1:18" s="26" customFormat="1" ht="13.95" customHeight="1" x14ac:dyDescent="0.25">
      <c r="A942" s="605" t="s">
        <v>846</v>
      </c>
      <c r="B942" s="609"/>
      <c r="C942" s="609"/>
      <c r="D942" s="609"/>
      <c r="E942" s="609"/>
      <c r="F942" s="609"/>
      <c r="G942" s="609"/>
      <c r="H942" s="609"/>
      <c r="I942" s="609"/>
      <c r="J942" s="609"/>
      <c r="K942" s="609"/>
      <c r="L942" s="609"/>
      <c r="M942" s="609"/>
      <c r="N942" s="609"/>
      <c r="O942" s="609"/>
      <c r="P942" s="132"/>
      <c r="Q942" s="144"/>
      <c r="R942" s="132"/>
    </row>
    <row r="943" spans="1:18" s="26" customFormat="1" ht="13.95" customHeight="1" x14ac:dyDescent="0.25">
      <c r="A943" s="405" t="s">
        <v>936</v>
      </c>
      <c r="B943" s="163"/>
      <c r="C943" s="163"/>
      <c r="D943" s="163"/>
      <c r="E943" s="163"/>
      <c r="F943" s="163"/>
      <c r="G943" s="163"/>
      <c r="H943" s="163"/>
      <c r="I943" s="163"/>
      <c r="J943" s="163"/>
      <c r="K943" s="163"/>
      <c r="L943" s="163"/>
      <c r="M943" s="163"/>
      <c r="N943" s="163"/>
      <c r="O943" s="163"/>
      <c r="P943" s="147"/>
      <c r="Q943" s="148"/>
      <c r="R943" s="132"/>
    </row>
    <row r="944" spans="1:18" x14ac:dyDescent="0.25">
      <c r="A944" s="131"/>
      <c r="C944" s="133"/>
    </row>
    <row r="945" spans="1:18" x14ac:dyDescent="0.25">
      <c r="A945" s="134" t="s">
        <v>14</v>
      </c>
      <c r="B945" s="135" t="s">
        <v>636</v>
      </c>
      <c r="C945" s="135" t="s">
        <v>15</v>
      </c>
      <c r="D945" s="132"/>
      <c r="E945" s="132"/>
      <c r="F945" s="132"/>
      <c r="G945" s="132"/>
      <c r="H945" s="132"/>
      <c r="I945" s="132"/>
      <c r="J945" s="132"/>
      <c r="K945" s="132"/>
      <c r="L945" s="132"/>
      <c r="M945" s="132"/>
      <c r="N945" s="132"/>
      <c r="O945" s="132"/>
      <c r="P945" s="132"/>
      <c r="Q945" s="132"/>
      <c r="R945" s="132"/>
    </row>
    <row r="946" spans="1:18" x14ac:dyDescent="0.25">
      <c r="A946" s="136" t="s">
        <v>16</v>
      </c>
      <c r="B946" s="238">
        <v>2009</v>
      </c>
      <c r="C946" s="239">
        <v>2010</v>
      </c>
      <c r="D946" s="239">
        <v>2011</v>
      </c>
      <c r="E946" s="239">
        <v>2012</v>
      </c>
      <c r="F946" s="239">
        <v>2013</v>
      </c>
      <c r="G946" s="239">
        <v>2014</v>
      </c>
      <c r="H946" s="239">
        <v>2015</v>
      </c>
      <c r="I946" s="239">
        <v>2016</v>
      </c>
      <c r="J946" s="239">
        <v>2017</v>
      </c>
      <c r="K946" s="239">
        <v>2018</v>
      </c>
      <c r="L946" s="239">
        <v>2019</v>
      </c>
      <c r="M946" s="239">
        <v>2020</v>
      </c>
      <c r="N946" s="150">
        <v>2021</v>
      </c>
      <c r="O946" s="150">
        <v>2022</v>
      </c>
      <c r="P946" s="150">
        <v>2023</v>
      </c>
      <c r="Q946" s="132"/>
      <c r="R946" s="132"/>
    </row>
    <row r="947" spans="1:18" x14ac:dyDescent="0.25">
      <c r="A947" s="138" t="s">
        <v>17</v>
      </c>
      <c r="B947" s="151">
        <v>842</v>
      </c>
      <c r="C947" s="151">
        <v>842</v>
      </c>
      <c r="D947" s="151">
        <v>842</v>
      </c>
      <c r="E947" s="151">
        <v>842</v>
      </c>
      <c r="F947" s="151">
        <v>842</v>
      </c>
      <c r="G947" s="151">
        <v>842</v>
      </c>
      <c r="H947" s="151">
        <v>842</v>
      </c>
      <c r="I947" s="151">
        <v>842</v>
      </c>
      <c r="J947" s="151">
        <v>842</v>
      </c>
      <c r="K947" s="151">
        <v>842</v>
      </c>
      <c r="L947" s="151">
        <v>842</v>
      </c>
      <c r="M947" s="151">
        <v>842</v>
      </c>
      <c r="N947" s="151">
        <v>842</v>
      </c>
      <c r="O947" s="151">
        <v>842</v>
      </c>
      <c r="P947" s="151">
        <v>842</v>
      </c>
      <c r="Q947" s="132"/>
      <c r="R947" s="132"/>
    </row>
    <row r="948" spans="1:18" x14ac:dyDescent="0.25">
      <c r="A948" s="138" t="s">
        <v>18</v>
      </c>
      <c r="B948" s="151">
        <v>2717.74</v>
      </c>
      <c r="C948" s="151">
        <v>2596.7442299999998</v>
      </c>
      <c r="D948" s="151">
        <v>2707.4306399999996</v>
      </c>
      <c r="E948" s="151">
        <v>2795.2306399999998</v>
      </c>
      <c r="F948" s="151">
        <v>3114.7264100000002</v>
      </c>
      <c r="G948" s="151">
        <v>3408.0264100000004</v>
      </c>
      <c r="H948" s="151">
        <f>1.15*H947-(50+35+25)</f>
        <v>858.3</v>
      </c>
      <c r="I948" s="151">
        <f>I947+H951-50-35-25</f>
        <v>1138.1999999999998</v>
      </c>
      <c r="J948" s="151">
        <f>J947+I951-100-35-25</f>
        <v>1422.4999999999998</v>
      </c>
      <c r="K948" s="151">
        <f>K947*1.15-100-35</f>
        <v>833.3</v>
      </c>
      <c r="L948" s="151">
        <f>L947+K951-100-35-25</f>
        <v>1226</v>
      </c>
      <c r="M948" s="151">
        <f>M947+L951-150-35-25</f>
        <v>1463.0075420000001</v>
      </c>
      <c r="N948" s="151">
        <f>N947+M951-150-35-25</f>
        <v>1688.2075420000001</v>
      </c>
      <c r="O948" s="151">
        <f>O947+N951-150-35-25</f>
        <v>2032.807542</v>
      </c>
      <c r="P948" s="151">
        <v>632</v>
      </c>
      <c r="Q948" s="132"/>
      <c r="R948" s="132"/>
    </row>
    <row r="949" spans="1:18" x14ac:dyDescent="0.25">
      <c r="A949" s="138" t="s">
        <v>19</v>
      </c>
      <c r="B949" s="151"/>
      <c r="C949" s="151"/>
      <c r="D949" s="151"/>
      <c r="E949" s="151"/>
      <c r="F949" s="151"/>
      <c r="G949" s="151"/>
      <c r="H949" s="164"/>
      <c r="I949" s="164"/>
      <c r="J949" s="164"/>
      <c r="K949" s="164"/>
      <c r="L949" s="164"/>
      <c r="M949" s="164"/>
      <c r="N949" s="164"/>
      <c r="O949" s="164"/>
      <c r="P949" s="164"/>
      <c r="Q949" s="132"/>
      <c r="R949" s="132"/>
    </row>
    <row r="950" spans="1:18" x14ac:dyDescent="0.25">
      <c r="A950" s="138" t="s">
        <v>20</v>
      </c>
      <c r="B950" s="151">
        <v>962.99576999999999</v>
      </c>
      <c r="C950" s="151">
        <v>681.31358999999998</v>
      </c>
      <c r="D950" s="151">
        <v>669.2</v>
      </c>
      <c r="E950" s="151">
        <v>437.5</v>
      </c>
      <c r="F950" s="151">
        <v>438.7</v>
      </c>
      <c r="G950" s="151">
        <v>392.9</v>
      </c>
      <c r="H950" s="151">
        <v>452.1</v>
      </c>
      <c r="I950" s="151">
        <v>397.7</v>
      </c>
      <c r="J950" s="151">
        <v>406</v>
      </c>
      <c r="K950" s="151">
        <v>289.3</v>
      </c>
      <c r="L950" s="151">
        <v>394.992458</v>
      </c>
      <c r="M950" s="151">
        <v>406.79999999999995</v>
      </c>
      <c r="N950" s="151">
        <v>287.39999999999998</v>
      </c>
      <c r="O950" s="202">
        <v>445</v>
      </c>
      <c r="P950" s="151"/>
      <c r="Q950" s="132"/>
      <c r="R950" s="132"/>
    </row>
    <row r="951" spans="1:18" x14ac:dyDescent="0.25">
      <c r="A951" s="138" t="s">
        <v>21</v>
      </c>
      <c r="B951" s="151">
        <v>1754.7442299999998</v>
      </c>
      <c r="C951" s="151">
        <v>1915.4306399999998</v>
      </c>
      <c r="D951" s="151">
        <v>2038.2306399999995</v>
      </c>
      <c r="E951" s="151">
        <v>2357.7264100000002</v>
      </c>
      <c r="F951" s="151">
        <v>2676.0264100000004</v>
      </c>
      <c r="G951" s="151">
        <v>3015.1264100000003</v>
      </c>
      <c r="H951" s="151">
        <f t="shared" ref="H951:O951" si="31">H948-H950</f>
        <v>406.19999999999993</v>
      </c>
      <c r="I951" s="151">
        <f t="shared" si="31"/>
        <v>740.49999999999977</v>
      </c>
      <c r="J951" s="151">
        <f t="shared" si="31"/>
        <v>1016.4999999999998</v>
      </c>
      <c r="K951" s="151">
        <f t="shared" si="31"/>
        <v>544</v>
      </c>
      <c r="L951" s="151">
        <f t="shared" si="31"/>
        <v>831.00754200000006</v>
      </c>
      <c r="M951" s="151">
        <f t="shared" si="31"/>
        <v>1056.2075420000001</v>
      </c>
      <c r="N951" s="151">
        <f t="shared" si="31"/>
        <v>1400.807542</v>
      </c>
      <c r="O951" s="202">
        <f t="shared" si="31"/>
        <v>1587.807542</v>
      </c>
      <c r="P951" s="151"/>
      <c r="Q951" s="132"/>
      <c r="R951" s="132"/>
    </row>
    <row r="952" spans="1:18" x14ac:dyDescent="0.25">
      <c r="A952" s="140" t="s">
        <v>22</v>
      </c>
      <c r="B952" s="165"/>
      <c r="C952" s="165"/>
      <c r="D952" s="165"/>
      <c r="E952" s="165"/>
      <c r="F952" s="165"/>
      <c r="G952" s="165"/>
      <c r="H952" s="165"/>
      <c r="I952" s="165"/>
      <c r="J952" s="165"/>
      <c r="K952" s="165"/>
      <c r="L952" s="165"/>
      <c r="M952" s="165"/>
      <c r="N952" s="166"/>
      <c r="O952" s="166"/>
      <c r="P952" s="166"/>
      <c r="Q952" s="132"/>
      <c r="R952" s="132"/>
    </row>
    <row r="953" spans="1:18" x14ac:dyDescent="0.25">
      <c r="A953" s="140" t="s">
        <v>179</v>
      </c>
      <c r="B953" s="141"/>
      <c r="C953" s="141"/>
      <c r="D953" s="141"/>
      <c r="E953" s="141"/>
      <c r="F953" s="141"/>
      <c r="G953" s="141"/>
      <c r="H953" s="141"/>
      <c r="I953" s="141"/>
      <c r="J953" s="141"/>
      <c r="K953" s="141"/>
      <c r="L953" s="141"/>
      <c r="M953" s="141"/>
      <c r="N953" s="141"/>
      <c r="O953" s="142"/>
      <c r="P953" s="142"/>
      <c r="Q953" s="132"/>
      <c r="R953" s="132"/>
    </row>
    <row r="954" spans="1:18" x14ac:dyDescent="0.25">
      <c r="A954" s="140" t="s">
        <v>186</v>
      </c>
      <c r="B954" s="141"/>
      <c r="C954" s="141"/>
      <c r="D954" s="141"/>
      <c r="E954" s="141"/>
      <c r="F954" s="141"/>
      <c r="G954" s="141"/>
      <c r="H954" s="141"/>
      <c r="I954" s="141"/>
      <c r="J954" s="141"/>
      <c r="K954" s="141"/>
      <c r="L954" s="141"/>
      <c r="M954" s="141"/>
      <c r="N954" s="141"/>
      <c r="O954" s="141"/>
      <c r="P954" s="142"/>
      <c r="Q954" s="132"/>
      <c r="R954" s="132"/>
    </row>
    <row r="955" spans="1:18" x14ac:dyDescent="0.25">
      <c r="A955" s="143" t="s">
        <v>187</v>
      </c>
      <c r="B955" s="132"/>
      <c r="C955" s="132"/>
      <c r="D955" s="132"/>
      <c r="E955" s="132"/>
      <c r="F955" s="132"/>
      <c r="G955" s="132"/>
      <c r="H955" s="132"/>
      <c r="I955" s="132"/>
      <c r="J955" s="132"/>
      <c r="K955" s="132"/>
      <c r="L955" s="132"/>
      <c r="M955" s="132"/>
      <c r="N955" s="132"/>
      <c r="O955" s="132"/>
      <c r="P955" s="144"/>
      <c r="Q955" s="132"/>
      <c r="R955" s="132"/>
    </row>
    <row r="956" spans="1:18" x14ac:dyDescent="0.25">
      <c r="A956" s="167" t="s">
        <v>188</v>
      </c>
      <c r="B956" s="132"/>
      <c r="C956" s="132"/>
      <c r="D956" s="132"/>
      <c r="E956" s="132"/>
      <c r="F956" s="132"/>
      <c r="G956" s="132"/>
      <c r="H956" s="132"/>
      <c r="I956" s="132"/>
      <c r="J956" s="132"/>
      <c r="K956" s="132"/>
      <c r="L956" s="132"/>
      <c r="M956" s="132"/>
      <c r="N956" s="132"/>
      <c r="O956" s="132"/>
      <c r="P956" s="144"/>
      <c r="Q956" s="132"/>
      <c r="R956" s="132"/>
    </row>
    <row r="957" spans="1:18" x14ac:dyDescent="0.25">
      <c r="A957" s="167" t="s">
        <v>189</v>
      </c>
      <c r="B957" s="132"/>
      <c r="C957" s="132"/>
      <c r="D957" s="132"/>
      <c r="E957" s="132"/>
      <c r="F957" s="132"/>
      <c r="G957" s="132"/>
      <c r="H957" s="132"/>
      <c r="I957" s="132"/>
      <c r="J957" s="132"/>
      <c r="K957" s="132"/>
      <c r="L957" s="132"/>
      <c r="M957" s="132"/>
      <c r="N957" s="132"/>
      <c r="O957" s="132"/>
      <c r="P957" s="144"/>
      <c r="Q957" s="132"/>
      <c r="R957" s="132"/>
    </row>
    <row r="958" spans="1:18" x14ac:dyDescent="0.25">
      <c r="A958" s="167" t="s">
        <v>590</v>
      </c>
      <c r="B958" s="132"/>
      <c r="C958" s="132"/>
      <c r="D958" s="132"/>
      <c r="E958" s="132"/>
      <c r="F958" s="132"/>
      <c r="G958" s="132"/>
      <c r="H958" s="132"/>
      <c r="I958" s="132"/>
      <c r="J958" s="132"/>
      <c r="K958" s="132"/>
      <c r="L958" s="132"/>
      <c r="M958" s="132"/>
      <c r="N958" s="132"/>
      <c r="O958" s="132"/>
      <c r="P958" s="144"/>
      <c r="Q958" s="132"/>
      <c r="R958" s="132"/>
    </row>
    <row r="959" spans="1:18" x14ac:dyDescent="0.25">
      <c r="A959" s="158" t="s">
        <v>226</v>
      </c>
      <c r="B959" s="132"/>
      <c r="C959" s="132"/>
      <c r="D959" s="132"/>
      <c r="E959" s="132"/>
      <c r="F959" s="132"/>
      <c r="G959" s="156"/>
      <c r="H959" s="132"/>
      <c r="I959" s="132"/>
      <c r="J959" s="132"/>
      <c r="K959" s="132"/>
      <c r="L959" s="132"/>
      <c r="M959" s="132"/>
      <c r="N959" s="132"/>
      <c r="O959" s="132"/>
      <c r="P959" s="144"/>
      <c r="Q959" s="132"/>
      <c r="R959" s="132"/>
    </row>
    <row r="960" spans="1:18" x14ac:dyDescent="0.25">
      <c r="A960" s="158" t="s">
        <v>227</v>
      </c>
      <c r="B960" s="132"/>
      <c r="C960" s="132"/>
      <c r="D960" s="132"/>
      <c r="E960" s="132"/>
      <c r="F960" s="132"/>
      <c r="G960" s="156"/>
      <c r="H960" s="132"/>
      <c r="I960" s="132"/>
      <c r="J960" s="132"/>
      <c r="K960" s="132"/>
      <c r="L960" s="132"/>
      <c r="M960" s="132"/>
      <c r="N960" s="132"/>
      <c r="O960" s="132"/>
      <c r="P960" s="144"/>
      <c r="Q960" s="132"/>
      <c r="R960" s="132"/>
    </row>
    <row r="961" spans="1:18" x14ac:dyDescent="0.25">
      <c r="A961" s="143" t="s">
        <v>190</v>
      </c>
      <c r="B961" s="155"/>
      <c r="C961" s="156"/>
      <c r="D961" s="157"/>
      <c r="E961" s="132"/>
      <c r="F961" s="132"/>
      <c r="G961" s="156"/>
      <c r="H961" s="132"/>
      <c r="I961" s="132"/>
      <c r="J961" s="132"/>
      <c r="K961" s="132"/>
      <c r="L961" s="132"/>
      <c r="M961" s="132"/>
      <c r="N961" s="132"/>
      <c r="O961" s="132"/>
      <c r="P961" s="144"/>
      <c r="Q961" s="132"/>
      <c r="R961" s="132"/>
    </row>
    <row r="962" spans="1:18" x14ac:dyDescent="0.25">
      <c r="A962" s="143" t="s">
        <v>191</v>
      </c>
      <c r="B962" s="132"/>
      <c r="C962" s="132"/>
      <c r="D962" s="132"/>
      <c r="E962" s="132"/>
      <c r="F962" s="132"/>
      <c r="G962" s="156"/>
      <c r="H962" s="132"/>
      <c r="I962" s="132"/>
      <c r="J962" s="132"/>
      <c r="K962" s="132"/>
      <c r="L962" s="132"/>
      <c r="M962" s="132"/>
      <c r="N962" s="132"/>
      <c r="O962" s="132"/>
      <c r="P962" s="144"/>
      <c r="Q962" s="132"/>
      <c r="R962" s="132"/>
    </row>
    <row r="963" spans="1:18" x14ac:dyDescent="0.25">
      <c r="A963" s="158" t="s">
        <v>388</v>
      </c>
      <c r="B963" s="132"/>
      <c r="C963" s="132"/>
      <c r="D963" s="132"/>
      <c r="E963" s="132"/>
      <c r="F963" s="132"/>
      <c r="G963" s="156"/>
      <c r="H963" s="132"/>
      <c r="I963" s="132"/>
      <c r="J963" s="132"/>
      <c r="K963" s="132"/>
      <c r="L963" s="132"/>
      <c r="M963" s="132"/>
      <c r="N963" s="132"/>
      <c r="O963" s="132"/>
      <c r="P963" s="144"/>
      <c r="Q963" s="132"/>
      <c r="R963" s="132"/>
    </row>
    <row r="964" spans="1:18" x14ac:dyDescent="0.25">
      <c r="A964" s="158" t="s">
        <v>389</v>
      </c>
      <c r="B964" s="132"/>
      <c r="C964" s="132"/>
      <c r="D964" s="132"/>
      <c r="E964" s="132"/>
      <c r="F964" s="132"/>
      <c r="G964" s="156"/>
      <c r="H964" s="132"/>
      <c r="I964" s="132"/>
      <c r="J964" s="132"/>
      <c r="K964" s="132"/>
      <c r="L964" s="132"/>
      <c r="M964" s="132"/>
      <c r="N964" s="132"/>
      <c r="O964" s="132"/>
      <c r="P964" s="144"/>
      <c r="Q964" s="132"/>
      <c r="R964" s="132"/>
    </row>
    <row r="965" spans="1:18" x14ac:dyDescent="0.25">
      <c r="A965" s="158" t="s">
        <v>390</v>
      </c>
      <c r="B965" s="132"/>
      <c r="C965" s="132"/>
      <c r="D965" s="132"/>
      <c r="E965" s="132"/>
      <c r="F965" s="132"/>
      <c r="G965" s="156"/>
      <c r="H965" s="132"/>
      <c r="I965" s="132"/>
      <c r="J965" s="132"/>
      <c r="K965" s="132"/>
      <c r="L965" s="132"/>
      <c r="M965" s="132"/>
      <c r="N965" s="132"/>
      <c r="O965" s="132"/>
      <c r="P965" s="144"/>
      <c r="Q965" s="132"/>
      <c r="R965" s="132"/>
    </row>
    <row r="966" spans="1:18" x14ac:dyDescent="0.25">
      <c r="A966" s="158" t="s">
        <v>391</v>
      </c>
      <c r="B966" s="132"/>
      <c r="C966" s="132"/>
      <c r="D966" s="132"/>
      <c r="E966" s="132"/>
      <c r="F966" s="132"/>
      <c r="G966" s="523"/>
      <c r="H966" s="132"/>
      <c r="I966" s="132"/>
      <c r="J966" s="132"/>
      <c r="K966" s="132"/>
      <c r="L966" s="132"/>
      <c r="M966" s="132"/>
      <c r="N966" s="132"/>
      <c r="O966" s="132"/>
      <c r="P966" s="144"/>
      <c r="Q966" s="132"/>
      <c r="R966" s="132"/>
    </row>
    <row r="967" spans="1:18" ht="13.2" customHeight="1" x14ac:dyDescent="0.25">
      <c r="A967" s="161" t="s">
        <v>392</v>
      </c>
      <c r="B967" s="524"/>
      <c r="C967" s="524"/>
      <c r="D967" s="524"/>
      <c r="E967" s="524"/>
      <c r="F967" s="524"/>
      <c r="G967" s="524"/>
      <c r="H967" s="524"/>
      <c r="I967" s="524"/>
      <c r="J967" s="524"/>
      <c r="K967" s="524"/>
      <c r="L967" s="524"/>
      <c r="M967" s="524"/>
      <c r="N967" s="524"/>
      <c r="O967" s="524"/>
      <c r="P967" s="144"/>
      <c r="Q967" s="132"/>
      <c r="R967" s="132"/>
    </row>
    <row r="968" spans="1:18" ht="13.2" customHeight="1" x14ac:dyDescent="0.25">
      <c r="A968" s="161" t="s">
        <v>393</v>
      </c>
      <c r="B968" s="524"/>
      <c r="C968" s="524"/>
      <c r="D968" s="524"/>
      <c r="E968" s="524"/>
      <c r="F968" s="524"/>
      <c r="G968" s="524"/>
      <c r="H968" s="524"/>
      <c r="I968" s="524"/>
      <c r="J968" s="524"/>
      <c r="K968" s="524"/>
      <c r="L968" s="524"/>
      <c r="M968" s="524"/>
      <c r="N968" s="524"/>
      <c r="O968" s="524"/>
      <c r="P968" s="144"/>
      <c r="Q968" s="132"/>
      <c r="R968" s="132"/>
    </row>
    <row r="969" spans="1:18" ht="13.2" customHeight="1" x14ac:dyDescent="0.25">
      <c r="A969" s="161" t="s">
        <v>577</v>
      </c>
      <c r="B969" s="524"/>
      <c r="C969" s="524"/>
      <c r="D969" s="524"/>
      <c r="E969" s="524"/>
      <c r="F969" s="524"/>
      <c r="G969" s="524"/>
      <c r="H969" s="524"/>
      <c r="I969" s="524"/>
      <c r="J969" s="524"/>
      <c r="K969" s="524"/>
      <c r="L969" s="524"/>
      <c r="M969" s="524"/>
      <c r="N969" s="524"/>
      <c r="O969" s="524"/>
      <c r="P969" s="144"/>
      <c r="Q969" s="132"/>
      <c r="R969" s="132"/>
    </row>
    <row r="970" spans="1:18" ht="13.2" customHeight="1" x14ac:dyDescent="0.25">
      <c r="A970" s="161" t="s">
        <v>729</v>
      </c>
      <c r="B970" s="524"/>
      <c r="C970" s="524"/>
      <c r="D970" s="524"/>
      <c r="E970" s="524"/>
      <c r="F970" s="524"/>
      <c r="G970" s="524"/>
      <c r="H970" s="524"/>
      <c r="I970" s="524"/>
      <c r="J970" s="524"/>
      <c r="K970" s="524"/>
      <c r="L970" s="524"/>
      <c r="M970" s="524"/>
      <c r="N970" s="524"/>
      <c r="O970" s="524"/>
      <c r="P970" s="144"/>
      <c r="Q970" s="132"/>
      <c r="R970" s="132"/>
    </row>
    <row r="971" spans="1:18" ht="13.2" customHeight="1" x14ac:dyDescent="0.25">
      <c r="A971" s="162" t="s">
        <v>847</v>
      </c>
      <c r="B971" s="168"/>
      <c r="C971" s="168"/>
      <c r="D971" s="168"/>
      <c r="E971" s="168"/>
      <c r="F971" s="168"/>
      <c r="G971" s="168"/>
      <c r="H971" s="168"/>
      <c r="I971" s="168"/>
      <c r="J971" s="168"/>
      <c r="K971" s="168"/>
      <c r="L971" s="168"/>
      <c r="M971" s="168"/>
      <c r="N971" s="168"/>
      <c r="O971" s="168"/>
      <c r="P971" s="148"/>
      <c r="Q971" s="132"/>
      <c r="R971" s="132"/>
    </row>
    <row r="972" spans="1:18" x14ac:dyDescent="0.25">
      <c r="A972" s="131"/>
      <c r="C972" s="133"/>
    </row>
    <row r="973" spans="1:18" x14ac:dyDescent="0.25">
      <c r="A973" s="134" t="s">
        <v>14</v>
      </c>
      <c r="B973" s="135" t="s">
        <v>654</v>
      </c>
      <c r="C973" s="135" t="s">
        <v>15</v>
      </c>
      <c r="D973" s="132"/>
      <c r="E973" s="132"/>
      <c r="F973" s="132"/>
      <c r="G973" s="132"/>
      <c r="H973" s="132"/>
      <c r="I973" s="132"/>
      <c r="J973" s="132"/>
      <c r="K973" s="132"/>
      <c r="L973" s="132"/>
      <c r="M973" s="132"/>
      <c r="N973" s="132"/>
      <c r="O973" s="132"/>
      <c r="P973" s="132"/>
    </row>
    <row r="974" spans="1:18" x14ac:dyDescent="0.25">
      <c r="A974" s="136" t="s">
        <v>16</v>
      </c>
      <c r="B974" s="149">
        <v>2009</v>
      </c>
      <c r="C974" s="150">
        <v>2010</v>
      </c>
      <c r="D974" s="150">
        <v>2011</v>
      </c>
      <c r="E974" s="150">
        <v>2012</v>
      </c>
      <c r="F974" s="150">
        <v>2013</v>
      </c>
      <c r="G974" s="150">
        <v>2014</v>
      </c>
      <c r="H974" s="150">
        <v>2015</v>
      </c>
      <c r="I974" s="150">
        <v>2016</v>
      </c>
      <c r="J974" s="239">
        <v>2017</v>
      </c>
      <c r="K974" s="239">
        <v>2018</v>
      </c>
      <c r="L974" s="239">
        <v>2019</v>
      </c>
      <c r="M974" s="239">
        <v>2020</v>
      </c>
      <c r="N974" s="150">
        <v>2021</v>
      </c>
      <c r="O974" s="150">
        <v>2022</v>
      </c>
      <c r="P974" s="150">
        <v>2023</v>
      </c>
      <c r="Q974" s="132"/>
    </row>
    <row r="975" spans="1:18" x14ac:dyDescent="0.25">
      <c r="A975" s="138" t="s">
        <v>17</v>
      </c>
      <c r="B975" s="151">
        <v>1080</v>
      </c>
      <c r="C975" s="151">
        <v>901</v>
      </c>
      <c r="D975" s="151">
        <v>901</v>
      </c>
      <c r="E975" s="151">
        <v>901</v>
      </c>
      <c r="F975" s="151">
        <v>901</v>
      </c>
      <c r="G975" s="151">
        <v>901</v>
      </c>
      <c r="H975" s="151">
        <v>901</v>
      </c>
      <c r="I975" s="151">
        <v>901</v>
      </c>
      <c r="J975" s="151">
        <v>901</v>
      </c>
      <c r="K975" s="151">
        <v>901</v>
      </c>
      <c r="L975" s="151">
        <v>901</v>
      </c>
      <c r="M975" s="151">
        <v>901</v>
      </c>
      <c r="N975" s="139">
        <v>901</v>
      </c>
      <c r="O975" s="139">
        <v>901</v>
      </c>
      <c r="P975" s="139">
        <v>901</v>
      </c>
      <c r="Q975" s="132"/>
    </row>
    <row r="976" spans="1:18" x14ac:dyDescent="0.25">
      <c r="A976" s="138" t="s">
        <v>18</v>
      </c>
      <c r="B976" s="151">
        <v>1775.91</v>
      </c>
      <c r="C976" s="151">
        <v>1651</v>
      </c>
      <c r="D976" s="151">
        <v>851</v>
      </c>
      <c r="E976" s="151">
        <v>1288.26477</v>
      </c>
      <c r="F976" s="151">
        <v>425.70000000000005</v>
      </c>
      <c r="G976" s="151">
        <v>1298.56477</v>
      </c>
      <c r="H976" s="151">
        <v>318.5</v>
      </c>
      <c r="I976" s="151">
        <v>1359.46477</v>
      </c>
      <c r="J976" s="151">
        <v>999.7</v>
      </c>
      <c r="K976" s="151">
        <v>1339.56477</v>
      </c>
      <c r="L976" s="151">
        <v>1191.2</v>
      </c>
      <c r="M976" s="151">
        <v>1451</v>
      </c>
      <c r="N976" s="151">
        <v>1380.1631280000001</v>
      </c>
      <c r="O976" s="151">
        <f>O975+600-50</f>
        <v>1451</v>
      </c>
      <c r="P976" s="151">
        <f>P975+600-50</f>
        <v>1451</v>
      </c>
      <c r="Q976" s="132"/>
    </row>
    <row r="977" spans="1:17" x14ac:dyDescent="0.25">
      <c r="A977" s="138" t="s">
        <v>19</v>
      </c>
      <c r="B977" s="151"/>
      <c r="C977" s="151"/>
      <c r="D977" s="151"/>
      <c r="E977" s="151"/>
      <c r="F977" s="151"/>
      <c r="G977" s="151"/>
      <c r="H977" s="151"/>
      <c r="I977" s="151"/>
      <c r="J977" s="151"/>
      <c r="K977" s="151"/>
      <c r="L977" s="151"/>
      <c r="M977" s="151"/>
      <c r="N977" s="139"/>
      <c r="O977" s="139"/>
      <c r="P977" s="139"/>
      <c r="Q977" s="132"/>
    </row>
    <row r="978" spans="1:17" x14ac:dyDescent="0.25">
      <c r="A978" s="138" t="s">
        <v>20</v>
      </c>
      <c r="B978" s="151">
        <v>900.11276999999995</v>
      </c>
      <c r="C978" s="151">
        <v>1213.73523</v>
      </c>
      <c r="D978" s="151">
        <v>1276.3</v>
      </c>
      <c r="E978" s="151">
        <v>840.7</v>
      </c>
      <c r="F978" s="151">
        <v>958.2</v>
      </c>
      <c r="G978" s="151">
        <v>790.1</v>
      </c>
      <c r="H978" s="151">
        <v>569.79999999999995</v>
      </c>
      <c r="I978" s="151">
        <v>870.9</v>
      </c>
      <c r="J978" s="151">
        <v>659.5</v>
      </c>
      <c r="K978" s="151">
        <v>698</v>
      </c>
      <c r="L978" s="151">
        <v>662.0368719999999</v>
      </c>
      <c r="M978" s="151">
        <v>444</v>
      </c>
      <c r="N978" s="139">
        <v>659</v>
      </c>
      <c r="O978" s="599">
        <v>516.5</v>
      </c>
      <c r="P978" s="139"/>
      <c r="Q978" s="132"/>
    </row>
    <row r="979" spans="1:17" x14ac:dyDescent="0.25">
      <c r="A979" s="138" t="s">
        <v>21</v>
      </c>
      <c r="B979" s="151">
        <v>875.79723000000013</v>
      </c>
      <c r="C979" s="151">
        <v>437.26477</v>
      </c>
      <c r="D979" s="151">
        <v>425.3</v>
      </c>
      <c r="E979" s="151">
        <v>447.56476999999995</v>
      </c>
      <c r="F979" s="151">
        <v>532.5</v>
      </c>
      <c r="G979" s="151">
        <v>508.46476999999993</v>
      </c>
      <c r="H979" s="151">
        <v>148.70000000000005</v>
      </c>
      <c r="I979" s="151">
        <v>488.56477000000007</v>
      </c>
      <c r="J979" s="151">
        <v>340.20000000000005</v>
      </c>
      <c r="K979" s="151">
        <v>641.56476999999995</v>
      </c>
      <c r="L979" s="151">
        <v>529.16312800000014</v>
      </c>
      <c r="M979" s="151">
        <f>M976-M978</f>
        <v>1007</v>
      </c>
      <c r="N979" s="139">
        <f>N976-N978</f>
        <v>721.16312800000014</v>
      </c>
      <c r="O979" s="599">
        <f>O976-O978</f>
        <v>934.5</v>
      </c>
      <c r="P979" s="139"/>
      <c r="Q979" s="132"/>
    </row>
    <row r="980" spans="1:17" x14ac:dyDescent="0.25">
      <c r="A980" s="140" t="s">
        <v>22</v>
      </c>
      <c r="B980" s="152"/>
      <c r="C980" s="152"/>
      <c r="D980" s="152"/>
      <c r="E980" s="152"/>
      <c r="F980" s="152"/>
      <c r="G980" s="152"/>
      <c r="H980" s="152"/>
      <c r="I980" s="152"/>
      <c r="J980" s="165"/>
      <c r="K980" s="165"/>
      <c r="L980" s="165"/>
      <c r="M980" s="165"/>
      <c r="N980" s="166"/>
      <c r="O980" s="166"/>
      <c r="P980" s="166"/>
      <c r="Q980" s="132"/>
    </row>
    <row r="981" spans="1:17" x14ac:dyDescent="0.25">
      <c r="A981" s="140" t="s">
        <v>179</v>
      </c>
      <c r="B981" s="141"/>
      <c r="C981" s="141"/>
      <c r="D981" s="141"/>
      <c r="E981" s="141"/>
      <c r="F981" s="141"/>
      <c r="G981" s="141"/>
      <c r="H981" s="141"/>
      <c r="I981" s="141"/>
      <c r="J981" s="141"/>
      <c r="K981" s="141"/>
      <c r="L981" s="141"/>
      <c r="M981" s="141"/>
      <c r="N981" s="141"/>
      <c r="O981" s="142"/>
      <c r="P981" s="142"/>
      <c r="Q981" s="132"/>
    </row>
    <row r="982" spans="1:17" x14ac:dyDescent="0.25">
      <c r="A982" s="140" t="s">
        <v>420</v>
      </c>
      <c r="B982" s="141"/>
      <c r="C982" s="141"/>
      <c r="D982" s="141"/>
      <c r="E982" s="141"/>
      <c r="F982" s="141"/>
      <c r="G982" s="141"/>
      <c r="H982" s="141"/>
      <c r="I982" s="141"/>
      <c r="J982" s="141"/>
      <c r="K982" s="141"/>
      <c r="L982" s="141"/>
      <c r="M982" s="141"/>
      <c r="N982" s="141"/>
      <c r="O982" s="141"/>
      <c r="P982" s="142"/>
      <c r="Q982" s="132"/>
    </row>
    <row r="983" spans="1:17" x14ac:dyDescent="0.25">
      <c r="A983" s="143" t="s">
        <v>421</v>
      </c>
      <c r="B983" s="132"/>
      <c r="C983" s="132"/>
      <c r="D983" s="132"/>
      <c r="E983" s="132"/>
      <c r="F983" s="132"/>
      <c r="G983" s="132"/>
      <c r="H983" s="132"/>
      <c r="I983" s="132"/>
      <c r="J983" s="132"/>
      <c r="K983" s="132"/>
      <c r="L983" s="132"/>
      <c r="M983" s="132"/>
      <c r="N983" s="132"/>
      <c r="O983" s="132"/>
      <c r="P983" s="144"/>
      <c r="Q983" s="132"/>
    </row>
    <row r="984" spans="1:17" x14ac:dyDescent="0.25">
      <c r="A984" s="143" t="s">
        <v>422</v>
      </c>
      <c r="B984" s="132"/>
      <c r="C984" s="132"/>
      <c r="D984" s="132"/>
      <c r="E984" s="132"/>
      <c r="F984" s="132"/>
      <c r="G984" s="132"/>
      <c r="H984" s="132"/>
      <c r="I984" s="132"/>
      <c r="J984" s="132"/>
      <c r="K984" s="132"/>
      <c r="L984" s="132"/>
      <c r="M984" s="132"/>
      <c r="N984" s="132"/>
      <c r="O984" s="132"/>
      <c r="P984" s="144"/>
      <c r="Q984" s="132"/>
    </row>
    <row r="985" spans="1:17" x14ac:dyDescent="0.25">
      <c r="A985" s="143" t="s">
        <v>423</v>
      </c>
      <c r="B985" s="132"/>
      <c r="C985" s="132"/>
      <c r="D985" s="132"/>
      <c r="E985" s="132"/>
      <c r="F985" s="132"/>
      <c r="G985" s="132"/>
      <c r="H985" s="132"/>
      <c r="I985" s="132"/>
      <c r="J985" s="132"/>
      <c r="K985" s="132"/>
      <c r="L985" s="132"/>
      <c r="M985" s="132"/>
      <c r="N985" s="132"/>
      <c r="O985" s="132"/>
      <c r="P985" s="144"/>
      <c r="Q985" s="132"/>
    </row>
    <row r="986" spans="1:17" x14ac:dyDescent="0.25">
      <c r="A986" s="143" t="s">
        <v>424</v>
      </c>
      <c r="B986" s="155"/>
      <c r="C986" s="156"/>
      <c r="D986" s="157"/>
      <c r="E986" s="132"/>
      <c r="F986" s="132"/>
      <c r="G986" s="156"/>
      <c r="H986" s="132"/>
      <c r="I986" s="132"/>
      <c r="J986" s="132"/>
      <c r="K986" s="132"/>
      <c r="L986" s="132"/>
      <c r="M986" s="132"/>
      <c r="N986" s="132"/>
      <c r="O986" s="132"/>
      <c r="P986" s="144"/>
      <c r="Q986" s="132"/>
    </row>
    <row r="987" spans="1:17" x14ac:dyDescent="0.25">
      <c r="A987" s="143" t="s">
        <v>425</v>
      </c>
      <c r="B987" s="132"/>
      <c r="C987" s="132"/>
      <c r="D987" s="132"/>
      <c r="E987" s="132"/>
      <c r="F987" s="132"/>
      <c r="G987" s="156"/>
      <c r="H987" s="132"/>
      <c r="I987" s="132"/>
      <c r="J987" s="132"/>
      <c r="K987" s="132"/>
      <c r="L987" s="132"/>
      <c r="M987" s="132"/>
      <c r="N987" s="132"/>
      <c r="O987" s="132"/>
      <c r="P987" s="144"/>
      <c r="Q987" s="132"/>
    </row>
    <row r="988" spans="1:17" x14ac:dyDescent="0.25">
      <c r="A988" s="143" t="s">
        <v>426</v>
      </c>
      <c r="B988" s="132"/>
      <c r="C988" s="132"/>
      <c r="D988" s="132"/>
      <c r="E988" s="132"/>
      <c r="F988" s="132"/>
      <c r="G988" s="156"/>
      <c r="H988" s="132"/>
      <c r="I988" s="132"/>
      <c r="J988" s="132"/>
      <c r="K988" s="132"/>
      <c r="L988" s="132"/>
      <c r="M988" s="132"/>
      <c r="N988" s="132"/>
      <c r="O988" s="132"/>
      <c r="P988" s="144"/>
      <c r="Q988" s="132"/>
    </row>
    <row r="989" spans="1:17" x14ac:dyDescent="0.25">
      <c r="A989" s="143" t="s">
        <v>427</v>
      </c>
      <c r="B989" s="132"/>
      <c r="C989" s="132"/>
      <c r="D989" s="132"/>
      <c r="E989" s="132"/>
      <c r="F989" s="132"/>
      <c r="G989" s="156"/>
      <c r="H989" s="132"/>
      <c r="I989" s="132"/>
      <c r="J989" s="132"/>
      <c r="K989" s="132"/>
      <c r="L989" s="132"/>
      <c r="M989" s="132"/>
      <c r="N989" s="132"/>
      <c r="O989" s="132"/>
      <c r="P989" s="144"/>
      <c r="Q989" s="132"/>
    </row>
    <row r="990" spans="1:17" x14ac:dyDescent="0.25">
      <c r="A990" s="167" t="s">
        <v>428</v>
      </c>
      <c r="B990" s="132"/>
      <c r="C990" s="132"/>
      <c r="D990" s="132"/>
      <c r="E990" s="132"/>
      <c r="F990" s="132"/>
      <c r="G990" s="523"/>
      <c r="H990" s="132"/>
      <c r="I990" s="132"/>
      <c r="J990" s="132"/>
      <c r="K990" s="132"/>
      <c r="L990" s="132"/>
      <c r="M990" s="132"/>
      <c r="N990" s="132"/>
      <c r="O990" s="132"/>
      <c r="P990" s="144"/>
      <c r="Q990" s="132"/>
    </row>
    <row r="991" spans="1:17" x14ac:dyDescent="0.25">
      <c r="A991" s="158" t="s">
        <v>228</v>
      </c>
      <c r="B991" s="132"/>
      <c r="C991" s="132"/>
      <c r="D991" s="132"/>
      <c r="E991" s="132"/>
      <c r="F991" s="132"/>
      <c r="G991" s="132"/>
      <c r="H991" s="132"/>
      <c r="I991" s="132"/>
      <c r="J991" s="132"/>
      <c r="K991" s="132"/>
      <c r="L991" s="132"/>
      <c r="M991" s="132"/>
      <c r="N991" s="132"/>
      <c r="O991" s="132"/>
      <c r="P991" s="144"/>
      <c r="Q991" s="132"/>
    </row>
    <row r="992" spans="1:17" x14ac:dyDescent="0.25">
      <c r="A992" s="158" t="s">
        <v>229</v>
      </c>
      <c r="B992" s="132"/>
      <c r="C992" s="132"/>
      <c r="D992" s="132"/>
      <c r="E992" s="132"/>
      <c r="F992" s="132"/>
      <c r="G992" s="132"/>
      <c r="H992" s="132"/>
      <c r="I992" s="132"/>
      <c r="J992" s="132"/>
      <c r="K992" s="132"/>
      <c r="L992" s="132"/>
      <c r="M992" s="132"/>
      <c r="N992" s="132"/>
      <c r="O992" s="132"/>
      <c r="P992" s="144"/>
      <c r="Q992" s="132"/>
    </row>
    <row r="993" spans="1:17" x14ac:dyDescent="0.25">
      <c r="A993" s="158" t="s">
        <v>429</v>
      </c>
      <c r="B993" s="132"/>
      <c r="C993" s="132"/>
      <c r="D993" s="132"/>
      <c r="E993" s="132"/>
      <c r="F993" s="132"/>
      <c r="G993" s="132"/>
      <c r="H993" s="132"/>
      <c r="I993" s="132"/>
      <c r="J993" s="132"/>
      <c r="K993" s="132"/>
      <c r="L993" s="132"/>
      <c r="M993" s="132"/>
      <c r="N993" s="132"/>
      <c r="O993" s="132"/>
      <c r="P993" s="144"/>
      <c r="Q993" s="132"/>
    </row>
    <row r="994" spans="1:17" x14ac:dyDescent="0.25">
      <c r="A994" s="158" t="s">
        <v>653</v>
      </c>
      <c r="B994" s="132"/>
      <c r="C994" s="132"/>
      <c r="D994" s="132"/>
      <c r="E994" s="132"/>
      <c r="F994" s="132"/>
      <c r="G994" s="132"/>
      <c r="H994" s="132"/>
      <c r="I994" s="132"/>
      <c r="J994" s="132"/>
      <c r="K994" s="132"/>
      <c r="L994" s="132"/>
      <c r="M994" s="132"/>
      <c r="N994" s="132"/>
      <c r="O994" s="132"/>
      <c r="P994" s="144"/>
      <c r="Q994" s="132"/>
    </row>
    <row r="995" spans="1:17" x14ac:dyDescent="0.25">
      <c r="A995" s="169" t="s">
        <v>848</v>
      </c>
      <c r="B995" s="147"/>
      <c r="C995" s="147"/>
      <c r="D995" s="147"/>
      <c r="E995" s="147"/>
      <c r="F995" s="147"/>
      <c r="G995" s="147"/>
      <c r="H995" s="147"/>
      <c r="I995" s="147"/>
      <c r="J995" s="147"/>
      <c r="K995" s="147"/>
      <c r="L995" s="147"/>
      <c r="M995" s="147"/>
      <c r="N995" s="147"/>
      <c r="O995" s="147"/>
      <c r="P995" s="148"/>
      <c r="Q995" s="132"/>
    </row>
    <row r="996" spans="1:17" x14ac:dyDescent="0.25">
      <c r="A996" s="131"/>
      <c r="C996" s="133"/>
    </row>
    <row r="997" spans="1:17" x14ac:dyDescent="0.25">
      <c r="A997" s="134" t="s">
        <v>14</v>
      </c>
      <c r="B997" s="135" t="s">
        <v>655</v>
      </c>
      <c r="C997" s="170" t="s">
        <v>15</v>
      </c>
      <c r="D997" s="132"/>
      <c r="E997" s="132"/>
      <c r="F997" s="132"/>
      <c r="G997" s="132"/>
      <c r="H997" s="132"/>
      <c r="I997" s="132"/>
      <c r="J997" s="132"/>
      <c r="K997" s="132"/>
      <c r="L997" s="132"/>
      <c r="M997" s="132"/>
    </row>
    <row r="998" spans="1:17" customFormat="1" ht="14.4" x14ac:dyDescent="0.3">
      <c r="A998" s="138" t="s">
        <v>16</v>
      </c>
      <c r="B998" s="150">
        <v>2009</v>
      </c>
      <c r="C998" s="150">
        <v>2010</v>
      </c>
      <c r="D998" s="150">
        <v>2011</v>
      </c>
      <c r="E998" s="150">
        <v>2012</v>
      </c>
      <c r="F998" s="150">
        <v>2013</v>
      </c>
      <c r="G998" s="150">
        <v>2014</v>
      </c>
      <c r="H998" s="150">
        <v>2015</v>
      </c>
      <c r="I998" s="150">
        <v>2016</v>
      </c>
      <c r="J998" s="150">
        <v>2017</v>
      </c>
      <c r="K998" s="150">
        <v>2018</v>
      </c>
      <c r="L998" s="150">
        <v>2019</v>
      </c>
      <c r="M998" s="150">
        <v>2020</v>
      </c>
      <c r="N998" s="150">
        <v>2021</v>
      </c>
      <c r="O998" s="150">
        <v>2022</v>
      </c>
      <c r="P998" s="150">
        <v>2023</v>
      </c>
      <c r="Q998" s="137"/>
    </row>
    <row r="999" spans="1:17" customFormat="1" ht="14.4" x14ac:dyDescent="0.3">
      <c r="A999" s="138" t="s">
        <v>17</v>
      </c>
      <c r="B999" s="171">
        <v>1871.44</v>
      </c>
      <c r="C999" s="171">
        <v>1148.05</v>
      </c>
      <c r="D999" s="171">
        <v>1097.03</v>
      </c>
      <c r="E999" s="171">
        <v>1097.03</v>
      </c>
      <c r="F999" s="171">
        <v>1139.55</v>
      </c>
      <c r="G999" s="171">
        <v>1139.55</v>
      </c>
      <c r="H999" s="171">
        <v>1345.44</v>
      </c>
      <c r="I999" s="171">
        <v>1608.21</v>
      </c>
      <c r="J999" s="171">
        <v>1930.88</v>
      </c>
      <c r="K999" s="171">
        <v>2279</v>
      </c>
      <c r="L999" s="171">
        <v>2544</v>
      </c>
      <c r="M999" s="171">
        <v>2819</v>
      </c>
      <c r="N999" s="151">
        <v>2819</v>
      </c>
      <c r="O999" s="151">
        <v>2819</v>
      </c>
      <c r="P999" s="151">
        <v>3114</v>
      </c>
      <c r="Q999" s="137"/>
    </row>
    <row r="1000" spans="1:17" customFormat="1" ht="14.4" x14ac:dyDescent="0.3">
      <c r="A1000" s="138" t="s">
        <v>18</v>
      </c>
      <c r="B1000" s="171">
        <v>1871.44</v>
      </c>
      <c r="C1000" s="171">
        <v>1148.05</v>
      </c>
      <c r="D1000" s="171">
        <v>1097.03</v>
      </c>
      <c r="E1000" s="171">
        <v>1097.03</v>
      </c>
      <c r="F1000" s="171">
        <v>1139.55</v>
      </c>
      <c r="G1000" s="171">
        <v>1139.55</v>
      </c>
      <c r="H1000" s="171">
        <v>1390.44</v>
      </c>
      <c r="I1000" s="171">
        <v>1583.21</v>
      </c>
      <c r="J1000" s="171">
        <v>1910.88</v>
      </c>
      <c r="K1000" s="171">
        <v>2279</v>
      </c>
      <c r="L1000" s="171">
        <v>2544</v>
      </c>
      <c r="M1000" s="171">
        <v>2839.27</v>
      </c>
      <c r="N1000" s="151">
        <f>N999+M1003</f>
        <v>2876.6439600000003</v>
      </c>
      <c r="O1000" s="151">
        <f>O999+N1003</f>
        <v>2915.6539600000006</v>
      </c>
      <c r="P1000" s="151">
        <f>P999+O1003</f>
        <v>3158.3939600000003</v>
      </c>
      <c r="Q1000" s="137"/>
    </row>
    <row r="1001" spans="1:17" customFormat="1" ht="14.4" x14ac:dyDescent="0.3">
      <c r="A1001" s="138" t="s">
        <v>19</v>
      </c>
      <c r="B1001" s="151"/>
      <c r="C1001" s="151"/>
      <c r="D1001" s="151"/>
      <c r="E1001" s="151"/>
      <c r="F1001" s="151"/>
      <c r="G1001" s="151"/>
      <c r="H1001" s="151"/>
      <c r="I1001" s="151"/>
      <c r="J1001" s="151"/>
      <c r="K1001" s="151"/>
      <c r="L1001" s="151"/>
      <c r="M1001" s="151"/>
      <c r="N1001" s="151"/>
      <c r="O1001" s="151"/>
      <c r="P1001" s="151"/>
      <c r="Q1001" s="137"/>
    </row>
    <row r="1002" spans="1:17" customFormat="1" ht="14.4" x14ac:dyDescent="0.3">
      <c r="A1002" s="138" t="s">
        <v>20</v>
      </c>
      <c r="B1002" s="171">
        <v>1858.2</v>
      </c>
      <c r="C1002" s="151">
        <v>1139.2777599999999</v>
      </c>
      <c r="D1002" s="151">
        <v>1088.8235599999998</v>
      </c>
      <c r="E1002" s="151">
        <v>1092.5993599999999</v>
      </c>
      <c r="F1002" s="151">
        <v>1128.97</v>
      </c>
      <c r="G1002" s="151">
        <v>1134.47</v>
      </c>
      <c r="H1002" s="151">
        <v>1385.92</v>
      </c>
      <c r="I1002" s="151">
        <v>1578.37</v>
      </c>
      <c r="J1002" s="151">
        <v>1910.65104</v>
      </c>
      <c r="K1002" s="151">
        <v>2269.7609000000002</v>
      </c>
      <c r="L1002" s="151">
        <v>2523.73</v>
      </c>
      <c r="M1002" s="151">
        <v>2781.6260399999996</v>
      </c>
      <c r="N1002" s="151">
        <v>2779.99</v>
      </c>
      <c r="O1002" s="151">
        <v>2871.26</v>
      </c>
      <c r="P1002" s="151"/>
      <c r="Q1002" s="137"/>
    </row>
    <row r="1003" spans="1:17" customFormat="1" ht="14.4" x14ac:dyDescent="0.3">
      <c r="A1003" s="138" t="s">
        <v>21</v>
      </c>
      <c r="B1003" s="151">
        <v>13.240000000000009</v>
      </c>
      <c r="C1003" s="151">
        <v>8.7722400000000107</v>
      </c>
      <c r="D1003" s="151">
        <v>8.2064400000001569</v>
      </c>
      <c r="E1003" s="151">
        <v>4.4306400000000394</v>
      </c>
      <c r="F1003" s="151">
        <v>10.579999999999927</v>
      </c>
      <c r="G1003" s="151">
        <v>5.0799999999999272</v>
      </c>
      <c r="H1003" s="151">
        <v>4.5199999999999818</v>
      </c>
      <c r="I1003" s="151">
        <v>4.8400000000001455</v>
      </c>
      <c r="J1003" s="151">
        <v>0.22896000000014283</v>
      </c>
      <c r="K1003" s="151">
        <v>9.2390999999997803</v>
      </c>
      <c r="L1003" s="151">
        <v>20.269999999999982</v>
      </c>
      <c r="M1003" s="151">
        <v>57.643960000000334</v>
      </c>
      <c r="N1003" s="151">
        <f>N1000-N1002</f>
        <v>96.653960000000552</v>
      </c>
      <c r="O1003" s="151">
        <f>O1000-O1002</f>
        <v>44.393960000000334</v>
      </c>
      <c r="P1003" s="151"/>
      <c r="Q1003" s="137"/>
    </row>
    <row r="1004" spans="1:17" customFormat="1" ht="14.4" x14ac:dyDescent="0.3">
      <c r="A1004" s="140" t="s">
        <v>22</v>
      </c>
      <c r="B1004" s="152"/>
      <c r="C1004" s="152"/>
      <c r="D1004" s="152"/>
      <c r="E1004" s="152"/>
      <c r="F1004" s="152"/>
      <c r="G1004" s="152"/>
      <c r="H1004" s="152"/>
      <c r="I1004" s="152"/>
      <c r="J1004" s="152"/>
      <c r="K1004" s="152"/>
      <c r="L1004" s="152"/>
      <c r="M1004" s="152"/>
      <c r="N1004" s="166"/>
      <c r="O1004" s="166"/>
      <c r="P1004" s="166"/>
      <c r="Q1004" s="137"/>
    </row>
    <row r="1005" spans="1:17" customFormat="1" ht="14.4" x14ac:dyDescent="0.3">
      <c r="A1005" s="140" t="s">
        <v>179</v>
      </c>
      <c r="B1005" s="141"/>
      <c r="C1005" s="141"/>
      <c r="D1005" s="141"/>
      <c r="E1005" s="141"/>
      <c r="F1005" s="141"/>
      <c r="G1005" s="141"/>
      <c r="H1005" s="141"/>
      <c r="I1005" s="141"/>
      <c r="J1005" s="141"/>
      <c r="K1005" s="141"/>
      <c r="L1005" s="141"/>
      <c r="M1005" s="141"/>
      <c r="N1005" s="141"/>
      <c r="O1005" s="142"/>
      <c r="P1005" s="142"/>
      <c r="Q1005" s="137"/>
    </row>
    <row r="1006" spans="1:17" customFormat="1" ht="14.4" x14ac:dyDescent="0.3">
      <c r="A1006" s="140" t="s">
        <v>192</v>
      </c>
      <c r="B1006" s="141"/>
      <c r="C1006" s="141"/>
      <c r="D1006" s="141"/>
      <c r="E1006" s="141"/>
      <c r="F1006" s="141"/>
      <c r="G1006" s="141"/>
      <c r="H1006" s="141"/>
      <c r="I1006" s="141"/>
      <c r="J1006" s="141"/>
      <c r="K1006" s="141"/>
      <c r="L1006" s="141"/>
      <c r="M1006" s="141"/>
      <c r="N1006" s="141"/>
      <c r="O1006" s="141"/>
      <c r="P1006" s="142"/>
      <c r="Q1006" s="137"/>
    </row>
    <row r="1007" spans="1:17" customFormat="1" ht="14.4" x14ac:dyDescent="0.3">
      <c r="A1007" s="143" t="s">
        <v>193</v>
      </c>
      <c r="B1007" s="132"/>
      <c r="C1007" s="132"/>
      <c r="D1007" s="132"/>
      <c r="E1007" s="132"/>
      <c r="F1007" s="132"/>
      <c r="G1007" s="132"/>
      <c r="H1007" s="132"/>
      <c r="I1007" s="132"/>
      <c r="J1007" s="132"/>
      <c r="K1007" s="132"/>
      <c r="L1007" s="132"/>
      <c r="M1007" s="132"/>
      <c r="N1007" s="132"/>
      <c r="O1007" s="132"/>
      <c r="P1007" s="144"/>
      <c r="Q1007" s="137"/>
    </row>
    <row r="1008" spans="1:17" customFormat="1" ht="14.4" x14ac:dyDescent="0.3">
      <c r="A1008" s="143" t="s">
        <v>194</v>
      </c>
      <c r="B1008" s="132"/>
      <c r="C1008" s="132"/>
      <c r="D1008" s="132"/>
      <c r="E1008" s="132"/>
      <c r="F1008" s="132"/>
      <c r="G1008" s="132"/>
      <c r="H1008" s="132"/>
      <c r="I1008" s="132"/>
      <c r="J1008" s="132"/>
      <c r="K1008" s="132"/>
      <c r="L1008" s="132"/>
      <c r="M1008" s="132"/>
      <c r="N1008" s="132"/>
      <c r="O1008" s="132"/>
      <c r="P1008" s="144"/>
      <c r="Q1008" s="137"/>
    </row>
    <row r="1009" spans="1:17" customFormat="1" ht="14.4" x14ac:dyDescent="0.3">
      <c r="A1009" s="143" t="s">
        <v>195</v>
      </c>
      <c r="B1009" s="132"/>
      <c r="C1009" s="132"/>
      <c r="D1009" s="132"/>
      <c r="E1009" s="132"/>
      <c r="F1009" s="132"/>
      <c r="G1009" s="132"/>
      <c r="H1009" s="132"/>
      <c r="I1009" s="132"/>
      <c r="J1009" s="132"/>
      <c r="K1009" s="132"/>
      <c r="L1009" s="132"/>
      <c r="M1009" s="132"/>
      <c r="N1009" s="132"/>
      <c r="O1009" s="132"/>
      <c r="P1009" s="144"/>
      <c r="Q1009" s="137"/>
    </row>
    <row r="1010" spans="1:17" customFormat="1" ht="14.4" x14ac:dyDescent="0.3">
      <c r="A1010" s="158" t="s">
        <v>230</v>
      </c>
      <c r="B1010" s="155"/>
      <c r="C1010" s="156"/>
      <c r="D1010" s="157"/>
      <c r="E1010" s="132"/>
      <c r="F1010" s="132"/>
      <c r="G1010" s="156"/>
      <c r="H1010" s="132"/>
      <c r="I1010" s="132"/>
      <c r="J1010" s="132"/>
      <c r="K1010" s="132"/>
      <c r="L1010" s="132"/>
      <c r="M1010" s="132"/>
      <c r="N1010" s="132"/>
      <c r="O1010" s="132"/>
      <c r="P1010" s="144"/>
      <c r="Q1010" s="137"/>
    </row>
    <row r="1011" spans="1:17" customFormat="1" ht="14.4" x14ac:dyDescent="0.3">
      <c r="A1011" s="158" t="s">
        <v>273</v>
      </c>
      <c r="B1011" s="155"/>
      <c r="C1011" s="156"/>
      <c r="D1011" s="157"/>
      <c r="E1011" s="132"/>
      <c r="F1011" s="132"/>
      <c r="G1011" s="156"/>
      <c r="H1011" s="132"/>
      <c r="I1011" s="132"/>
      <c r="J1011" s="132"/>
      <c r="K1011" s="132"/>
      <c r="L1011" s="132"/>
      <c r="M1011" s="132"/>
      <c r="N1011" s="132"/>
      <c r="O1011" s="132"/>
      <c r="P1011" s="144"/>
      <c r="Q1011" s="137"/>
    </row>
    <row r="1012" spans="1:17" customFormat="1" ht="14.4" x14ac:dyDescent="0.3">
      <c r="A1012" s="158" t="s">
        <v>467</v>
      </c>
      <c r="B1012" s="155"/>
      <c r="C1012" s="156"/>
      <c r="D1012" s="157"/>
      <c r="E1012" s="132"/>
      <c r="F1012" s="132"/>
      <c r="G1012" s="156"/>
      <c r="H1012" s="132"/>
      <c r="I1012" s="132"/>
      <c r="J1012" s="132"/>
      <c r="K1012" s="132"/>
      <c r="L1012" s="132"/>
      <c r="M1012" s="132"/>
      <c r="N1012" s="132"/>
      <c r="O1012" s="132"/>
      <c r="P1012" s="144"/>
      <c r="Q1012" s="137"/>
    </row>
    <row r="1013" spans="1:17" customFormat="1" ht="14.4" x14ac:dyDescent="0.3">
      <c r="A1013" s="158" t="s">
        <v>656</v>
      </c>
      <c r="B1013" s="155"/>
      <c r="C1013" s="156"/>
      <c r="D1013" s="157"/>
      <c r="E1013" s="132"/>
      <c r="F1013" s="132"/>
      <c r="G1013" s="156"/>
      <c r="H1013" s="132"/>
      <c r="I1013" s="132"/>
      <c r="J1013" s="132"/>
      <c r="K1013" s="132"/>
      <c r="L1013" s="132"/>
      <c r="M1013" s="132"/>
      <c r="N1013" s="132"/>
      <c r="O1013" s="132"/>
      <c r="P1013" s="144"/>
      <c r="Q1013" s="137"/>
    </row>
    <row r="1014" spans="1:17" customFormat="1" ht="14.4" x14ac:dyDescent="0.3">
      <c r="A1014" s="158" t="s">
        <v>231</v>
      </c>
      <c r="B1014" s="155"/>
      <c r="C1014" s="156"/>
      <c r="D1014" s="157"/>
      <c r="E1014" s="132"/>
      <c r="F1014" s="132"/>
      <c r="G1014" s="156"/>
      <c r="H1014" s="132"/>
      <c r="I1014" s="132"/>
      <c r="J1014" s="132"/>
      <c r="K1014" s="132"/>
      <c r="L1014" s="132"/>
      <c r="M1014" s="132"/>
      <c r="N1014" s="132"/>
      <c r="O1014" s="132"/>
      <c r="P1014" s="144"/>
      <c r="Q1014" s="137"/>
    </row>
    <row r="1015" spans="1:17" customFormat="1" ht="14.4" x14ac:dyDescent="0.3">
      <c r="A1015" s="158" t="s">
        <v>274</v>
      </c>
      <c r="B1015" s="155"/>
      <c r="C1015" s="156"/>
      <c r="D1015" s="157"/>
      <c r="E1015" s="132"/>
      <c r="F1015" s="132"/>
      <c r="G1015" s="156"/>
      <c r="H1015" s="132"/>
      <c r="I1015" s="132"/>
      <c r="J1015" s="132"/>
      <c r="K1015" s="132"/>
      <c r="L1015" s="132"/>
      <c r="M1015" s="132"/>
      <c r="N1015" s="132"/>
      <c r="O1015" s="132"/>
      <c r="P1015" s="144"/>
      <c r="Q1015" s="137"/>
    </row>
    <row r="1016" spans="1:17" customFormat="1" ht="14.4" x14ac:dyDescent="0.3">
      <c r="A1016" s="158" t="s">
        <v>468</v>
      </c>
      <c r="B1016" s="155"/>
      <c r="C1016" s="156"/>
      <c r="D1016" s="157"/>
      <c r="E1016" s="132"/>
      <c r="F1016" s="132"/>
      <c r="G1016" s="156"/>
      <c r="H1016" s="132"/>
      <c r="I1016" s="132"/>
      <c r="J1016" s="132"/>
      <c r="K1016" s="132"/>
      <c r="L1016" s="132"/>
      <c r="M1016" s="132"/>
      <c r="N1016" s="132"/>
      <c r="O1016" s="132"/>
      <c r="P1016" s="144"/>
      <c r="Q1016" s="137"/>
    </row>
    <row r="1017" spans="1:17" customFormat="1" ht="14.4" x14ac:dyDescent="0.3">
      <c r="A1017" s="158" t="s">
        <v>657</v>
      </c>
      <c r="B1017" s="155"/>
      <c r="C1017" s="156"/>
      <c r="D1017" s="157"/>
      <c r="E1017" s="132"/>
      <c r="F1017" s="132"/>
      <c r="G1017" s="156"/>
      <c r="H1017" s="132"/>
      <c r="I1017" s="132"/>
      <c r="J1017" s="132"/>
      <c r="K1017" s="132"/>
      <c r="L1017" s="132"/>
      <c r="M1017" s="132"/>
      <c r="N1017" s="132"/>
      <c r="O1017" s="132"/>
      <c r="P1017" s="144"/>
      <c r="Q1017" s="137"/>
    </row>
    <row r="1018" spans="1:17" customFormat="1" ht="14.4" x14ac:dyDescent="0.3">
      <c r="A1018" s="169" t="s">
        <v>849</v>
      </c>
      <c r="B1018" s="147"/>
      <c r="C1018" s="147"/>
      <c r="D1018" s="147"/>
      <c r="E1018" s="147"/>
      <c r="F1018" s="147"/>
      <c r="G1018" s="172"/>
      <c r="H1018" s="147"/>
      <c r="I1018" s="147"/>
      <c r="J1018" s="147"/>
      <c r="K1018" s="147"/>
      <c r="L1018" s="147"/>
      <c r="M1018" s="147"/>
      <c r="N1018" s="147"/>
      <c r="O1018" s="147"/>
      <c r="P1018" s="148"/>
      <c r="Q1018" s="137"/>
    </row>
    <row r="1019" spans="1:17" x14ac:dyDescent="0.25">
      <c r="A1019" s="131"/>
      <c r="C1019" s="133"/>
    </row>
    <row r="1020" spans="1:17" x14ac:dyDescent="0.25">
      <c r="A1020" s="173" t="s">
        <v>14</v>
      </c>
      <c r="B1020" s="135" t="s">
        <v>658</v>
      </c>
      <c r="C1020" s="170" t="s">
        <v>15</v>
      </c>
      <c r="D1020" s="132"/>
      <c r="E1020" s="132"/>
      <c r="F1020" s="132"/>
      <c r="G1020" s="132"/>
      <c r="H1020" s="132"/>
      <c r="I1020" s="132"/>
      <c r="J1020" s="132"/>
      <c r="K1020" s="132"/>
      <c r="L1020" s="132"/>
      <c r="M1020" s="132"/>
    </row>
    <row r="1021" spans="1:17" x14ac:dyDescent="0.25">
      <c r="A1021" s="146" t="s">
        <v>16</v>
      </c>
      <c r="B1021" s="174">
        <v>2009</v>
      </c>
      <c r="C1021" s="175">
        <v>2010</v>
      </c>
      <c r="D1021" s="175">
        <v>2011</v>
      </c>
      <c r="E1021" s="175">
        <v>2012</v>
      </c>
      <c r="F1021" s="175">
        <v>2013</v>
      </c>
      <c r="G1021" s="175">
        <v>2014</v>
      </c>
      <c r="H1021" s="174">
        <v>2015</v>
      </c>
      <c r="I1021" s="174">
        <v>2016</v>
      </c>
      <c r="J1021" s="174">
        <v>2017</v>
      </c>
      <c r="K1021" s="174">
        <v>2018</v>
      </c>
      <c r="L1021" s="174">
        <v>2019</v>
      </c>
      <c r="M1021" s="174">
        <v>2020</v>
      </c>
      <c r="N1021" s="174">
        <v>2021</v>
      </c>
      <c r="O1021" s="174">
        <v>2022</v>
      </c>
      <c r="P1021" s="174">
        <v>2023</v>
      </c>
      <c r="Q1021" s="132"/>
    </row>
    <row r="1022" spans="1:17" x14ac:dyDescent="0.25">
      <c r="A1022" s="136" t="s">
        <v>17</v>
      </c>
      <c r="B1022" s="139">
        <v>329.79</v>
      </c>
      <c r="C1022" s="151">
        <v>311.02</v>
      </c>
      <c r="D1022" s="151">
        <v>301.64</v>
      </c>
      <c r="E1022" s="151">
        <v>301.64</v>
      </c>
      <c r="F1022" s="151">
        <v>301.64</v>
      </c>
      <c r="G1022" s="151">
        <v>301.64</v>
      </c>
      <c r="H1022" s="151">
        <v>345.74</v>
      </c>
      <c r="I1022" s="151">
        <v>345.74</v>
      </c>
      <c r="J1022" s="171">
        <v>345.74</v>
      </c>
      <c r="K1022" s="171">
        <v>407.48</v>
      </c>
      <c r="L1022" s="171">
        <v>407.48</v>
      </c>
      <c r="M1022" s="176">
        <v>407.48</v>
      </c>
      <c r="N1022" s="177">
        <v>407.48</v>
      </c>
      <c r="O1022" s="177">
        <v>664.52</v>
      </c>
      <c r="P1022" s="177">
        <v>664.52</v>
      </c>
      <c r="Q1022" s="132"/>
    </row>
    <row r="1023" spans="1:17" x14ac:dyDescent="0.25">
      <c r="A1023" s="138" t="s">
        <v>18</v>
      </c>
      <c r="B1023" s="139">
        <v>402.56000000000006</v>
      </c>
      <c r="C1023" s="151">
        <v>431.91</v>
      </c>
      <c r="D1023" s="151">
        <v>308.37</v>
      </c>
      <c r="E1023" s="151">
        <v>306.06</v>
      </c>
      <c r="F1023" s="151">
        <v>304.12</v>
      </c>
      <c r="G1023" s="151">
        <v>303.5</v>
      </c>
      <c r="H1023" s="151">
        <v>346.61</v>
      </c>
      <c r="I1023" s="151">
        <v>346.83000000000004</v>
      </c>
      <c r="J1023" s="171">
        <v>347.08035600000011</v>
      </c>
      <c r="K1023" s="171">
        <v>408.73035600000014</v>
      </c>
      <c r="L1023" s="171">
        <v>409.20815600000014</v>
      </c>
      <c r="M1023" s="176">
        <v>410.39696779704036</v>
      </c>
      <c r="N1023" s="177">
        <v>410.3</v>
      </c>
      <c r="O1023" s="177">
        <f>O1022+N1026</f>
        <v>665.25</v>
      </c>
      <c r="P1023" s="177">
        <f>P1022+O1026</f>
        <v>671.97</v>
      </c>
      <c r="Q1023" s="132"/>
    </row>
    <row r="1024" spans="1:17" x14ac:dyDescent="0.25">
      <c r="A1024" s="138" t="s">
        <v>19</v>
      </c>
      <c r="B1024" s="139"/>
      <c r="C1024" s="151"/>
      <c r="D1024" s="151"/>
      <c r="E1024" s="151"/>
      <c r="F1024" s="151"/>
      <c r="G1024" s="151"/>
      <c r="H1024" s="151"/>
      <c r="I1024" s="151"/>
      <c r="J1024" s="151"/>
      <c r="K1024" s="151"/>
      <c r="L1024" s="151"/>
      <c r="M1024" s="177"/>
      <c r="N1024" s="177"/>
      <c r="O1024" s="177"/>
      <c r="P1024" s="177"/>
      <c r="Q1024" s="132"/>
    </row>
    <row r="1025" spans="1:17" x14ac:dyDescent="0.25">
      <c r="A1025" s="138" t="s">
        <v>20</v>
      </c>
      <c r="B1025" s="139">
        <v>281.67</v>
      </c>
      <c r="C1025" s="151">
        <v>425.18</v>
      </c>
      <c r="D1025" s="151">
        <v>303.95</v>
      </c>
      <c r="E1025" s="151">
        <v>303.58</v>
      </c>
      <c r="F1025" s="151">
        <v>302.26</v>
      </c>
      <c r="G1025" s="151">
        <v>302.63</v>
      </c>
      <c r="H1025" s="151">
        <v>345.52</v>
      </c>
      <c r="I1025" s="151">
        <v>345.48964399999994</v>
      </c>
      <c r="J1025" s="151">
        <v>345.83</v>
      </c>
      <c r="K1025" s="151">
        <v>407.00220000000002</v>
      </c>
      <c r="L1025" s="151">
        <v>406.2911882029598</v>
      </c>
      <c r="M1025" s="177">
        <v>407.58140000000009</v>
      </c>
      <c r="N1025" s="177">
        <v>409.57</v>
      </c>
      <c r="O1025" s="177">
        <v>657.8</v>
      </c>
      <c r="P1025" s="177"/>
      <c r="Q1025" s="132"/>
    </row>
    <row r="1026" spans="1:17" x14ac:dyDescent="0.25">
      <c r="A1026" s="138" t="s">
        <v>21</v>
      </c>
      <c r="B1026" s="139">
        <v>120.89000000000004</v>
      </c>
      <c r="C1026" s="151">
        <v>6.7300000000000182</v>
      </c>
      <c r="D1026" s="151">
        <v>4.4200000000000159</v>
      </c>
      <c r="E1026" s="151">
        <v>2.4800000000000182</v>
      </c>
      <c r="F1026" s="151">
        <v>1.8600000000000136</v>
      </c>
      <c r="G1026" s="151">
        <v>0.87000000000000455</v>
      </c>
      <c r="H1026" s="151">
        <v>1.0900000000000318</v>
      </c>
      <c r="I1026" s="151">
        <v>1.3403560000000994</v>
      </c>
      <c r="J1026" s="151">
        <v>1.2503560000001244</v>
      </c>
      <c r="K1026" s="151">
        <v>1.7281560000001264</v>
      </c>
      <c r="L1026" s="151">
        <v>2.9169677970403427</v>
      </c>
      <c r="M1026" s="177">
        <v>2.8155677970402735</v>
      </c>
      <c r="N1026" s="177">
        <f>N1023-N1025</f>
        <v>0.73000000000001819</v>
      </c>
      <c r="O1026" s="177">
        <f>O1023-O1025</f>
        <v>7.4500000000000455</v>
      </c>
      <c r="P1026" s="177"/>
      <c r="Q1026" s="132"/>
    </row>
    <row r="1027" spans="1:17" x14ac:dyDescent="0.25">
      <c r="A1027" s="140" t="s">
        <v>22</v>
      </c>
      <c r="B1027" s="152"/>
      <c r="C1027" s="152"/>
      <c r="D1027" s="152"/>
      <c r="E1027" s="152"/>
      <c r="F1027" s="152"/>
      <c r="G1027" s="152"/>
      <c r="H1027" s="152"/>
      <c r="I1027" s="152"/>
      <c r="J1027" s="152"/>
      <c r="K1027" s="152"/>
      <c r="L1027" s="152"/>
      <c r="M1027" s="142"/>
      <c r="N1027" s="179"/>
      <c r="O1027" s="179"/>
      <c r="P1027" s="179"/>
      <c r="Q1027" s="132"/>
    </row>
    <row r="1028" spans="1:17" x14ac:dyDescent="0.25">
      <c r="A1028" s="140" t="s">
        <v>179</v>
      </c>
      <c r="B1028" s="141"/>
      <c r="C1028" s="141"/>
      <c r="D1028" s="141"/>
      <c r="E1028" s="141"/>
      <c r="F1028" s="141"/>
      <c r="G1028" s="141"/>
      <c r="H1028" s="141"/>
      <c r="I1028" s="141"/>
      <c r="J1028" s="141"/>
      <c r="K1028" s="141"/>
      <c r="L1028" s="141"/>
      <c r="M1028" s="141"/>
      <c r="N1028" s="141"/>
      <c r="O1028" s="142"/>
      <c r="P1028" s="142"/>
      <c r="Q1028" s="132"/>
    </row>
    <row r="1029" spans="1:17" x14ac:dyDescent="0.25">
      <c r="A1029" s="140" t="s">
        <v>210</v>
      </c>
      <c r="B1029" s="141"/>
      <c r="C1029" s="141"/>
      <c r="D1029" s="141"/>
      <c r="E1029" s="141"/>
      <c r="F1029" s="141"/>
      <c r="G1029" s="141"/>
      <c r="H1029" s="141"/>
      <c r="I1029" s="141"/>
      <c r="J1029" s="141"/>
      <c r="K1029" s="141"/>
      <c r="L1029" s="141"/>
      <c r="M1029" s="141"/>
      <c r="N1029" s="141"/>
      <c r="O1029" s="141"/>
      <c r="P1029" s="142"/>
      <c r="Q1029" s="132"/>
    </row>
    <row r="1030" spans="1:17" x14ac:dyDescent="0.25">
      <c r="A1030" s="158" t="s">
        <v>232</v>
      </c>
      <c r="B1030" s="132"/>
      <c r="C1030" s="132"/>
      <c r="D1030" s="132"/>
      <c r="E1030" s="132"/>
      <c r="F1030" s="132"/>
      <c r="G1030" s="132"/>
      <c r="H1030" s="132"/>
      <c r="I1030" s="132"/>
      <c r="J1030" s="132"/>
      <c r="K1030" s="132"/>
      <c r="L1030" s="132"/>
      <c r="M1030" s="132"/>
      <c r="N1030" s="132"/>
      <c r="O1030" s="132"/>
      <c r="P1030" s="144"/>
      <c r="Q1030" s="132"/>
    </row>
    <row r="1031" spans="1:17" x14ac:dyDescent="0.25">
      <c r="A1031" s="158" t="s">
        <v>275</v>
      </c>
      <c r="B1031" s="132"/>
      <c r="C1031" s="132"/>
      <c r="D1031" s="132"/>
      <c r="E1031" s="132"/>
      <c r="F1031" s="132"/>
      <c r="G1031" s="132"/>
      <c r="H1031" s="132"/>
      <c r="I1031" s="132"/>
      <c r="J1031" s="132"/>
      <c r="K1031" s="132"/>
      <c r="L1031" s="132"/>
      <c r="M1031" s="132"/>
      <c r="N1031" s="132"/>
      <c r="O1031" s="132"/>
      <c r="P1031" s="144"/>
      <c r="Q1031" s="132"/>
    </row>
    <row r="1032" spans="1:17" x14ac:dyDescent="0.25">
      <c r="A1032" s="158" t="s">
        <v>276</v>
      </c>
      <c r="B1032" s="132"/>
      <c r="C1032" s="132"/>
      <c r="D1032" s="132"/>
      <c r="E1032" s="132"/>
      <c r="F1032" s="132"/>
      <c r="G1032" s="132"/>
      <c r="H1032" s="132"/>
      <c r="I1032" s="132"/>
      <c r="J1032" s="132"/>
      <c r="K1032" s="132"/>
      <c r="L1032" s="132"/>
      <c r="M1032" s="132"/>
      <c r="N1032" s="132"/>
      <c r="O1032" s="132"/>
      <c r="P1032" s="144"/>
      <c r="Q1032" s="132"/>
    </row>
    <row r="1033" spans="1:17" x14ac:dyDescent="0.25">
      <c r="A1033" s="158" t="s">
        <v>277</v>
      </c>
      <c r="B1033" s="132"/>
      <c r="C1033" s="132"/>
      <c r="D1033" s="132"/>
      <c r="E1033" s="132"/>
      <c r="F1033" s="132"/>
      <c r="G1033" s="132"/>
      <c r="H1033" s="132"/>
      <c r="I1033" s="132"/>
      <c r="J1033" s="132"/>
      <c r="K1033" s="132"/>
      <c r="L1033" s="132"/>
      <c r="M1033" s="132"/>
      <c r="N1033" s="132"/>
      <c r="O1033" s="132"/>
      <c r="P1033" s="144"/>
      <c r="Q1033" s="132"/>
    </row>
    <row r="1034" spans="1:17" x14ac:dyDescent="0.25">
      <c r="A1034" s="158" t="s">
        <v>469</v>
      </c>
      <c r="B1034" s="132"/>
      <c r="C1034" s="132"/>
      <c r="D1034" s="132"/>
      <c r="E1034" s="132"/>
      <c r="F1034" s="132"/>
      <c r="G1034" s="132"/>
      <c r="H1034" s="132"/>
      <c r="I1034" s="132"/>
      <c r="J1034" s="132"/>
      <c r="K1034" s="132"/>
      <c r="L1034" s="132"/>
      <c r="M1034" s="132"/>
      <c r="N1034" s="132"/>
      <c r="O1034" s="132"/>
      <c r="P1034" s="144"/>
      <c r="Q1034" s="132"/>
    </row>
    <row r="1035" spans="1:17" x14ac:dyDescent="0.25">
      <c r="A1035" s="158" t="s">
        <v>470</v>
      </c>
      <c r="B1035" s="132"/>
      <c r="C1035" s="132"/>
      <c r="D1035" s="132"/>
      <c r="E1035" s="132"/>
      <c r="F1035" s="132"/>
      <c r="G1035" s="132"/>
      <c r="H1035" s="132"/>
      <c r="I1035" s="132"/>
      <c r="J1035" s="132"/>
      <c r="K1035" s="132"/>
      <c r="L1035" s="132"/>
      <c r="M1035" s="132"/>
      <c r="N1035" s="132"/>
      <c r="O1035" s="132"/>
      <c r="P1035" s="144"/>
      <c r="Q1035" s="132"/>
    </row>
    <row r="1036" spans="1:17" x14ac:dyDescent="0.25">
      <c r="A1036" s="158" t="s">
        <v>659</v>
      </c>
      <c r="B1036" s="132"/>
      <c r="C1036" s="132"/>
      <c r="D1036" s="132"/>
      <c r="E1036" s="132"/>
      <c r="F1036" s="132"/>
      <c r="G1036" s="132"/>
      <c r="H1036" s="132"/>
      <c r="I1036" s="132"/>
      <c r="J1036" s="132"/>
      <c r="K1036" s="132"/>
      <c r="L1036" s="132"/>
      <c r="M1036" s="132"/>
      <c r="N1036" s="132"/>
      <c r="O1036" s="132"/>
      <c r="P1036" s="144"/>
      <c r="Q1036" s="132"/>
    </row>
    <row r="1037" spans="1:17" x14ac:dyDescent="0.25">
      <c r="A1037" s="158" t="s">
        <v>850</v>
      </c>
      <c r="B1037" s="132"/>
      <c r="C1037" s="132"/>
      <c r="D1037" s="132"/>
      <c r="E1037" s="132"/>
      <c r="F1037" s="132"/>
      <c r="G1037" s="132"/>
      <c r="H1037" s="132"/>
      <c r="I1037" s="132"/>
      <c r="J1037" s="132"/>
      <c r="K1037" s="132"/>
      <c r="L1037" s="132"/>
      <c r="M1037" s="132"/>
      <c r="N1037" s="132"/>
      <c r="O1037" s="132"/>
      <c r="P1037" s="144"/>
      <c r="Q1037" s="132"/>
    </row>
    <row r="1038" spans="1:17" x14ac:dyDescent="0.25">
      <c r="A1038" s="169" t="s">
        <v>851</v>
      </c>
      <c r="B1038" s="147"/>
      <c r="C1038" s="147"/>
      <c r="D1038" s="147"/>
      <c r="E1038" s="147"/>
      <c r="F1038" s="147"/>
      <c r="G1038" s="147"/>
      <c r="H1038" s="147"/>
      <c r="I1038" s="147"/>
      <c r="J1038" s="147"/>
      <c r="K1038" s="147"/>
      <c r="L1038" s="147"/>
      <c r="M1038" s="147"/>
      <c r="N1038" s="147"/>
      <c r="O1038" s="147"/>
      <c r="P1038" s="148"/>
      <c r="Q1038" s="132"/>
    </row>
    <row r="1039" spans="1:17" x14ac:dyDescent="0.25">
      <c r="A1039" s="131"/>
      <c r="C1039" s="133"/>
    </row>
    <row r="1040" spans="1:17" x14ac:dyDescent="0.25">
      <c r="A1040" s="406" t="s">
        <v>14</v>
      </c>
      <c r="B1040" s="407" t="s">
        <v>66</v>
      </c>
      <c r="C1040" s="408" t="s">
        <v>15</v>
      </c>
      <c r="D1040" s="393"/>
      <c r="E1040" s="393"/>
      <c r="F1040" s="393"/>
      <c r="G1040" s="393"/>
      <c r="H1040" s="393"/>
      <c r="I1040" s="393"/>
      <c r="J1040" s="393"/>
      <c r="K1040" s="393"/>
      <c r="L1040" s="393"/>
      <c r="M1040" s="393"/>
      <c r="N1040" s="393"/>
      <c r="O1040" s="393"/>
      <c r="P1040" s="393"/>
    </row>
    <row r="1041" spans="1:17" x14ac:dyDescent="0.25">
      <c r="A1041" s="409" t="s">
        <v>16</v>
      </c>
      <c r="B1041" s="410">
        <v>2009</v>
      </c>
      <c r="C1041" s="410">
        <v>2010</v>
      </c>
      <c r="D1041" s="410">
        <v>2011</v>
      </c>
      <c r="E1041" s="410">
        <v>2012</v>
      </c>
      <c r="F1041" s="410">
        <v>2013</v>
      </c>
      <c r="G1041" s="410">
        <v>2014</v>
      </c>
      <c r="H1041" s="410">
        <v>2015</v>
      </c>
      <c r="I1041" s="410">
        <v>2016</v>
      </c>
      <c r="J1041" s="410">
        <v>2017</v>
      </c>
      <c r="K1041" s="410">
        <v>2018</v>
      </c>
      <c r="L1041" s="410">
        <v>2019</v>
      </c>
      <c r="M1041" s="410">
        <v>2020</v>
      </c>
      <c r="N1041" s="410">
        <v>2021</v>
      </c>
      <c r="O1041" s="410">
        <v>2022</v>
      </c>
      <c r="P1041" s="410">
        <v>2023</v>
      </c>
      <c r="Q1041" s="132"/>
    </row>
    <row r="1042" spans="1:17" x14ac:dyDescent="0.25">
      <c r="A1042" s="409" t="s">
        <v>17</v>
      </c>
      <c r="B1042" s="240">
        <v>25000</v>
      </c>
      <c r="C1042" s="240">
        <v>25000</v>
      </c>
      <c r="D1042" s="240">
        <v>23611</v>
      </c>
      <c r="E1042" s="240">
        <v>23611</v>
      </c>
      <c r="F1042" s="240">
        <v>23611</v>
      </c>
      <c r="G1042" s="240">
        <v>23611</v>
      </c>
      <c r="H1042" s="240">
        <v>23611</v>
      </c>
      <c r="I1042" s="240">
        <v>17696</v>
      </c>
      <c r="J1042" s="411">
        <v>17696</v>
      </c>
      <c r="K1042" s="411">
        <v>17696</v>
      </c>
      <c r="L1042" s="411">
        <v>17696</v>
      </c>
      <c r="M1042" s="411">
        <v>13979.84</v>
      </c>
      <c r="N1042" s="411">
        <v>13756.162560000001</v>
      </c>
      <c r="O1042" s="411">
        <v>13868.00128</v>
      </c>
      <c r="P1042" s="411">
        <v>13868.00128</v>
      </c>
      <c r="Q1042" s="132"/>
    </row>
    <row r="1043" spans="1:17" x14ac:dyDescent="0.25">
      <c r="A1043" s="409" t="s">
        <v>18</v>
      </c>
      <c r="B1043" s="240">
        <v>30500</v>
      </c>
      <c r="C1043" s="240">
        <v>29700</v>
      </c>
      <c r="D1043" s="240">
        <v>26894.3</v>
      </c>
      <c r="E1043" s="240">
        <v>27624.3</v>
      </c>
      <c r="F1043" s="240">
        <v>27624.3</v>
      </c>
      <c r="G1043" s="240">
        <v>27624.3</v>
      </c>
      <c r="H1043" s="240">
        <v>27624.3</v>
      </c>
      <c r="I1043" s="240">
        <v>20167.650000000001</v>
      </c>
      <c r="J1043" s="411">
        <v>19280.400000000001</v>
      </c>
      <c r="K1043" s="411">
        <v>15415.88</v>
      </c>
      <c r="L1043" s="411">
        <v>19280.400000000001</v>
      </c>
      <c r="M1043" s="411">
        <v>13079.84</v>
      </c>
      <c r="N1043" s="411">
        <f>N1042+0.1*L1042-600-300</f>
        <v>14625.762560000001</v>
      </c>
      <c r="O1043" s="411">
        <f>O1042+0.1*M1042-600-300</f>
        <v>14365.985280000001</v>
      </c>
      <c r="P1043" s="411">
        <f>P1042+0.1*N1042-600-300</f>
        <v>14343.617536000002</v>
      </c>
      <c r="Q1043" s="132"/>
    </row>
    <row r="1044" spans="1:17" x14ac:dyDescent="0.25">
      <c r="A1044" s="409" t="s">
        <v>19</v>
      </c>
      <c r="B1044" s="240"/>
      <c r="C1044" s="240"/>
      <c r="D1044" s="240"/>
      <c r="E1044" s="240"/>
      <c r="F1044" s="240"/>
      <c r="G1044" s="240"/>
      <c r="H1044" s="240"/>
      <c r="I1044" s="240"/>
      <c r="J1044" s="240"/>
      <c r="K1044" s="240"/>
      <c r="L1044" s="240"/>
      <c r="M1044" s="240"/>
      <c r="N1044" s="240"/>
      <c r="O1044" s="240"/>
      <c r="P1044" s="240"/>
      <c r="Q1044" s="132"/>
    </row>
    <row r="1045" spans="1:17" x14ac:dyDescent="0.25">
      <c r="A1045" s="409" t="s">
        <v>20</v>
      </c>
      <c r="B1045" s="240">
        <v>13127.78969</v>
      </c>
      <c r="C1045" s="240">
        <v>12919.833529999998</v>
      </c>
      <c r="D1045" s="240">
        <v>11930</v>
      </c>
      <c r="E1045" s="240">
        <v>15971.9</v>
      </c>
      <c r="F1045" s="240">
        <v>14342</v>
      </c>
      <c r="G1045" s="240">
        <v>12595.2</v>
      </c>
      <c r="H1045" s="240">
        <v>10179.799999999999</v>
      </c>
      <c r="I1045" s="240">
        <v>11238</v>
      </c>
      <c r="J1045" s="240">
        <v>9872.2000000000007</v>
      </c>
      <c r="K1045" s="240">
        <v>9849.5910000000003</v>
      </c>
      <c r="L1045" s="240">
        <v>9933.1844890000011</v>
      </c>
      <c r="M1045" s="240">
        <v>9294.3000000000011</v>
      </c>
      <c r="N1045" s="240">
        <v>11226.4</v>
      </c>
      <c r="O1045" s="202">
        <v>12374.5</v>
      </c>
      <c r="P1045" s="240"/>
      <c r="Q1045" s="132"/>
    </row>
    <row r="1046" spans="1:17" x14ac:dyDescent="0.25">
      <c r="A1046" s="409" t="s">
        <v>21</v>
      </c>
      <c r="B1046" s="240">
        <v>17372.210310000002</v>
      </c>
      <c r="C1046" s="240">
        <v>16780.166470000004</v>
      </c>
      <c r="D1046" s="240">
        <v>14964.3</v>
      </c>
      <c r="E1046" s="240">
        <v>11652.4</v>
      </c>
      <c r="F1046" s="240">
        <v>13282.3</v>
      </c>
      <c r="G1046" s="240">
        <v>15029.099999999999</v>
      </c>
      <c r="H1046" s="240">
        <v>17444.5</v>
      </c>
      <c r="I1046" s="240">
        <v>8929.6500000000015</v>
      </c>
      <c r="J1046" s="240">
        <v>9408.2000000000007</v>
      </c>
      <c r="K1046" s="240">
        <v>5566.2889999999989</v>
      </c>
      <c r="L1046" s="240">
        <v>9347.2155110000003</v>
      </c>
      <c r="M1046" s="240">
        <f>M1043-M1045</f>
        <v>3785.5399999999991</v>
      </c>
      <c r="N1046" s="240">
        <f>N1043-N1045</f>
        <v>3399.3625600000014</v>
      </c>
      <c r="O1046" s="202">
        <f>O1043-O1045</f>
        <v>1991.4852800000008</v>
      </c>
      <c r="P1046" s="240"/>
      <c r="Q1046" s="132"/>
    </row>
    <row r="1047" spans="1:17" x14ac:dyDescent="0.25">
      <c r="A1047" s="412" t="s">
        <v>22</v>
      </c>
      <c r="B1047" s="413"/>
      <c r="C1047" s="413"/>
      <c r="D1047" s="413"/>
      <c r="E1047" s="413"/>
      <c r="F1047" s="413"/>
      <c r="G1047" s="413"/>
      <c r="H1047" s="413"/>
      <c r="I1047" s="413"/>
      <c r="J1047" s="413"/>
      <c r="K1047" s="413"/>
      <c r="L1047" s="413">
        <v>2021</v>
      </c>
      <c r="M1047" s="413">
        <v>2022</v>
      </c>
      <c r="N1047" s="413">
        <v>2023</v>
      </c>
      <c r="O1047" s="413"/>
      <c r="P1047" s="413"/>
      <c r="Q1047" s="132"/>
    </row>
    <row r="1048" spans="1:17" x14ac:dyDescent="0.25">
      <c r="A1048" s="412" t="s">
        <v>179</v>
      </c>
      <c r="B1048" s="525"/>
      <c r="C1048" s="525"/>
      <c r="D1048" s="525"/>
      <c r="E1048" s="525"/>
      <c r="F1048" s="525"/>
      <c r="G1048" s="525"/>
      <c r="H1048" s="525"/>
      <c r="I1048" s="525"/>
      <c r="J1048" s="525"/>
      <c r="K1048" s="525"/>
      <c r="L1048" s="525"/>
      <c r="M1048" s="525"/>
      <c r="N1048" s="525"/>
      <c r="O1048" s="526"/>
      <c r="P1048" s="526"/>
      <c r="Q1048" s="132"/>
    </row>
    <row r="1049" spans="1:17" x14ac:dyDescent="0.25">
      <c r="A1049" s="412" t="s">
        <v>196</v>
      </c>
      <c r="B1049" s="525"/>
      <c r="C1049" s="525"/>
      <c r="D1049" s="525"/>
      <c r="E1049" s="525"/>
      <c r="F1049" s="525"/>
      <c r="G1049" s="525"/>
      <c r="H1049" s="525"/>
      <c r="I1049" s="525"/>
      <c r="J1049" s="525"/>
      <c r="K1049" s="525"/>
      <c r="L1049" s="525"/>
      <c r="M1049" s="525"/>
      <c r="N1049" s="525"/>
      <c r="O1049" s="525"/>
      <c r="P1049" s="526"/>
      <c r="Q1049" s="132"/>
    </row>
    <row r="1050" spans="1:17" x14ac:dyDescent="0.25">
      <c r="A1050" s="414" t="s">
        <v>197</v>
      </c>
      <c r="B1050" s="393"/>
      <c r="C1050" s="393"/>
      <c r="D1050" s="393"/>
      <c r="E1050" s="393"/>
      <c r="F1050" s="393"/>
      <c r="G1050" s="393"/>
      <c r="H1050" s="393"/>
      <c r="I1050" s="393"/>
      <c r="J1050" s="393"/>
      <c r="K1050" s="393"/>
      <c r="L1050" s="393"/>
      <c r="M1050" s="393"/>
      <c r="N1050" s="393"/>
      <c r="O1050" s="393"/>
      <c r="P1050" s="415"/>
      <c r="Q1050" s="132"/>
    </row>
    <row r="1051" spans="1:17" x14ac:dyDescent="0.25">
      <c r="A1051" s="414" t="s">
        <v>235</v>
      </c>
      <c r="B1051" s="393"/>
      <c r="C1051" s="393"/>
      <c r="D1051" s="393"/>
      <c r="E1051" s="393"/>
      <c r="F1051" s="393"/>
      <c r="G1051" s="393"/>
      <c r="H1051" s="393"/>
      <c r="I1051" s="393"/>
      <c r="J1051" s="393"/>
      <c r="K1051" s="393"/>
      <c r="L1051" s="393"/>
      <c r="M1051" s="393"/>
      <c r="N1051" s="393"/>
      <c r="O1051" s="393"/>
      <c r="P1051" s="415"/>
      <c r="Q1051" s="132"/>
    </row>
    <row r="1052" spans="1:17" x14ac:dyDescent="0.25">
      <c r="A1052" s="414" t="s">
        <v>236</v>
      </c>
      <c r="B1052" s="527"/>
      <c r="C1052" s="528"/>
      <c r="D1052" s="529"/>
      <c r="E1052" s="393"/>
      <c r="F1052" s="393"/>
      <c r="G1052" s="528"/>
      <c r="H1052" s="393"/>
      <c r="I1052" s="393"/>
      <c r="J1052" s="393"/>
      <c r="K1052" s="393"/>
      <c r="L1052" s="393"/>
      <c r="M1052" s="393"/>
      <c r="N1052" s="393"/>
      <c r="O1052" s="393"/>
      <c r="P1052" s="415"/>
      <c r="Q1052" s="132"/>
    </row>
    <row r="1053" spans="1:17" x14ac:dyDescent="0.25">
      <c r="A1053" s="414" t="s">
        <v>237</v>
      </c>
      <c r="B1053" s="393"/>
      <c r="C1053" s="393"/>
      <c r="D1053" s="393"/>
      <c r="E1053" s="393"/>
      <c r="F1053" s="393"/>
      <c r="G1053" s="530"/>
      <c r="H1053" s="393"/>
      <c r="I1053" s="393"/>
      <c r="J1053" s="393"/>
      <c r="K1053" s="393"/>
      <c r="L1053" s="393"/>
      <c r="M1053" s="393"/>
      <c r="N1053" s="393"/>
      <c r="O1053" s="393"/>
      <c r="P1053" s="415"/>
      <c r="Q1053" s="132"/>
    </row>
    <row r="1054" spans="1:17" x14ac:dyDescent="0.25">
      <c r="A1054" s="414" t="s">
        <v>279</v>
      </c>
      <c r="B1054" s="393"/>
      <c r="C1054" s="393"/>
      <c r="D1054" s="393"/>
      <c r="E1054" s="393"/>
      <c r="F1054" s="393"/>
      <c r="G1054" s="393"/>
      <c r="H1054" s="393"/>
      <c r="I1054" s="393"/>
      <c r="J1054" s="393"/>
      <c r="K1054" s="393"/>
      <c r="L1054" s="393"/>
      <c r="M1054" s="393"/>
      <c r="N1054" s="393"/>
      <c r="O1054" s="393"/>
      <c r="P1054" s="415"/>
      <c r="Q1054" s="132"/>
    </row>
    <row r="1055" spans="1:17" x14ac:dyDescent="0.25">
      <c r="A1055" s="414" t="s">
        <v>238</v>
      </c>
      <c r="B1055" s="393"/>
      <c r="C1055" s="393"/>
      <c r="D1055" s="393"/>
      <c r="E1055" s="393"/>
      <c r="F1055" s="393"/>
      <c r="G1055" s="530"/>
      <c r="H1055" s="393"/>
      <c r="I1055" s="393"/>
      <c r="J1055" s="393"/>
      <c r="K1055" s="393"/>
      <c r="L1055" s="393"/>
      <c r="M1055" s="393"/>
      <c r="N1055" s="393"/>
      <c r="O1055" s="393"/>
      <c r="P1055" s="415"/>
      <c r="Q1055" s="132"/>
    </row>
    <row r="1056" spans="1:17" x14ac:dyDescent="0.25">
      <c r="A1056" s="414" t="s">
        <v>233</v>
      </c>
      <c r="B1056" s="393"/>
      <c r="C1056" s="393"/>
      <c r="D1056" s="393"/>
      <c r="E1056" s="393"/>
      <c r="F1056" s="393"/>
      <c r="G1056" s="530"/>
      <c r="H1056" s="393"/>
      <c r="I1056" s="393"/>
      <c r="J1056" s="393"/>
      <c r="K1056" s="393"/>
      <c r="L1056" s="393"/>
      <c r="M1056" s="393"/>
      <c r="N1056" s="393"/>
      <c r="O1056" s="393"/>
      <c r="P1056" s="415"/>
      <c r="Q1056" s="132"/>
    </row>
    <row r="1057" spans="1:18" x14ac:dyDescent="0.25">
      <c r="A1057" s="416" t="s">
        <v>234</v>
      </c>
      <c r="B1057" s="393"/>
      <c r="C1057" s="393"/>
      <c r="D1057" s="393"/>
      <c r="E1057" s="393"/>
      <c r="F1057" s="393"/>
      <c r="G1057" s="393"/>
      <c r="H1057" s="393"/>
      <c r="I1057" s="393"/>
      <c r="J1057" s="393"/>
      <c r="K1057" s="393"/>
      <c r="L1057" s="393"/>
      <c r="M1057" s="393"/>
      <c r="N1057" s="393"/>
      <c r="O1057" s="393"/>
      <c r="P1057" s="415"/>
      <c r="Q1057" s="132"/>
    </row>
    <row r="1058" spans="1:18" x14ac:dyDescent="0.25">
      <c r="A1058" s="416" t="s">
        <v>211</v>
      </c>
      <c r="B1058" s="393"/>
      <c r="C1058" s="393"/>
      <c r="D1058" s="393"/>
      <c r="E1058" s="393"/>
      <c r="F1058" s="393"/>
      <c r="G1058" s="393"/>
      <c r="H1058" s="393"/>
      <c r="I1058" s="393"/>
      <c r="J1058" s="393"/>
      <c r="K1058" s="393"/>
      <c r="L1058" s="393"/>
      <c r="M1058" s="393"/>
      <c r="N1058" s="393"/>
      <c r="O1058" s="393"/>
      <c r="P1058" s="415"/>
      <c r="Q1058" s="132"/>
    </row>
    <row r="1059" spans="1:18" x14ac:dyDescent="0.25">
      <c r="A1059" s="416" t="s">
        <v>278</v>
      </c>
      <c r="B1059" s="393"/>
      <c r="C1059" s="393"/>
      <c r="D1059" s="393"/>
      <c r="E1059" s="393"/>
      <c r="F1059" s="393"/>
      <c r="G1059" s="393"/>
      <c r="H1059" s="393"/>
      <c r="I1059" s="393"/>
      <c r="J1059" s="393"/>
      <c r="K1059" s="393"/>
      <c r="L1059" s="393"/>
      <c r="M1059" s="393"/>
      <c r="N1059" s="393"/>
      <c r="O1059" s="393"/>
      <c r="P1059" s="415"/>
      <c r="Q1059" s="132"/>
    </row>
    <row r="1060" spans="1:18" ht="13.2" customHeight="1" x14ac:dyDescent="0.25">
      <c r="A1060" s="416" t="s">
        <v>379</v>
      </c>
      <c r="B1060" s="393"/>
      <c r="C1060" s="393"/>
      <c r="D1060" s="393"/>
      <c r="E1060" s="393"/>
      <c r="F1060" s="393"/>
      <c r="G1060" s="393"/>
      <c r="H1060" s="393"/>
      <c r="I1060" s="393"/>
      <c r="J1060" s="393"/>
      <c r="K1060" s="393"/>
      <c r="L1060" s="393"/>
      <c r="M1060" s="393"/>
      <c r="N1060" s="393"/>
      <c r="O1060" s="393"/>
      <c r="P1060" s="415"/>
      <c r="Q1060" s="132"/>
    </row>
    <row r="1061" spans="1:18" ht="13.2" customHeight="1" x14ac:dyDescent="0.25">
      <c r="A1061" s="416" t="s">
        <v>578</v>
      </c>
      <c r="B1061" s="393"/>
      <c r="C1061" s="393"/>
      <c r="D1061" s="393"/>
      <c r="E1061" s="393"/>
      <c r="F1061" s="393"/>
      <c r="G1061" s="393"/>
      <c r="H1061" s="393"/>
      <c r="I1061" s="393"/>
      <c r="J1061" s="393"/>
      <c r="K1061" s="393"/>
      <c r="L1061" s="393"/>
      <c r="M1061" s="393"/>
      <c r="N1061" s="393"/>
      <c r="O1061" s="393"/>
      <c r="P1061" s="415"/>
      <c r="Q1061" s="132"/>
    </row>
    <row r="1062" spans="1:18" ht="13.2" customHeight="1" x14ac:dyDescent="0.25">
      <c r="A1062" s="416" t="s">
        <v>660</v>
      </c>
      <c r="B1062" s="393"/>
      <c r="C1062" s="393"/>
      <c r="D1062" s="393"/>
      <c r="E1062" s="393"/>
      <c r="F1062" s="393"/>
      <c r="G1062" s="393"/>
      <c r="H1062" s="393"/>
      <c r="I1062" s="393"/>
      <c r="J1062" s="393"/>
      <c r="K1062" s="393"/>
      <c r="L1062" s="393"/>
      <c r="M1062" s="393"/>
      <c r="N1062" s="393"/>
      <c r="O1062" s="393"/>
      <c r="P1062" s="415"/>
      <c r="Q1062" s="132"/>
    </row>
    <row r="1063" spans="1:18" ht="13.2" customHeight="1" x14ac:dyDescent="0.25">
      <c r="A1063" s="416" t="s">
        <v>601</v>
      </c>
      <c r="B1063" s="393"/>
      <c r="C1063" s="393"/>
      <c r="D1063" s="393"/>
      <c r="E1063" s="393"/>
      <c r="F1063" s="393"/>
      <c r="G1063" s="393"/>
      <c r="H1063" s="393"/>
      <c r="I1063" s="393"/>
      <c r="J1063" s="393"/>
      <c r="K1063" s="393"/>
      <c r="L1063" s="393"/>
      <c r="M1063" s="393"/>
      <c r="N1063" s="393"/>
      <c r="O1063" s="393"/>
      <c r="P1063" s="415"/>
      <c r="Q1063" s="132"/>
    </row>
    <row r="1064" spans="1:18" ht="13.2" customHeight="1" x14ac:dyDescent="0.25">
      <c r="A1064" s="416" t="s">
        <v>730</v>
      </c>
      <c r="B1064" s="393"/>
      <c r="C1064" s="393"/>
      <c r="D1064" s="393"/>
      <c r="E1064" s="393"/>
      <c r="F1064" s="393"/>
      <c r="G1064" s="393"/>
      <c r="H1064" s="393"/>
      <c r="I1064" s="393"/>
      <c r="J1064" s="393"/>
      <c r="K1064" s="393"/>
      <c r="L1064" s="393"/>
      <c r="M1064" s="393"/>
      <c r="N1064" s="393"/>
      <c r="O1064" s="393"/>
      <c r="P1064" s="415"/>
      <c r="Q1064" s="132"/>
    </row>
    <row r="1065" spans="1:18" ht="13.2" customHeight="1" x14ac:dyDescent="0.25">
      <c r="A1065" s="417" t="s">
        <v>852</v>
      </c>
      <c r="B1065" s="418"/>
      <c r="C1065" s="418"/>
      <c r="D1065" s="418"/>
      <c r="E1065" s="418"/>
      <c r="F1065" s="418"/>
      <c r="G1065" s="418"/>
      <c r="H1065" s="418"/>
      <c r="I1065" s="418"/>
      <c r="J1065" s="418"/>
      <c r="K1065" s="418"/>
      <c r="L1065" s="418"/>
      <c r="M1065" s="418"/>
      <c r="N1065" s="418"/>
      <c r="O1065" s="418"/>
      <c r="P1065" s="419"/>
      <c r="Q1065" s="132"/>
    </row>
    <row r="1066" spans="1:18" x14ac:dyDescent="0.25">
      <c r="A1066" s="131"/>
      <c r="C1066" s="133"/>
    </row>
    <row r="1067" spans="1:18" x14ac:dyDescent="0.25">
      <c r="A1067" s="173" t="s">
        <v>14</v>
      </c>
      <c r="B1067" s="135" t="s">
        <v>74</v>
      </c>
      <c r="C1067" s="170" t="s">
        <v>15</v>
      </c>
      <c r="D1067" s="132"/>
      <c r="E1067" s="132"/>
      <c r="F1067" s="132"/>
      <c r="G1067" s="132"/>
      <c r="H1067" s="132"/>
      <c r="I1067" s="132"/>
      <c r="J1067" s="132"/>
      <c r="K1067" s="132"/>
      <c r="L1067" s="132"/>
      <c r="M1067" s="132"/>
      <c r="N1067" s="132"/>
    </row>
    <row r="1068" spans="1:18" x14ac:dyDescent="0.25">
      <c r="A1068" s="146" t="s">
        <v>16</v>
      </c>
      <c r="B1068" s="174">
        <v>2008</v>
      </c>
      <c r="C1068" s="175">
        <v>2009</v>
      </c>
      <c r="D1068" s="175">
        <v>2010</v>
      </c>
      <c r="E1068" s="175">
        <v>2011</v>
      </c>
      <c r="F1068" s="174">
        <v>2012</v>
      </c>
      <c r="G1068" s="174">
        <v>2013</v>
      </c>
      <c r="H1068" s="174">
        <v>2014</v>
      </c>
      <c r="I1068" s="174">
        <v>2015</v>
      </c>
      <c r="J1068" s="174">
        <v>2016</v>
      </c>
      <c r="K1068" s="174">
        <v>2017</v>
      </c>
      <c r="L1068" s="174">
        <v>2018</v>
      </c>
      <c r="M1068" s="174">
        <v>2019</v>
      </c>
      <c r="N1068" s="174">
        <v>2020</v>
      </c>
      <c r="O1068" s="174">
        <v>2021</v>
      </c>
      <c r="P1068" s="51">
        <v>2022</v>
      </c>
      <c r="Q1068" s="51">
        <v>2023</v>
      </c>
      <c r="R1068" s="198">
        <v>2024</v>
      </c>
    </row>
    <row r="1069" spans="1:18" x14ac:dyDescent="0.25">
      <c r="A1069" s="136" t="s">
        <v>17</v>
      </c>
      <c r="B1069" s="151">
        <v>839.5</v>
      </c>
      <c r="C1069" s="151">
        <v>839.5</v>
      </c>
      <c r="D1069" s="151">
        <v>839.5</v>
      </c>
      <c r="E1069" s="151">
        <v>839.5</v>
      </c>
      <c r="F1069" s="177">
        <v>503.7</v>
      </c>
      <c r="G1069" s="177">
        <v>390</v>
      </c>
      <c r="H1069" s="177">
        <v>390</v>
      </c>
      <c r="I1069" s="177">
        <v>390</v>
      </c>
      <c r="J1069" s="177">
        <v>390</v>
      </c>
      <c r="K1069" s="177">
        <v>390</v>
      </c>
      <c r="L1069" s="177">
        <v>390</v>
      </c>
      <c r="M1069" s="177">
        <v>390</v>
      </c>
      <c r="N1069" s="177">
        <v>328.1</v>
      </c>
      <c r="O1069" s="177">
        <v>328.1</v>
      </c>
      <c r="P1069" s="23">
        <v>328.1</v>
      </c>
      <c r="Q1069" s="23">
        <v>328.1</v>
      </c>
      <c r="R1069" s="45">
        <v>328.1</v>
      </c>
    </row>
    <row r="1070" spans="1:18" x14ac:dyDescent="0.25">
      <c r="A1070" s="138" t="s">
        <v>18</v>
      </c>
      <c r="B1070" s="151">
        <v>839.5</v>
      </c>
      <c r="C1070" s="151">
        <v>839.5</v>
      </c>
      <c r="D1070" s="151">
        <v>839.5</v>
      </c>
      <c r="E1070" s="151">
        <v>839.5</v>
      </c>
      <c r="F1070" s="151">
        <v>503.7</v>
      </c>
      <c r="G1070" s="177">
        <v>390</v>
      </c>
      <c r="H1070" s="177">
        <v>390</v>
      </c>
      <c r="I1070" s="177">
        <v>429</v>
      </c>
      <c r="J1070" s="177">
        <v>429</v>
      </c>
      <c r="K1070" s="177">
        <v>429</v>
      </c>
      <c r="L1070" s="177">
        <v>406.6</v>
      </c>
      <c r="M1070" s="177">
        <v>429</v>
      </c>
      <c r="N1070" s="177">
        <v>367.1</v>
      </c>
      <c r="O1070" s="177">
        <v>367.1</v>
      </c>
      <c r="P1070" s="23"/>
      <c r="Q1070" s="23"/>
      <c r="R1070" s="45">
        <f>R1069+P1073</f>
        <v>285.10000000000002</v>
      </c>
    </row>
    <row r="1071" spans="1:18" x14ac:dyDescent="0.25">
      <c r="A1071" s="138" t="s">
        <v>19</v>
      </c>
      <c r="B1071" s="151"/>
      <c r="C1071" s="178"/>
      <c r="D1071" s="151"/>
      <c r="E1071" s="177"/>
      <c r="F1071" s="177"/>
      <c r="G1071" s="177"/>
      <c r="H1071" s="177"/>
      <c r="I1071" s="177"/>
      <c r="J1071" s="177"/>
      <c r="K1071" s="177"/>
      <c r="L1071" s="177"/>
      <c r="M1071" s="177"/>
      <c r="N1071" s="177"/>
      <c r="O1071" s="177"/>
      <c r="P1071" s="23"/>
      <c r="Q1071" s="23"/>
      <c r="R1071" s="45"/>
    </row>
    <row r="1072" spans="1:18" x14ac:dyDescent="0.25">
      <c r="A1072" s="138" t="s">
        <v>20</v>
      </c>
      <c r="B1072" s="151">
        <v>704.14</v>
      </c>
      <c r="C1072" s="151">
        <v>553.45920000000001</v>
      </c>
      <c r="D1072" s="151">
        <v>425.98559999999998</v>
      </c>
      <c r="E1072" s="151">
        <v>478</v>
      </c>
      <c r="F1072" s="177">
        <v>305.5</v>
      </c>
      <c r="G1072" s="177">
        <v>231.5</v>
      </c>
      <c r="H1072" s="177">
        <v>288.8</v>
      </c>
      <c r="I1072" s="177">
        <v>261.5</v>
      </c>
      <c r="J1072" s="177">
        <v>412.4</v>
      </c>
      <c r="K1072" s="177">
        <v>308.10000000000002</v>
      </c>
      <c r="L1072" s="177">
        <v>352.2</v>
      </c>
      <c r="M1072" s="177">
        <v>336.88949500000001</v>
      </c>
      <c r="N1072" s="177">
        <v>285.10000000000002</v>
      </c>
      <c r="O1072" s="177">
        <v>289.39999999999998</v>
      </c>
      <c r="P1072" s="45">
        <v>371.1</v>
      </c>
      <c r="Q1072" s="23"/>
      <c r="R1072" s="45"/>
    </row>
    <row r="1073" spans="1:18" x14ac:dyDescent="0.25">
      <c r="A1073" s="138" t="s">
        <v>21</v>
      </c>
      <c r="B1073" s="151">
        <v>135.36000000000001</v>
      </c>
      <c r="C1073" s="151">
        <v>286.04079999999999</v>
      </c>
      <c r="D1073" s="151">
        <v>413.51440000000002</v>
      </c>
      <c r="E1073" s="151">
        <v>361.5</v>
      </c>
      <c r="F1073" s="151">
        <v>198.2</v>
      </c>
      <c r="G1073" s="177">
        <v>158.5</v>
      </c>
      <c r="H1073" s="177">
        <v>101.19999999999999</v>
      </c>
      <c r="I1073" s="177">
        <v>167.5</v>
      </c>
      <c r="J1073" s="177">
        <v>16.600000000000023</v>
      </c>
      <c r="K1073" s="177">
        <v>120.89999999999998</v>
      </c>
      <c r="L1073" s="177">
        <v>54.400000000000034</v>
      </c>
      <c r="M1073" s="177">
        <v>92.110504999999989</v>
      </c>
      <c r="N1073" s="177">
        <f>N1070-N1072</f>
        <v>82</v>
      </c>
      <c r="O1073" s="177">
        <f>O1070-O1072</f>
        <v>77.700000000000045</v>
      </c>
      <c r="P1073" s="45">
        <f>P1069-P1072</f>
        <v>-43</v>
      </c>
      <c r="Q1073" s="23"/>
      <c r="R1073" s="45"/>
    </row>
    <row r="1074" spans="1:18" x14ac:dyDescent="0.25">
      <c r="A1074" s="140" t="s">
        <v>22</v>
      </c>
      <c r="B1074" s="152"/>
      <c r="C1074" s="141"/>
      <c r="D1074" s="152"/>
      <c r="E1074" s="142"/>
      <c r="F1074" s="142"/>
      <c r="G1074" s="142"/>
      <c r="H1074" s="142"/>
      <c r="I1074" s="142"/>
      <c r="J1074" s="142"/>
      <c r="K1074" s="142"/>
      <c r="L1074" s="142"/>
      <c r="M1074" s="179"/>
      <c r="N1074" s="179"/>
      <c r="O1074" s="179"/>
      <c r="P1074" s="36"/>
      <c r="Q1074" s="36"/>
      <c r="R1074" s="610"/>
    </row>
    <row r="1075" spans="1:18" x14ac:dyDescent="0.25">
      <c r="A1075" s="140" t="s">
        <v>179</v>
      </c>
      <c r="B1075" s="141"/>
      <c r="C1075" s="141"/>
      <c r="D1075" s="141"/>
      <c r="E1075" s="141"/>
      <c r="F1075" s="141"/>
      <c r="G1075" s="141"/>
      <c r="H1075" s="141"/>
      <c r="I1075" s="141"/>
      <c r="J1075" s="141"/>
      <c r="K1075" s="141"/>
      <c r="L1075" s="141"/>
      <c r="M1075" s="141"/>
      <c r="N1075" s="141"/>
      <c r="O1075" s="141"/>
      <c r="P1075" s="30"/>
      <c r="Q1075" s="31"/>
      <c r="R1075" s="613"/>
    </row>
    <row r="1076" spans="1:18" x14ac:dyDescent="0.25">
      <c r="A1076" s="140" t="s">
        <v>198</v>
      </c>
      <c r="B1076" s="141"/>
      <c r="C1076" s="141"/>
      <c r="D1076" s="141"/>
      <c r="E1076" s="141"/>
      <c r="F1076" s="141"/>
      <c r="G1076" s="141"/>
      <c r="H1076" s="141"/>
      <c r="I1076" s="141"/>
      <c r="J1076" s="141"/>
      <c r="K1076" s="141"/>
      <c r="L1076" s="141"/>
      <c r="M1076" s="141"/>
      <c r="N1076" s="141"/>
      <c r="O1076" s="141"/>
      <c r="P1076" s="30"/>
      <c r="Q1076" s="30"/>
      <c r="R1076" s="613"/>
    </row>
    <row r="1077" spans="1:18" x14ac:dyDescent="0.25">
      <c r="A1077" s="143" t="s">
        <v>199</v>
      </c>
      <c r="B1077" s="132"/>
      <c r="C1077" s="132"/>
      <c r="D1077" s="132"/>
      <c r="E1077" s="132"/>
      <c r="F1077" s="132"/>
      <c r="G1077" s="132"/>
      <c r="H1077" s="132"/>
      <c r="I1077" s="132"/>
      <c r="J1077" s="132"/>
      <c r="K1077" s="132"/>
      <c r="L1077" s="132"/>
      <c r="M1077" s="132"/>
      <c r="N1077" s="132"/>
      <c r="O1077" s="132"/>
      <c r="R1077" s="611"/>
    </row>
    <row r="1078" spans="1:18" x14ac:dyDescent="0.25">
      <c r="A1078" s="143" t="s">
        <v>239</v>
      </c>
      <c r="B1078" s="132"/>
      <c r="C1078" s="132"/>
      <c r="D1078" s="132"/>
      <c r="E1078" s="132"/>
      <c r="F1078" s="132"/>
      <c r="G1078" s="132"/>
      <c r="H1078" s="132"/>
      <c r="I1078" s="132"/>
      <c r="J1078" s="132"/>
      <c r="K1078" s="132"/>
      <c r="L1078" s="132"/>
      <c r="M1078" s="132"/>
      <c r="N1078" s="132"/>
      <c r="O1078" s="132"/>
      <c r="R1078" s="611"/>
    </row>
    <row r="1079" spans="1:18" x14ac:dyDescent="0.25">
      <c r="A1079" s="143" t="s">
        <v>240</v>
      </c>
      <c r="B1079" s="132"/>
      <c r="C1079" s="132"/>
      <c r="D1079" s="132"/>
      <c r="E1079" s="132"/>
      <c r="F1079" s="132"/>
      <c r="G1079" s="132"/>
      <c r="H1079" s="156"/>
      <c r="I1079" s="132"/>
      <c r="J1079" s="132"/>
      <c r="K1079" s="132"/>
      <c r="L1079" s="132"/>
      <c r="M1079" s="132"/>
      <c r="N1079" s="132"/>
      <c r="O1079" s="132"/>
      <c r="R1079" s="611"/>
    </row>
    <row r="1080" spans="1:18" x14ac:dyDescent="0.25">
      <c r="A1080" s="143" t="s">
        <v>280</v>
      </c>
      <c r="B1080" s="132"/>
      <c r="C1080" s="132"/>
      <c r="D1080" s="132"/>
      <c r="E1080" s="132"/>
      <c r="F1080" s="132"/>
      <c r="G1080" s="132"/>
      <c r="H1080" s="156"/>
      <c r="I1080" s="132"/>
      <c r="J1080" s="132"/>
      <c r="K1080" s="132"/>
      <c r="L1080" s="132"/>
      <c r="M1080" s="132"/>
      <c r="N1080" s="132"/>
      <c r="O1080" s="132"/>
      <c r="R1080" s="611"/>
    </row>
    <row r="1081" spans="1:18" x14ac:dyDescent="0.25">
      <c r="A1081" s="143" t="s">
        <v>281</v>
      </c>
      <c r="B1081" s="132"/>
      <c r="C1081" s="132"/>
      <c r="D1081" s="132"/>
      <c r="E1081" s="132"/>
      <c r="F1081" s="132"/>
      <c r="G1081" s="132"/>
      <c r="H1081" s="156"/>
      <c r="I1081" s="132"/>
      <c r="J1081" s="132"/>
      <c r="K1081" s="132"/>
      <c r="L1081" s="132"/>
      <c r="M1081" s="132"/>
      <c r="N1081" s="132"/>
      <c r="O1081" s="132"/>
      <c r="R1081" s="611"/>
    </row>
    <row r="1082" spans="1:18" x14ac:dyDescent="0.25">
      <c r="A1082" s="143" t="s">
        <v>282</v>
      </c>
      <c r="B1082" s="132"/>
      <c r="C1082" s="132"/>
      <c r="D1082" s="132"/>
      <c r="E1082" s="132"/>
      <c r="F1082" s="132"/>
      <c r="G1082" s="132"/>
      <c r="H1082" s="156"/>
      <c r="I1082" s="132"/>
      <c r="J1082" s="132"/>
      <c r="K1082" s="132"/>
      <c r="L1082" s="132"/>
      <c r="M1082" s="132"/>
      <c r="N1082" s="132"/>
      <c r="O1082" s="132"/>
      <c r="R1082" s="611"/>
    </row>
    <row r="1083" spans="1:18" x14ac:dyDescent="0.25">
      <c r="A1083" s="143" t="s">
        <v>471</v>
      </c>
      <c r="B1083" s="132"/>
      <c r="C1083" s="132"/>
      <c r="D1083" s="132"/>
      <c r="E1083" s="132"/>
      <c r="F1083" s="132"/>
      <c r="G1083" s="132"/>
      <c r="H1083" s="156"/>
      <c r="I1083" s="132"/>
      <c r="J1083" s="132"/>
      <c r="K1083" s="132"/>
      <c r="L1083" s="132"/>
      <c r="M1083" s="132"/>
      <c r="N1083" s="132"/>
      <c r="O1083" s="132"/>
      <c r="R1083" s="21"/>
    </row>
    <row r="1084" spans="1:18" x14ac:dyDescent="0.25">
      <c r="A1084" s="143" t="s">
        <v>661</v>
      </c>
      <c r="B1084" s="132"/>
      <c r="C1084" s="132"/>
      <c r="D1084" s="132"/>
      <c r="E1084" s="132"/>
      <c r="F1084" s="132"/>
      <c r="G1084" s="132"/>
      <c r="H1084" s="156"/>
      <c r="I1084" s="132"/>
      <c r="J1084" s="132"/>
      <c r="K1084" s="132"/>
      <c r="L1084" s="132"/>
      <c r="M1084" s="132"/>
      <c r="N1084" s="132"/>
      <c r="O1084" s="132"/>
      <c r="R1084" s="21"/>
    </row>
    <row r="1085" spans="1:18" x14ac:dyDescent="0.25">
      <c r="A1085" s="143" t="s">
        <v>853</v>
      </c>
      <c r="B1085" s="132"/>
      <c r="C1085" s="132"/>
      <c r="D1085" s="132"/>
      <c r="E1085" s="132"/>
      <c r="F1085" s="132"/>
      <c r="G1085" s="132"/>
      <c r="H1085" s="156"/>
      <c r="I1085" s="132"/>
      <c r="J1085" s="132"/>
      <c r="K1085" s="132"/>
      <c r="L1085" s="132"/>
      <c r="M1085" s="132"/>
      <c r="N1085" s="132"/>
      <c r="O1085" s="132"/>
      <c r="R1085" s="21"/>
    </row>
    <row r="1086" spans="1:18" x14ac:dyDescent="0.25">
      <c r="A1086" s="612" t="s">
        <v>937</v>
      </c>
      <c r="B1086" s="147"/>
      <c r="C1086" s="147"/>
      <c r="D1086" s="147"/>
      <c r="E1086" s="147"/>
      <c r="F1086" s="147"/>
      <c r="G1086" s="147"/>
      <c r="H1086" s="180"/>
      <c r="I1086" s="147"/>
      <c r="J1086" s="147"/>
      <c r="K1086" s="147"/>
      <c r="L1086" s="147"/>
      <c r="M1086" s="147"/>
      <c r="N1086" s="147"/>
      <c r="O1086" s="147"/>
      <c r="P1086" s="33"/>
      <c r="Q1086" s="33"/>
      <c r="R1086" s="34"/>
    </row>
    <row r="1087" spans="1:18" x14ac:dyDescent="0.25">
      <c r="A1087" s="131"/>
      <c r="C1087" s="133"/>
    </row>
    <row r="1088" spans="1:18" x14ac:dyDescent="0.25">
      <c r="A1088" s="134" t="s">
        <v>14</v>
      </c>
      <c r="B1088" s="135" t="s">
        <v>79</v>
      </c>
      <c r="C1088" s="170" t="s">
        <v>15</v>
      </c>
      <c r="D1088" s="132"/>
      <c r="E1088" s="132"/>
      <c r="F1088" s="132"/>
      <c r="G1088" s="132"/>
      <c r="H1088" s="132"/>
      <c r="I1088" s="132"/>
      <c r="J1088" s="132"/>
      <c r="K1088" s="132"/>
      <c r="L1088" s="132"/>
      <c r="M1088" s="132"/>
      <c r="N1088" s="132"/>
    </row>
    <row r="1089" spans="1:17" x14ac:dyDescent="0.25">
      <c r="A1089" s="138" t="s">
        <v>16</v>
      </c>
      <c r="B1089" s="150">
        <v>2008</v>
      </c>
      <c r="C1089" s="150">
        <v>2009</v>
      </c>
      <c r="D1089" s="150">
        <v>2010</v>
      </c>
      <c r="E1089" s="150">
        <v>2011</v>
      </c>
      <c r="F1089" s="150">
        <v>2012</v>
      </c>
      <c r="G1089" s="150">
        <v>2013</v>
      </c>
      <c r="H1089" s="150">
        <v>2014</v>
      </c>
      <c r="I1089" s="150">
        <v>2015</v>
      </c>
      <c r="J1089" s="150">
        <v>2016</v>
      </c>
      <c r="K1089" s="150">
        <v>2017</v>
      </c>
      <c r="L1089" s="150">
        <v>2018</v>
      </c>
      <c r="M1089" s="150">
        <v>2019</v>
      </c>
      <c r="N1089" s="150">
        <v>2020</v>
      </c>
      <c r="O1089" s="150">
        <v>2021</v>
      </c>
      <c r="P1089" s="51">
        <v>2022</v>
      </c>
      <c r="Q1089" s="51">
        <v>2023</v>
      </c>
    </row>
    <row r="1090" spans="1:17" x14ac:dyDescent="0.25">
      <c r="A1090" s="138" t="s">
        <v>17</v>
      </c>
      <c r="B1090" s="151">
        <v>37</v>
      </c>
      <c r="C1090" s="151">
        <v>37</v>
      </c>
      <c r="D1090" s="151">
        <v>37</v>
      </c>
      <c r="E1090" s="151">
        <v>37</v>
      </c>
      <c r="F1090" s="151">
        <v>33.6</v>
      </c>
      <c r="G1090" s="151">
        <v>35</v>
      </c>
      <c r="H1090" s="151">
        <v>35</v>
      </c>
      <c r="I1090" s="151">
        <v>35</v>
      </c>
      <c r="J1090" s="151">
        <v>35</v>
      </c>
      <c r="K1090" s="151">
        <v>35</v>
      </c>
      <c r="L1090" s="151">
        <v>35</v>
      </c>
      <c r="M1090" s="151">
        <v>35</v>
      </c>
      <c r="N1090" s="151">
        <v>35</v>
      </c>
      <c r="O1090" s="151">
        <v>35</v>
      </c>
      <c r="P1090" s="23">
        <v>35</v>
      </c>
      <c r="Q1090" s="23">
        <v>35</v>
      </c>
    </row>
    <row r="1091" spans="1:17" x14ac:dyDescent="0.25">
      <c r="A1091" s="138" t="s">
        <v>18</v>
      </c>
      <c r="B1091" s="151">
        <v>37</v>
      </c>
      <c r="C1091" s="151">
        <v>37</v>
      </c>
      <c r="D1091" s="151">
        <v>37</v>
      </c>
      <c r="E1091" s="151">
        <v>37</v>
      </c>
      <c r="F1091" s="151">
        <v>33.6</v>
      </c>
      <c r="G1091" s="151">
        <v>35</v>
      </c>
      <c r="H1091" s="151">
        <v>35</v>
      </c>
      <c r="I1091" s="151">
        <v>42</v>
      </c>
      <c r="J1091" s="151">
        <v>42</v>
      </c>
      <c r="K1091" s="151">
        <v>42</v>
      </c>
      <c r="L1091" s="151">
        <v>42</v>
      </c>
      <c r="M1091" s="151">
        <v>42</v>
      </c>
      <c r="N1091" s="151">
        <v>42</v>
      </c>
      <c r="O1091" s="151">
        <v>42</v>
      </c>
      <c r="P1091" s="23"/>
      <c r="Q1091" s="23"/>
    </row>
    <row r="1092" spans="1:17" x14ac:dyDescent="0.25">
      <c r="A1092" s="138" t="s">
        <v>19</v>
      </c>
      <c r="B1092" s="151"/>
      <c r="C1092" s="151"/>
      <c r="D1092" s="151"/>
      <c r="E1092" s="151"/>
      <c r="F1092" s="151"/>
      <c r="G1092" s="151"/>
      <c r="H1092" s="151"/>
      <c r="I1092" s="151"/>
      <c r="J1092" s="151"/>
      <c r="K1092" s="151"/>
      <c r="L1092" s="151"/>
      <c r="M1092" s="151"/>
      <c r="N1092" s="151"/>
      <c r="O1092" s="151"/>
      <c r="P1092" s="23"/>
      <c r="Q1092" s="23"/>
    </row>
    <row r="1093" spans="1:17" x14ac:dyDescent="0.25">
      <c r="A1093" s="138" t="s">
        <v>20</v>
      </c>
      <c r="B1093" s="151">
        <v>28.84</v>
      </c>
      <c r="C1093" s="151">
        <v>28.802399999999999</v>
      </c>
      <c r="D1093" s="151">
        <v>40.781999999999996</v>
      </c>
      <c r="E1093" s="151">
        <v>27.9</v>
      </c>
      <c r="F1093" s="151">
        <v>49.6</v>
      </c>
      <c r="G1093" s="151">
        <v>16.899999999999999</v>
      </c>
      <c r="H1093" s="151">
        <v>5.7</v>
      </c>
      <c r="I1093" s="151">
        <v>9.9</v>
      </c>
      <c r="J1093" s="151">
        <v>12.6</v>
      </c>
      <c r="K1093" s="151">
        <v>9.1999999999999993</v>
      </c>
      <c r="L1093" s="151">
        <v>14.4</v>
      </c>
      <c r="M1093" s="151">
        <v>10.852466</v>
      </c>
      <c r="N1093" s="151">
        <v>7.9</v>
      </c>
      <c r="O1093" s="151">
        <v>6.1</v>
      </c>
      <c r="P1093" s="45">
        <v>6.4</v>
      </c>
      <c r="Q1093" s="23"/>
    </row>
    <row r="1094" spans="1:17" x14ac:dyDescent="0.25">
      <c r="A1094" s="138" t="s">
        <v>21</v>
      </c>
      <c r="B1094" s="151">
        <v>8.16</v>
      </c>
      <c r="C1094" s="151">
        <v>8.1976000000000013</v>
      </c>
      <c r="D1094" s="151">
        <v>3.782</v>
      </c>
      <c r="E1094" s="151">
        <v>9.1000000000000014</v>
      </c>
      <c r="F1094" s="151">
        <v>16</v>
      </c>
      <c r="G1094" s="151">
        <v>18.100000000000001</v>
      </c>
      <c r="H1094" s="151">
        <v>29.3</v>
      </c>
      <c r="I1094" s="151">
        <v>32.1</v>
      </c>
      <c r="J1094" s="151">
        <v>29.4</v>
      </c>
      <c r="K1094" s="151">
        <v>32.799999999999997</v>
      </c>
      <c r="L1094" s="151">
        <v>27.6</v>
      </c>
      <c r="M1094" s="151">
        <v>31.147534</v>
      </c>
      <c r="N1094" s="151">
        <f>N1091-N1093</f>
        <v>34.1</v>
      </c>
      <c r="O1094" s="151">
        <f>O1091-O1093</f>
        <v>35.9</v>
      </c>
      <c r="P1094" s="45">
        <f>P1090-P1093</f>
        <v>28.6</v>
      </c>
      <c r="Q1094" s="23"/>
    </row>
    <row r="1095" spans="1:17" x14ac:dyDescent="0.25">
      <c r="A1095" s="140" t="s">
        <v>22</v>
      </c>
      <c r="B1095" s="166"/>
      <c r="C1095" s="181"/>
      <c r="D1095" s="166"/>
      <c r="E1095" s="179"/>
      <c r="F1095" s="166"/>
      <c r="G1095" s="166"/>
      <c r="H1095" s="179"/>
      <c r="I1095" s="179"/>
      <c r="J1095" s="179"/>
      <c r="K1095" s="179"/>
      <c r="L1095" s="179"/>
      <c r="M1095" s="179"/>
      <c r="N1095" s="179"/>
      <c r="O1095" s="179"/>
      <c r="P1095" s="36"/>
      <c r="Q1095" s="36"/>
    </row>
    <row r="1096" spans="1:17" x14ac:dyDescent="0.25">
      <c r="A1096" s="138" t="s">
        <v>179</v>
      </c>
      <c r="B1096" s="154"/>
      <c r="C1096" s="154"/>
      <c r="D1096" s="154"/>
      <c r="E1096" s="154"/>
      <c r="F1096" s="154"/>
      <c r="G1096" s="154"/>
      <c r="H1096" s="154"/>
      <c r="I1096" s="154"/>
      <c r="J1096" s="154"/>
      <c r="K1096" s="154"/>
      <c r="L1096" s="154"/>
      <c r="M1096" s="154"/>
      <c r="N1096" s="154"/>
      <c r="O1096" s="154"/>
      <c r="P1096" s="58"/>
      <c r="Q1096" s="56"/>
    </row>
    <row r="1097" spans="1:17" x14ac:dyDescent="0.25">
      <c r="A1097" s="143" t="s">
        <v>200</v>
      </c>
      <c r="B1097" s="132"/>
      <c r="C1097" s="132"/>
      <c r="D1097" s="132"/>
      <c r="E1097" s="132"/>
      <c r="F1097" s="132"/>
      <c r="G1097" s="132"/>
      <c r="H1097" s="132"/>
      <c r="I1097" s="132"/>
      <c r="J1097" s="132"/>
      <c r="K1097" s="132"/>
      <c r="L1097" s="132"/>
      <c r="M1097" s="132"/>
      <c r="N1097" s="132"/>
      <c r="O1097" s="132"/>
      <c r="Q1097" s="21"/>
    </row>
    <row r="1098" spans="1:17" x14ac:dyDescent="0.25">
      <c r="A1098" s="143" t="s">
        <v>201</v>
      </c>
      <c r="B1098" s="132"/>
      <c r="C1098" s="132"/>
      <c r="D1098" s="132"/>
      <c r="E1098" s="132"/>
      <c r="F1098" s="132"/>
      <c r="G1098" s="132"/>
      <c r="H1098" s="132"/>
      <c r="I1098" s="132"/>
      <c r="J1098" s="132"/>
      <c r="K1098" s="132"/>
      <c r="L1098" s="132"/>
      <c r="M1098" s="132"/>
      <c r="N1098" s="132"/>
      <c r="O1098" s="132"/>
      <c r="Q1098" s="21"/>
    </row>
    <row r="1099" spans="1:17" x14ac:dyDescent="0.25">
      <c r="A1099" s="143" t="s">
        <v>212</v>
      </c>
      <c r="B1099" s="132"/>
      <c r="C1099" s="132"/>
      <c r="D1099" s="132"/>
      <c r="E1099" s="132"/>
      <c r="F1099" s="132"/>
      <c r="G1099" s="132"/>
      <c r="H1099" s="132"/>
      <c r="I1099" s="132"/>
      <c r="J1099" s="132"/>
      <c r="K1099" s="132"/>
      <c r="L1099" s="132"/>
      <c r="M1099" s="132"/>
      <c r="N1099" s="132"/>
      <c r="O1099" s="132"/>
      <c r="Q1099" s="21"/>
    </row>
    <row r="1100" spans="1:17" x14ac:dyDescent="0.25">
      <c r="A1100" s="143" t="s">
        <v>213</v>
      </c>
      <c r="B1100" s="132"/>
      <c r="C1100" s="132"/>
      <c r="D1100" s="132"/>
      <c r="E1100" s="132"/>
      <c r="F1100" s="132"/>
      <c r="G1100" s="132"/>
      <c r="H1100" s="132"/>
      <c r="I1100" s="132"/>
      <c r="J1100" s="132"/>
      <c r="K1100" s="132"/>
      <c r="L1100" s="132"/>
      <c r="M1100" s="132"/>
      <c r="N1100" s="132"/>
      <c r="O1100" s="132"/>
      <c r="Q1100" s="21"/>
    </row>
    <row r="1101" spans="1:17" x14ac:dyDescent="0.25">
      <c r="A1101" s="143" t="s">
        <v>214</v>
      </c>
      <c r="B1101" s="132"/>
      <c r="C1101" s="155"/>
      <c r="D1101" s="156"/>
      <c r="E1101" s="157"/>
      <c r="F1101" s="132"/>
      <c r="G1101" s="132"/>
      <c r="H1101" s="156"/>
      <c r="I1101" s="132"/>
      <c r="J1101" s="132"/>
      <c r="K1101" s="132"/>
      <c r="L1101" s="132"/>
      <c r="M1101" s="132"/>
      <c r="N1101" s="132"/>
      <c r="O1101" s="132"/>
      <c r="Q1101" s="21"/>
    </row>
    <row r="1102" spans="1:17" x14ac:dyDescent="0.25">
      <c r="A1102" s="143" t="s">
        <v>241</v>
      </c>
      <c r="B1102" s="132"/>
      <c r="C1102" s="132"/>
      <c r="D1102" s="132"/>
      <c r="E1102" s="132"/>
      <c r="F1102" s="132"/>
      <c r="G1102" s="132"/>
      <c r="H1102" s="156"/>
      <c r="I1102" s="132"/>
      <c r="J1102" s="132"/>
      <c r="K1102" s="132"/>
      <c r="L1102" s="132"/>
      <c r="M1102" s="132"/>
      <c r="N1102" s="132"/>
      <c r="O1102" s="132"/>
      <c r="Q1102" s="21"/>
    </row>
    <row r="1103" spans="1:17" x14ac:dyDescent="0.25">
      <c r="A1103" s="143" t="s">
        <v>283</v>
      </c>
      <c r="B1103" s="132"/>
      <c r="C1103" s="132"/>
      <c r="D1103" s="132"/>
      <c r="E1103" s="132"/>
      <c r="F1103" s="132"/>
      <c r="G1103" s="132"/>
      <c r="H1103" s="156"/>
      <c r="I1103" s="132"/>
      <c r="J1103" s="132"/>
      <c r="K1103" s="132"/>
      <c r="L1103" s="132"/>
      <c r="M1103" s="132"/>
      <c r="N1103" s="132"/>
      <c r="O1103" s="132"/>
      <c r="Q1103" s="21"/>
    </row>
    <row r="1104" spans="1:17" x14ac:dyDescent="0.25">
      <c r="A1104" s="143" t="s">
        <v>284</v>
      </c>
      <c r="B1104" s="132"/>
      <c r="C1104" s="132"/>
      <c r="D1104" s="132"/>
      <c r="E1104" s="132"/>
      <c r="F1104" s="132"/>
      <c r="G1104" s="132"/>
      <c r="H1104" s="156"/>
      <c r="I1104" s="132"/>
      <c r="J1104" s="132"/>
      <c r="K1104" s="132"/>
      <c r="L1104" s="132"/>
      <c r="M1104" s="132"/>
      <c r="N1104" s="132"/>
      <c r="O1104" s="132"/>
      <c r="Q1104" s="21"/>
    </row>
    <row r="1105" spans="1:17" x14ac:dyDescent="0.25">
      <c r="A1105" s="143" t="s">
        <v>285</v>
      </c>
      <c r="B1105" s="132"/>
      <c r="C1105" s="132"/>
      <c r="D1105" s="132"/>
      <c r="E1105" s="132"/>
      <c r="F1105" s="132"/>
      <c r="G1105" s="132"/>
      <c r="H1105" s="156"/>
      <c r="I1105" s="132"/>
      <c r="J1105" s="132"/>
      <c r="K1105" s="132"/>
      <c r="L1105" s="132"/>
      <c r="M1105" s="132"/>
      <c r="N1105" s="132"/>
      <c r="O1105" s="132"/>
      <c r="Q1105" s="21"/>
    </row>
    <row r="1106" spans="1:17" x14ac:dyDescent="0.25">
      <c r="A1106" s="143" t="s">
        <v>662</v>
      </c>
      <c r="B1106" s="132"/>
      <c r="C1106" s="132"/>
      <c r="D1106" s="132"/>
      <c r="E1106" s="132"/>
      <c r="F1106" s="132"/>
      <c r="G1106" s="132"/>
      <c r="H1106" s="156"/>
      <c r="I1106" s="132"/>
      <c r="J1106" s="132"/>
      <c r="K1106" s="132"/>
      <c r="L1106" s="132"/>
      <c r="M1106" s="132"/>
      <c r="N1106" s="132"/>
      <c r="O1106" s="132"/>
      <c r="Q1106" s="21"/>
    </row>
    <row r="1107" spans="1:17" x14ac:dyDescent="0.25">
      <c r="A1107" s="136" t="s">
        <v>854</v>
      </c>
      <c r="B1107" s="147"/>
      <c r="C1107" s="147"/>
      <c r="D1107" s="147"/>
      <c r="E1107" s="147"/>
      <c r="F1107" s="147"/>
      <c r="G1107" s="147"/>
      <c r="H1107" s="147"/>
      <c r="I1107" s="147"/>
      <c r="J1107" s="147"/>
      <c r="K1107" s="147"/>
      <c r="L1107" s="147"/>
      <c r="M1107" s="147"/>
      <c r="N1107" s="147"/>
      <c r="O1107" s="147"/>
      <c r="P1107" s="33"/>
      <c r="Q1107" s="34"/>
    </row>
    <row r="1108" spans="1:17" x14ac:dyDescent="0.25">
      <c r="A1108" s="131"/>
      <c r="C1108" s="133"/>
    </row>
    <row r="1109" spans="1:17" s="182" customFormat="1" x14ac:dyDescent="0.25">
      <c r="A1109" s="134" t="s">
        <v>14</v>
      </c>
      <c r="B1109" s="135" t="s">
        <v>579</v>
      </c>
      <c r="C1109" s="135" t="s">
        <v>15</v>
      </c>
      <c r="D1109" s="132"/>
    </row>
    <row r="1110" spans="1:17" s="182" customFormat="1" x14ac:dyDescent="0.25">
      <c r="A1110" s="136" t="s">
        <v>16</v>
      </c>
      <c r="B1110" s="149">
        <v>2020</v>
      </c>
      <c r="C1110" s="150">
        <v>2021</v>
      </c>
      <c r="D1110" s="150">
        <v>2022</v>
      </c>
      <c r="E1110" s="150">
        <v>2023</v>
      </c>
    </row>
    <row r="1111" spans="1:17" s="182" customFormat="1" x14ac:dyDescent="0.25">
      <c r="A1111" s="138" t="s">
        <v>17</v>
      </c>
      <c r="B1111" s="151">
        <v>4010</v>
      </c>
      <c r="C1111" s="151">
        <v>4010</v>
      </c>
      <c r="D1111" s="151">
        <v>4010</v>
      </c>
      <c r="E1111" s="151">
        <v>4010</v>
      </c>
    </row>
    <row r="1112" spans="1:17" s="182" customFormat="1" x14ac:dyDescent="0.25">
      <c r="A1112" s="138" t="s">
        <v>18</v>
      </c>
      <c r="B1112" s="151">
        <v>4010</v>
      </c>
      <c r="C1112" s="151"/>
      <c r="D1112" s="151"/>
      <c r="E1112" s="151"/>
    </row>
    <row r="1113" spans="1:17" s="182" customFormat="1" x14ac:dyDescent="0.25">
      <c r="A1113" s="138" t="s">
        <v>19</v>
      </c>
      <c r="B1113" s="151"/>
      <c r="C1113" s="151"/>
      <c r="D1113" s="151"/>
      <c r="E1113" s="151"/>
    </row>
    <row r="1114" spans="1:17" s="182" customFormat="1" x14ac:dyDescent="0.25">
      <c r="A1114" s="138" t="s">
        <v>20</v>
      </c>
      <c r="B1114" s="151">
        <v>1896.6</v>
      </c>
      <c r="C1114" s="151">
        <v>1798</v>
      </c>
      <c r="D1114" s="202">
        <v>2237.3000000000002</v>
      </c>
      <c r="E1114" s="151"/>
    </row>
    <row r="1115" spans="1:17" s="182" customFormat="1" x14ac:dyDescent="0.25">
      <c r="A1115" s="138" t="s">
        <v>21</v>
      </c>
      <c r="B1115" s="151">
        <v>2113.4</v>
      </c>
      <c r="C1115" s="151">
        <f>C1111-C1114</f>
        <v>2212</v>
      </c>
      <c r="D1115" s="202">
        <f>D1111-D1114</f>
        <v>1772.6999999999998</v>
      </c>
      <c r="E1115" s="151"/>
    </row>
    <row r="1116" spans="1:17" s="182" customFormat="1" x14ac:dyDescent="0.25">
      <c r="A1116" s="140" t="s">
        <v>22</v>
      </c>
      <c r="B1116" s="166"/>
      <c r="C1116" s="166"/>
      <c r="D1116" s="166"/>
      <c r="E1116" s="166"/>
    </row>
    <row r="1117" spans="1:17" s="182" customFormat="1" x14ac:dyDescent="0.25">
      <c r="A1117" s="140" t="s">
        <v>23</v>
      </c>
      <c r="B1117" s="141"/>
      <c r="C1117" s="141"/>
      <c r="D1117" s="142"/>
      <c r="E1117" s="142"/>
    </row>
    <row r="1118" spans="1:17" s="182" customFormat="1" x14ac:dyDescent="0.25">
      <c r="A1118" s="140" t="s">
        <v>855</v>
      </c>
      <c r="B1118" s="141"/>
      <c r="C1118" s="141"/>
      <c r="D1118" s="141"/>
      <c r="E1118" s="142"/>
    </row>
    <row r="1119" spans="1:17" s="182" customFormat="1" x14ac:dyDescent="0.25">
      <c r="A1119" s="143" t="s">
        <v>663</v>
      </c>
      <c r="B1119" s="132"/>
      <c r="C1119" s="132"/>
      <c r="D1119" s="132"/>
      <c r="E1119" s="144"/>
    </row>
    <row r="1120" spans="1:17" s="182" customFormat="1" x14ac:dyDescent="0.25">
      <c r="A1120" s="143" t="s">
        <v>664</v>
      </c>
      <c r="B1120" s="132"/>
      <c r="C1120" s="132"/>
      <c r="D1120" s="132"/>
      <c r="E1120" s="144"/>
    </row>
    <row r="1121" spans="1:12" s="182" customFormat="1" x14ac:dyDescent="0.25">
      <c r="A1121" s="143" t="s">
        <v>856</v>
      </c>
      <c r="B1121" s="132"/>
      <c r="C1121" s="132"/>
      <c r="D1121" s="132"/>
      <c r="E1121" s="144"/>
    </row>
    <row r="1122" spans="1:12" x14ac:dyDescent="0.25">
      <c r="A1122" s="504" t="s">
        <v>857</v>
      </c>
      <c r="B1122" s="33"/>
      <c r="C1122" s="130"/>
      <c r="D1122" s="33"/>
      <c r="E1122" s="34"/>
    </row>
    <row r="1123" spans="1:12" x14ac:dyDescent="0.25">
      <c r="A1123" s="131"/>
      <c r="C1123" s="133"/>
    </row>
    <row r="1124" spans="1:12" x14ac:dyDescent="0.25">
      <c r="A1124" s="131"/>
      <c r="C1124" s="133"/>
    </row>
    <row r="1125" spans="1:12" x14ac:dyDescent="0.25">
      <c r="A1125" s="566" t="s">
        <v>692</v>
      </c>
      <c r="B1125" s="549" t="s">
        <v>691</v>
      </c>
      <c r="C1125" s="7"/>
      <c r="D1125" s="7"/>
      <c r="E1125" s="7"/>
      <c r="F1125" s="7"/>
      <c r="G1125" s="7"/>
    </row>
    <row r="1126" spans="1:12" x14ac:dyDescent="0.25">
      <c r="A1126" s="560" t="s">
        <v>14</v>
      </c>
      <c r="B1126" s="565" t="s">
        <v>637</v>
      </c>
      <c r="C1126" s="13" t="s">
        <v>15</v>
      </c>
      <c r="D1126" s="7"/>
      <c r="E1126" s="7"/>
      <c r="F1126" s="7"/>
      <c r="G1126" s="7"/>
    </row>
    <row r="1127" spans="1:12" x14ac:dyDescent="0.25">
      <c r="A1127" s="14" t="s">
        <v>16</v>
      </c>
      <c r="B1127" s="103">
        <v>2014</v>
      </c>
      <c r="C1127" s="77">
        <v>2015</v>
      </c>
      <c r="D1127" s="77">
        <v>2016</v>
      </c>
      <c r="E1127" s="77">
        <v>2017</v>
      </c>
      <c r="F1127" s="78">
        <v>2018</v>
      </c>
      <c r="G1127" s="78">
        <v>2019</v>
      </c>
      <c r="H1127" s="51">
        <v>2020</v>
      </c>
      <c r="I1127" s="51">
        <v>2021</v>
      </c>
      <c r="J1127" s="51">
        <v>2022</v>
      </c>
      <c r="K1127" s="51">
        <v>2023</v>
      </c>
    </row>
    <row r="1128" spans="1:12" x14ac:dyDescent="0.25">
      <c r="A1128" s="8" t="s">
        <v>17</v>
      </c>
      <c r="B1128" s="29">
        <v>200</v>
      </c>
      <c r="C1128" s="29">
        <v>200</v>
      </c>
      <c r="D1128" s="29">
        <v>200</v>
      </c>
      <c r="E1128" s="29">
        <v>200</v>
      </c>
      <c r="F1128" s="42">
        <v>200</v>
      </c>
      <c r="G1128" s="42">
        <v>215</v>
      </c>
      <c r="H1128" s="42">
        <v>215</v>
      </c>
      <c r="I1128" s="42">
        <v>242</v>
      </c>
      <c r="J1128" s="42">
        <v>242</v>
      </c>
      <c r="K1128" s="42">
        <v>242</v>
      </c>
    </row>
    <row r="1129" spans="1:12" x14ac:dyDescent="0.25">
      <c r="A1129" s="8" t="s">
        <v>18</v>
      </c>
      <c r="B1129" s="29">
        <v>250</v>
      </c>
      <c r="C1129" s="29">
        <v>215.6</v>
      </c>
      <c r="D1129" s="29">
        <v>250</v>
      </c>
      <c r="E1129" s="29">
        <v>250</v>
      </c>
      <c r="F1129" s="42">
        <v>250</v>
      </c>
      <c r="G1129" s="42">
        <v>265</v>
      </c>
      <c r="H1129" s="42">
        <v>265</v>
      </c>
      <c r="I1129" s="42">
        <f>I1128+0.25*G1128</f>
        <v>295.75</v>
      </c>
      <c r="J1129" s="42">
        <f>J1128+0.25*H1128</f>
        <v>295.75</v>
      </c>
      <c r="K1129" s="42">
        <f>K1128+I1128*0.25</f>
        <v>302.5</v>
      </c>
    </row>
    <row r="1130" spans="1:12" x14ac:dyDescent="0.25">
      <c r="A1130" s="8" t="s">
        <v>19</v>
      </c>
      <c r="B1130" s="11" t="s">
        <v>132</v>
      </c>
      <c r="C1130" s="12" t="s">
        <v>133</v>
      </c>
      <c r="D1130" s="12" t="s">
        <v>134</v>
      </c>
      <c r="E1130" s="12" t="s">
        <v>134</v>
      </c>
      <c r="F1130" s="12" t="s">
        <v>134</v>
      </c>
      <c r="G1130" s="12" t="s">
        <v>504</v>
      </c>
      <c r="H1130" s="12" t="s">
        <v>504</v>
      </c>
      <c r="I1130" s="12" t="s">
        <v>505</v>
      </c>
      <c r="J1130" s="12" t="s">
        <v>505</v>
      </c>
      <c r="K1130" s="12" t="s">
        <v>863</v>
      </c>
    </row>
    <row r="1131" spans="1:12" x14ac:dyDescent="0.25">
      <c r="A1131" s="8" t="s">
        <v>20</v>
      </c>
      <c r="B1131" s="29">
        <v>63.87</v>
      </c>
      <c r="C1131" s="29">
        <v>4.54</v>
      </c>
      <c r="D1131" s="29">
        <v>13.18</v>
      </c>
      <c r="E1131" s="29">
        <v>7.9</v>
      </c>
      <c r="F1131" s="42">
        <v>27.27</v>
      </c>
      <c r="G1131" s="42">
        <v>48.48</v>
      </c>
      <c r="H1131" s="23">
        <v>115.9</v>
      </c>
      <c r="I1131" s="23">
        <v>114.61</v>
      </c>
      <c r="J1131" s="23">
        <v>124.28</v>
      </c>
      <c r="K1131" s="23"/>
    </row>
    <row r="1132" spans="1:12" x14ac:dyDescent="0.25">
      <c r="A1132" s="8" t="s">
        <v>21</v>
      </c>
      <c r="B1132" s="29">
        <v>186.13</v>
      </c>
      <c r="C1132" s="29">
        <v>211.06</v>
      </c>
      <c r="D1132" s="29">
        <v>236.82</v>
      </c>
      <c r="E1132" s="29">
        <v>242.1</v>
      </c>
      <c r="F1132" s="42">
        <v>222.73</v>
      </c>
      <c r="G1132" s="42">
        <f>G1129-G1131</f>
        <v>216.52</v>
      </c>
      <c r="H1132" s="23">
        <f>H1129-H1131</f>
        <v>149.1</v>
      </c>
      <c r="I1132" s="23">
        <f>I1129-I1131</f>
        <v>181.14</v>
      </c>
      <c r="J1132" s="23">
        <f>J1129-J1131</f>
        <v>171.47</v>
      </c>
      <c r="K1132" s="23"/>
    </row>
    <row r="1133" spans="1:12" x14ac:dyDescent="0.25">
      <c r="A1133" s="37" t="s">
        <v>22</v>
      </c>
      <c r="B1133" s="63">
        <v>2016</v>
      </c>
      <c r="C1133" s="63">
        <v>2017</v>
      </c>
      <c r="D1133" s="63">
        <v>2018</v>
      </c>
      <c r="E1133" s="63">
        <v>2019</v>
      </c>
      <c r="F1133" s="65">
        <v>2020</v>
      </c>
      <c r="G1133" s="65">
        <v>2021</v>
      </c>
      <c r="H1133" s="57">
        <v>2022</v>
      </c>
      <c r="I1133" s="57">
        <v>2023</v>
      </c>
      <c r="J1133" s="57">
        <v>2024</v>
      </c>
      <c r="K1133" s="57">
        <v>2025</v>
      </c>
    </row>
    <row r="1134" spans="1:12" x14ac:dyDescent="0.25">
      <c r="A1134" s="111" t="s">
        <v>135</v>
      </c>
      <c r="B1134" s="112"/>
      <c r="C1134" s="112"/>
      <c r="D1134" s="112"/>
      <c r="E1134" s="112"/>
      <c r="F1134" s="112"/>
      <c r="G1134" s="112"/>
      <c r="H1134" s="112"/>
      <c r="I1134" s="112"/>
      <c r="J1134" s="58"/>
      <c r="K1134" s="56"/>
    </row>
    <row r="1135" spans="1:12" x14ac:dyDescent="0.25">
      <c r="A1135" s="131"/>
      <c r="C1135" s="133"/>
      <c r="K1135" s="221"/>
      <c r="L1135" s="221"/>
    </row>
    <row r="1136" spans="1:12" x14ac:dyDescent="0.25">
      <c r="A1136" s="16" t="s">
        <v>14</v>
      </c>
      <c r="B1136" s="13" t="s">
        <v>651</v>
      </c>
      <c r="C1136" s="13" t="s">
        <v>15</v>
      </c>
      <c r="D1136" s="7"/>
      <c r="E1136" s="7"/>
      <c r="F1136" s="7"/>
      <c r="G1136" s="7"/>
      <c r="K1136" s="221"/>
      <c r="L1136" s="221"/>
    </row>
    <row r="1137" spans="1:12" x14ac:dyDescent="0.25">
      <c r="A1137" s="14" t="s">
        <v>16</v>
      </c>
      <c r="B1137" s="103">
        <v>2014</v>
      </c>
      <c r="C1137" s="77">
        <v>2015</v>
      </c>
      <c r="D1137" s="77">
        <v>2016</v>
      </c>
      <c r="E1137" s="77">
        <v>2017</v>
      </c>
      <c r="F1137" s="78">
        <v>2018</v>
      </c>
      <c r="G1137" s="78">
        <v>2019</v>
      </c>
      <c r="H1137" s="51">
        <v>2020</v>
      </c>
      <c r="I1137" s="51">
        <v>2021</v>
      </c>
      <c r="J1137" s="51">
        <v>2022</v>
      </c>
      <c r="K1137" s="212">
        <v>2023</v>
      </c>
      <c r="L1137" s="198">
        <v>2024</v>
      </c>
    </row>
    <row r="1138" spans="1:12" x14ac:dyDescent="0.25">
      <c r="A1138" s="8" t="s">
        <v>17</v>
      </c>
      <c r="B1138" s="29">
        <v>140</v>
      </c>
      <c r="C1138" s="29">
        <v>140</v>
      </c>
      <c r="D1138" s="29">
        <v>140</v>
      </c>
      <c r="E1138" s="29">
        <v>140</v>
      </c>
      <c r="F1138" s="42">
        <v>140</v>
      </c>
      <c r="G1138" s="42">
        <v>140</v>
      </c>
      <c r="H1138" s="42">
        <v>140</v>
      </c>
      <c r="I1138" s="42">
        <v>140</v>
      </c>
      <c r="J1138" s="42">
        <v>140</v>
      </c>
      <c r="K1138" s="429">
        <v>170</v>
      </c>
      <c r="L1138" s="694">
        <v>170</v>
      </c>
    </row>
    <row r="1139" spans="1:12" x14ac:dyDescent="0.25">
      <c r="A1139" s="8" t="s">
        <v>18</v>
      </c>
      <c r="B1139" s="29">
        <v>140</v>
      </c>
      <c r="C1139" s="29">
        <v>177.5</v>
      </c>
      <c r="D1139" s="29">
        <v>175</v>
      </c>
      <c r="E1139" s="29">
        <v>175</v>
      </c>
      <c r="F1139" s="42">
        <v>175</v>
      </c>
      <c r="G1139" s="42">
        <v>175</v>
      </c>
      <c r="H1139" s="42">
        <v>148.36000000000001</v>
      </c>
      <c r="I1139" s="42">
        <v>144.99</v>
      </c>
      <c r="J1139" s="42">
        <f>J1138+H1142</f>
        <v>156.91000000000003</v>
      </c>
      <c r="K1139" s="429">
        <f>K1138+I1142</f>
        <v>183.97</v>
      </c>
      <c r="L1139" s="694">
        <f>L1138+2.08</f>
        <v>172.08</v>
      </c>
    </row>
    <row r="1140" spans="1:12" x14ac:dyDescent="0.25">
      <c r="A1140" s="8" t="s">
        <v>19</v>
      </c>
      <c r="B1140" s="12" t="s">
        <v>136</v>
      </c>
      <c r="C1140" s="12" t="s">
        <v>137</v>
      </c>
      <c r="D1140" s="12" t="s">
        <v>138</v>
      </c>
      <c r="E1140" s="12" t="s">
        <v>138</v>
      </c>
      <c r="F1140" s="12" t="s">
        <v>138</v>
      </c>
      <c r="G1140" s="12" t="s">
        <v>138</v>
      </c>
      <c r="H1140" s="12" t="s">
        <v>286</v>
      </c>
      <c r="I1140" s="12" t="s">
        <v>506</v>
      </c>
      <c r="J1140" s="12" t="s">
        <v>507</v>
      </c>
      <c r="K1140" s="329" t="s">
        <v>756</v>
      </c>
      <c r="L1140" s="695" t="s">
        <v>987</v>
      </c>
    </row>
    <row r="1141" spans="1:12" x14ac:dyDescent="0.25">
      <c r="A1141" s="8" t="s">
        <v>20</v>
      </c>
      <c r="B1141" s="29">
        <v>3.42</v>
      </c>
      <c r="C1141" s="29">
        <v>3.47</v>
      </c>
      <c r="D1141" s="29">
        <v>48.27</v>
      </c>
      <c r="E1141" s="29">
        <v>85.96</v>
      </c>
      <c r="F1141" s="42">
        <v>166.64</v>
      </c>
      <c r="G1141" s="42">
        <v>170.01</v>
      </c>
      <c r="H1141" s="23">
        <v>131.44999999999999</v>
      </c>
      <c r="I1141" s="23">
        <v>131.02000000000001</v>
      </c>
      <c r="J1141" s="23">
        <v>152.91999999999999</v>
      </c>
      <c r="K1141" s="215"/>
      <c r="L1141" s="45"/>
    </row>
    <row r="1142" spans="1:12" x14ac:dyDescent="0.25">
      <c r="A1142" s="8" t="s">
        <v>21</v>
      </c>
      <c r="B1142" s="183">
        <v>136.58000000000001</v>
      </c>
      <c r="C1142" s="29">
        <v>174.03</v>
      </c>
      <c r="D1142" s="29">
        <v>126.73</v>
      </c>
      <c r="E1142" s="29">
        <v>89.04</v>
      </c>
      <c r="F1142" s="42">
        <v>8.36</v>
      </c>
      <c r="G1142" s="42">
        <f>G1139-G1141</f>
        <v>4.9900000000000091</v>
      </c>
      <c r="H1142" s="23">
        <f>H1139-H1141</f>
        <v>16.910000000000025</v>
      </c>
      <c r="I1142" s="23">
        <f>I1139-I1141</f>
        <v>13.969999999999999</v>
      </c>
      <c r="J1142" s="23">
        <f>J1139-J1141</f>
        <v>3.9900000000000375</v>
      </c>
      <c r="K1142" s="215"/>
      <c r="L1142" s="45"/>
    </row>
    <row r="1143" spans="1:12" x14ac:dyDescent="0.25">
      <c r="A1143" s="37" t="s">
        <v>22</v>
      </c>
      <c r="B1143" s="63">
        <v>2016</v>
      </c>
      <c r="C1143" s="63">
        <v>2017</v>
      </c>
      <c r="D1143" s="63">
        <v>2018</v>
      </c>
      <c r="E1143" s="63">
        <v>2019</v>
      </c>
      <c r="F1143" s="65">
        <v>2020</v>
      </c>
      <c r="G1143" s="65">
        <v>2021</v>
      </c>
      <c r="H1143" s="57">
        <v>2022</v>
      </c>
      <c r="I1143" s="57">
        <v>2023</v>
      </c>
      <c r="J1143" s="57">
        <v>2024</v>
      </c>
      <c r="K1143" s="244">
        <v>2025</v>
      </c>
      <c r="L1143" s="200">
        <v>2026</v>
      </c>
    </row>
    <row r="1144" spans="1:12" x14ac:dyDescent="0.25">
      <c r="A1144" s="37" t="s">
        <v>135</v>
      </c>
      <c r="B1144" s="94"/>
      <c r="C1144" s="94"/>
      <c r="D1144" s="94"/>
      <c r="E1144" s="94"/>
      <c r="F1144" s="94"/>
      <c r="G1144" s="94"/>
      <c r="H1144" s="79"/>
      <c r="I1144" s="79"/>
      <c r="J1144" s="79"/>
      <c r="K1144" s="280"/>
      <c r="L1144" s="693"/>
    </row>
    <row r="1145" spans="1:12" x14ac:dyDescent="0.25">
      <c r="A1145" s="696" t="s">
        <v>988</v>
      </c>
      <c r="B1145" s="98"/>
      <c r="C1145" s="98"/>
      <c r="D1145" s="98"/>
      <c r="E1145" s="98"/>
      <c r="F1145" s="98"/>
      <c r="G1145" s="98"/>
      <c r="H1145" s="98"/>
      <c r="I1145" s="697"/>
      <c r="J1145" s="697"/>
      <c r="K1145" s="623"/>
      <c r="L1145" s="698"/>
    </row>
    <row r="1146" spans="1:12" x14ac:dyDescent="0.25">
      <c r="A1146" s="131"/>
      <c r="C1146" s="133"/>
      <c r="K1146" s="221"/>
      <c r="L1146" s="221"/>
    </row>
    <row r="1147" spans="1:12" x14ac:dyDescent="0.25">
      <c r="A1147" s="16" t="s">
        <v>14</v>
      </c>
      <c r="B1147" s="13" t="s">
        <v>636</v>
      </c>
      <c r="C1147" s="13" t="s">
        <v>152</v>
      </c>
      <c r="D1147" s="7"/>
      <c r="E1147" s="7"/>
      <c r="F1147" s="7"/>
      <c r="G1147" s="7"/>
      <c r="K1147" s="221"/>
      <c r="L1147" s="221"/>
    </row>
    <row r="1148" spans="1:12" x14ac:dyDescent="0.25">
      <c r="A1148" s="14" t="s">
        <v>16</v>
      </c>
      <c r="B1148" s="103">
        <v>2014</v>
      </c>
      <c r="C1148" s="77">
        <v>2015</v>
      </c>
      <c r="D1148" s="77">
        <v>2016</v>
      </c>
      <c r="E1148" s="77" t="s">
        <v>242</v>
      </c>
      <c r="F1148" s="77" t="s">
        <v>243</v>
      </c>
      <c r="G1148" s="77" t="s">
        <v>244</v>
      </c>
      <c r="H1148" s="77" t="s">
        <v>287</v>
      </c>
      <c r="I1148" s="77" t="s">
        <v>511</v>
      </c>
      <c r="J1148" s="77" t="s">
        <v>693</v>
      </c>
      <c r="K1148" s="337" t="s">
        <v>864</v>
      </c>
      <c r="L1148" s="221"/>
    </row>
    <row r="1149" spans="1:12" x14ac:dyDescent="0.25">
      <c r="A1149" s="8" t="s">
        <v>17</v>
      </c>
      <c r="B1149" s="29">
        <v>50</v>
      </c>
      <c r="C1149" s="29">
        <v>50</v>
      </c>
      <c r="D1149" s="29">
        <v>50</v>
      </c>
      <c r="E1149" s="29">
        <v>50</v>
      </c>
      <c r="F1149" s="29">
        <v>50</v>
      </c>
      <c r="G1149" s="29">
        <v>50</v>
      </c>
      <c r="H1149" s="23">
        <v>50</v>
      </c>
      <c r="I1149" s="23">
        <v>50</v>
      </c>
      <c r="J1149" s="23">
        <v>50</v>
      </c>
      <c r="K1149" s="215">
        <v>50</v>
      </c>
      <c r="L1149" s="221"/>
    </row>
    <row r="1150" spans="1:12" x14ac:dyDescent="0.25">
      <c r="A1150" s="8" t="s">
        <v>18</v>
      </c>
      <c r="B1150" s="29">
        <v>45.6</v>
      </c>
      <c r="C1150" s="29">
        <v>45.6</v>
      </c>
      <c r="D1150" s="29">
        <v>65.34</v>
      </c>
      <c r="E1150" s="29">
        <v>75</v>
      </c>
      <c r="F1150" s="29">
        <v>70</v>
      </c>
      <c r="G1150" s="29">
        <v>70</v>
      </c>
      <c r="H1150" s="23">
        <v>70</v>
      </c>
      <c r="I1150" s="23">
        <v>70</v>
      </c>
      <c r="J1150" s="23">
        <v>70</v>
      </c>
      <c r="K1150" s="215">
        <v>70</v>
      </c>
      <c r="L1150" s="221"/>
    </row>
    <row r="1151" spans="1:12" x14ac:dyDescent="0.25">
      <c r="A1151" s="8" t="s">
        <v>19</v>
      </c>
      <c r="B1151" s="43" t="s">
        <v>139</v>
      </c>
      <c r="C1151" s="12" t="s">
        <v>139</v>
      </c>
      <c r="D1151" s="12" t="s">
        <v>140</v>
      </c>
      <c r="E1151" s="12" t="s">
        <v>141</v>
      </c>
      <c r="F1151" s="12" t="s">
        <v>245</v>
      </c>
      <c r="G1151" s="12" t="s">
        <v>245</v>
      </c>
      <c r="H1151" s="22" t="s">
        <v>245</v>
      </c>
      <c r="I1151" s="22" t="s">
        <v>245</v>
      </c>
      <c r="J1151" s="22" t="s">
        <v>245</v>
      </c>
      <c r="K1151" s="22" t="s">
        <v>245</v>
      </c>
    </row>
    <row r="1152" spans="1:12" x14ac:dyDescent="0.25">
      <c r="A1152" s="8" t="s">
        <v>20</v>
      </c>
      <c r="B1152" s="29">
        <v>34.659999999999997</v>
      </c>
      <c r="C1152" s="29">
        <v>0</v>
      </c>
      <c r="D1152" s="29">
        <v>9.14</v>
      </c>
      <c r="E1152" s="29">
        <v>18.559999999999999</v>
      </c>
      <c r="F1152" s="29">
        <v>8.7899999999999991</v>
      </c>
      <c r="G1152" s="29">
        <v>9.3699999999999992</v>
      </c>
      <c r="H1152" s="23">
        <v>13.7</v>
      </c>
      <c r="I1152" s="23">
        <v>13.48</v>
      </c>
      <c r="J1152" s="23">
        <v>16.86</v>
      </c>
      <c r="K1152" s="23"/>
    </row>
    <row r="1153" spans="1:11" x14ac:dyDescent="0.25">
      <c r="A1153" s="8" t="s">
        <v>21</v>
      </c>
      <c r="B1153" s="29">
        <v>10.94</v>
      </c>
      <c r="C1153" s="29">
        <v>45.6</v>
      </c>
      <c r="D1153" s="29">
        <v>56.2</v>
      </c>
      <c r="E1153" s="29">
        <v>56.44</v>
      </c>
      <c r="F1153" s="29">
        <v>61.21</v>
      </c>
      <c r="G1153" s="29">
        <f>G1150-G1152</f>
        <v>60.63</v>
      </c>
      <c r="H1153" s="29">
        <f>H1150-H1152</f>
        <v>56.3</v>
      </c>
      <c r="I1153" s="29">
        <f>I1150-I1152</f>
        <v>56.519999999999996</v>
      </c>
      <c r="J1153" s="29">
        <f>J1150-J1152</f>
        <v>53.14</v>
      </c>
      <c r="K1153" s="23"/>
    </row>
    <row r="1154" spans="1:11" x14ac:dyDescent="0.25">
      <c r="A1154" s="37" t="s">
        <v>22</v>
      </c>
      <c r="B1154" s="63">
        <v>2016</v>
      </c>
      <c r="C1154" s="63">
        <v>2017</v>
      </c>
      <c r="D1154" s="63">
        <v>2018</v>
      </c>
      <c r="E1154" s="63">
        <v>2019</v>
      </c>
      <c r="F1154" s="63">
        <v>2020</v>
      </c>
      <c r="G1154" s="63">
        <v>2021</v>
      </c>
      <c r="H1154" s="57">
        <v>2022</v>
      </c>
      <c r="I1154" s="57">
        <v>2023</v>
      </c>
      <c r="J1154" s="57">
        <v>2024</v>
      </c>
      <c r="K1154" s="57">
        <v>2025</v>
      </c>
    </row>
    <row r="1155" spans="1:11" x14ac:dyDescent="0.25">
      <c r="A1155" s="37" t="s">
        <v>587</v>
      </c>
      <c r="B1155" s="94"/>
      <c r="C1155" s="94"/>
      <c r="D1155" s="94"/>
      <c r="E1155" s="94"/>
      <c r="F1155" s="94"/>
      <c r="G1155" s="94"/>
      <c r="H1155" s="79"/>
      <c r="I1155" s="79"/>
      <c r="J1155" s="79"/>
      <c r="K1155" s="80"/>
    </row>
    <row r="1156" spans="1:11" x14ac:dyDescent="0.25">
      <c r="A1156" s="17" t="s">
        <v>509</v>
      </c>
      <c r="B1156" s="531"/>
      <c r="C1156" s="531"/>
      <c r="D1156" s="531"/>
      <c r="E1156" s="531"/>
      <c r="F1156" s="531"/>
      <c r="G1156" s="531"/>
      <c r="H1156" s="105"/>
      <c r="K1156" s="21"/>
    </row>
    <row r="1157" spans="1:11" x14ac:dyDescent="0.25">
      <c r="A1157" s="14" t="s">
        <v>510</v>
      </c>
      <c r="B1157" s="15"/>
      <c r="C1157" s="15"/>
      <c r="D1157" s="15"/>
      <c r="E1157" s="15"/>
      <c r="F1157" s="15"/>
      <c r="G1157" s="15"/>
      <c r="H1157" s="15"/>
      <c r="I1157" s="33"/>
      <c r="J1157" s="33"/>
      <c r="K1157" s="34"/>
    </row>
    <row r="1158" spans="1:11" ht="15.6" customHeight="1" x14ac:dyDescent="0.25">
      <c r="A1158" s="28"/>
      <c r="B1158" s="7"/>
      <c r="C1158" s="7"/>
      <c r="D1158" s="7"/>
      <c r="E1158" s="7"/>
      <c r="F1158" s="7"/>
      <c r="G1158" s="7"/>
    </row>
    <row r="1159" spans="1:11" x14ac:dyDescent="0.25">
      <c r="A1159" s="16" t="s">
        <v>14</v>
      </c>
      <c r="B1159" s="13" t="s">
        <v>654</v>
      </c>
      <c r="C1159" s="10" t="s">
        <v>152</v>
      </c>
      <c r="D1159" s="7"/>
      <c r="E1159" s="7"/>
      <c r="F1159" s="7"/>
      <c r="G1159" s="7"/>
    </row>
    <row r="1160" spans="1:11" x14ac:dyDescent="0.25">
      <c r="A1160" s="14" t="s">
        <v>16</v>
      </c>
      <c r="B1160" s="103">
        <v>2014</v>
      </c>
      <c r="C1160" s="77">
        <v>2015</v>
      </c>
      <c r="D1160" s="77">
        <v>2016</v>
      </c>
      <c r="E1160" s="77">
        <v>2017</v>
      </c>
      <c r="F1160" s="77" t="s">
        <v>243</v>
      </c>
      <c r="G1160" s="77" t="s">
        <v>244</v>
      </c>
      <c r="H1160" s="51" t="s">
        <v>287</v>
      </c>
      <c r="I1160" s="51" t="s">
        <v>511</v>
      </c>
      <c r="J1160" s="51" t="s">
        <v>693</v>
      </c>
      <c r="K1160" s="51">
        <v>2023</v>
      </c>
    </row>
    <row r="1161" spans="1:11" x14ac:dyDescent="0.25">
      <c r="A1161" s="8" t="s">
        <v>17</v>
      </c>
      <c r="B1161" s="29">
        <v>50</v>
      </c>
      <c r="C1161" s="29">
        <v>50</v>
      </c>
      <c r="D1161" s="29">
        <v>50</v>
      </c>
      <c r="E1161" s="29">
        <v>50</v>
      </c>
      <c r="F1161" s="29">
        <v>50</v>
      </c>
      <c r="G1161" s="29">
        <v>50</v>
      </c>
      <c r="H1161" s="23">
        <v>50</v>
      </c>
      <c r="I1161" s="23">
        <v>50</v>
      </c>
      <c r="J1161" s="23">
        <v>50</v>
      </c>
      <c r="K1161" s="23">
        <v>50</v>
      </c>
    </row>
    <row r="1162" spans="1:11" x14ac:dyDescent="0.25">
      <c r="A1162" s="8" t="s">
        <v>18</v>
      </c>
      <c r="B1162" s="29">
        <v>50</v>
      </c>
      <c r="C1162" s="29">
        <v>60.7</v>
      </c>
      <c r="D1162" s="29">
        <v>47.37</v>
      </c>
      <c r="E1162" s="29">
        <v>65</v>
      </c>
      <c r="F1162" s="29">
        <v>60</v>
      </c>
      <c r="G1162" s="29">
        <v>60</v>
      </c>
      <c r="H1162" s="23">
        <f>H1161*1.2</f>
        <v>60</v>
      </c>
      <c r="I1162" s="23">
        <f>I1161*1.2</f>
        <v>60</v>
      </c>
      <c r="J1162" s="23">
        <f>J1161*1.2</f>
        <v>60</v>
      </c>
      <c r="K1162" s="23">
        <v>55</v>
      </c>
    </row>
    <row r="1163" spans="1:11" x14ac:dyDescent="0.25">
      <c r="A1163" s="8" t="s">
        <v>19</v>
      </c>
      <c r="B1163" s="12"/>
      <c r="C1163" s="12" t="s">
        <v>142</v>
      </c>
      <c r="D1163" s="12" t="s">
        <v>143</v>
      </c>
      <c r="E1163" s="12" t="s">
        <v>144</v>
      </c>
      <c r="F1163" s="12" t="s">
        <v>288</v>
      </c>
      <c r="G1163" s="12" t="s">
        <v>288</v>
      </c>
      <c r="H1163" s="12" t="s">
        <v>288</v>
      </c>
      <c r="I1163" s="12" t="s">
        <v>288</v>
      </c>
      <c r="J1163" s="12" t="s">
        <v>288</v>
      </c>
      <c r="K1163" s="12" t="s">
        <v>867</v>
      </c>
    </row>
    <row r="1164" spans="1:11" x14ac:dyDescent="0.25">
      <c r="A1164" s="8" t="s">
        <v>20</v>
      </c>
      <c r="B1164" s="29">
        <v>52.63</v>
      </c>
      <c r="C1164" s="29">
        <v>5.45</v>
      </c>
      <c r="D1164" s="29">
        <v>19.25</v>
      </c>
      <c r="E1164" s="29">
        <v>10.92</v>
      </c>
      <c r="F1164" s="29">
        <v>17.18</v>
      </c>
      <c r="G1164" s="29">
        <v>8.6999999999999993</v>
      </c>
      <c r="H1164" s="23">
        <v>15.41</v>
      </c>
      <c r="I1164" s="23">
        <v>5.56</v>
      </c>
      <c r="J1164" s="23">
        <v>6.37</v>
      </c>
      <c r="K1164" s="23"/>
    </row>
    <row r="1165" spans="1:11" x14ac:dyDescent="0.25">
      <c r="A1165" s="8" t="s">
        <v>21</v>
      </c>
      <c r="B1165" s="29">
        <v>-2.63</v>
      </c>
      <c r="C1165" s="29">
        <v>55.25</v>
      </c>
      <c r="D1165" s="29">
        <v>28.12</v>
      </c>
      <c r="E1165" s="29">
        <v>54.08</v>
      </c>
      <c r="F1165" s="29">
        <f>F1162-F1164</f>
        <v>42.82</v>
      </c>
      <c r="G1165" s="29">
        <f>G1162-G1164</f>
        <v>51.3</v>
      </c>
      <c r="H1165" s="23">
        <f>H1162-H1164</f>
        <v>44.59</v>
      </c>
      <c r="I1165" s="23">
        <f>I1162-I1164</f>
        <v>54.44</v>
      </c>
      <c r="J1165" s="23">
        <f>J1162-J1164</f>
        <v>53.63</v>
      </c>
      <c r="K1165" s="23"/>
    </row>
    <row r="1166" spans="1:11" x14ac:dyDescent="0.25">
      <c r="A1166" s="37" t="s">
        <v>22</v>
      </c>
      <c r="B1166" s="63">
        <v>2016</v>
      </c>
      <c r="C1166" s="63">
        <v>2017</v>
      </c>
      <c r="D1166" s="63">
        <v>2018</v>
      </c>
      <c r="E1166" s="63">
        <v>2019</v>
      </c>
      <c r="F1166" s="63">
        <v>2020</v>
      </c>
      <c r="G1166" s="63">
        <v>2021</v>
      </c>
      <c r="H1166" s="57">
        <v>2022</v>
      </c>
      <c r="I1166" s="57">
        <v>2023</v>
      </c>
      <c r="J1166" s="57">
        <v>2024</v>
      </c>
      <c r="K1166" s="57">
        <v>2025</v>
      </c>
    </row>
    <row r="1167" spans="1:11" x14ac:dyDescent="0.25">
      <c r="A1167" s="37" t="s">
        <v>461</v>
      </c>
      <c r="B1167" s="94"/>
      <c r="C1167" s="94"/>
      <c r="D1167" s="94"/>
      <c r="E1167" s="94"/>
      <c r="F1167" s="94"/>
      <c r="G1167" s="94"/>
      <c r="H1167" s="79"/>
      <c r="I1167" s="30"/>
      <c r="J1167" s="30"/>
      <c r="K1167" s="31"/>
    </row>
    <row r="1168" spans="1:11" x14ac:dyDescent="0.25">
      <c r="A1168" s="17" t="s">
        <v>865</v>
      </c>
      <c r="B1168" s="531"/>
      <c r="C1168" s="531"/>
      <c r="D1168" s="531"/>
      <c r="E1168" s="531"/>
      <c r="F1168" s="531"/>
      <c r="G1168" s="531"/>
      <c r="H1168" s="105"/>
      <c r="K1168" s="21"/>
    </row>
    <row r="1169" spans="1:11" x14ac:dyDescent="0.25">
      <c r="A1169" s="14" t="s">
        <v>866</v>
      </c>
      <c r="B1169" s="15"/>
      <c r="C1169" s="15"/>
      <c r="D1169" s="15"/>
      <c r="E1169" s="15"/>
      <c r="F1169" s="15"/>
      <c r="G1169" s="15"/>
      <c r="H1169" s="15"/>
      <c r="I1169" s="33"/>
      <c r="J1169" s="33"/>
      <c r="K1169" s="34"/>
    </row>
    <row r="1170" spans="1:11" ht="14.4" customHeight="1" x14ac:dyDescent="0.25">
      <c r="A1170" s="35"/>
      <c r="B1170" s="35"/>
      <c r="C1170" s="35"/>
      <c r="D1170" s="35"/>
      <c r="E1170" s="35"/>
      <c r="F1170" s="35"/>
      <c r="G1170" s="35"/>
      <c r="H1170" s="35"/>
    </row>
    <row r="1171" spans="1:11" ht="14.4" customHeight="1" x14ac:dyDescent="0.25">
      <c r="A1171" s="16" t="s">
        <v>203</v>
      </c>
      <c r="B1171" s="13" t="s">
        <v>655</v>
      </c>
      <c r="C1171" s="13" t="s">
        <v>152</v>
      </c>
      <c r="D1171" s="7"/>
      <c r="E1171" s="7"/>
      <c r="F1171" s="7"/>
      <c r="G1171" s="7"/>
    </row>
    <row r="1172" spans="1:11" ht="14.4" customHeight="1" x14ac:dyDescent="0.25">
      <c r="A1172" s="14" t="s">
        <v>16</v>
      </c>
      <c r="B1172" s="100"/>
      <c r="C1172" s="9"/>
      <c r="D1172" s="77">
        <v>2016</v>
      </c>
      <c r="E1172" s="77">
        <v>2017</v>
      </c>
      <c r="F1172" s="77">
        <v>2018</v>
      </c>
      <c r="G1172" s="77">
        <v>2019</v>
      </c>
      <c r="H1172" s="51">
        <v>2020</v>
      </c>
      <c r="I1172" s="51">
        <v>2021</v>
      </c>
      <c r="J1172" s="51">
        <v>2022</v>
      </c>
      <c r="K1172" s="51">
        <v>2022</v>
      </c>
    </row>
    <row r="1173" spans="1:11" ht="14.4" customHeight="1" x14ac:dyDescent="0.25">
      <c r="A1173" s="8" t="s">
        <v>17</v>
      </c>
      <c r="B1173" s="29"/>
      <c r="C1173" s="29"/>
      <c r="D1173" s="29">
        <v>113.66</v>
      </c>
      <c r="E1173" s="29">
        <v>136.46</v>
      </c>
      <c r="F1173" s="29">
        <v>160</v>
      </c>
      <c r="G1173" s="29">
        <v>184</v>
      </c>
      <c r="H1173" s="23">
        <v>200</v>
      </c>
      <c r="I1173" s="23">
        <v>200</v>
      </c>
      <c r="J1173" s="23">
        <v>200</v>
      </c>
      <c r="K1173" s="23">
        <v>221</v>
      </c>
    </row>
    <row r="1174" spans="1:11" ht="14.4" customHeight="1" x14ac:dyDescent="0.25">
      <c r="A1174" s="8" t="s">
        <v>18</v>
      </c>
      <c r="B1174" s="29"/>
      <c r="C1174" s="29"/>
      <c r="D1174" s="29">
        <v>163.66</v>
      </c>
      <c r="E1174" s="29">
        <v>181.46</v>
      </c>
      <c r="F1174" s="29">
        <v>210</v>
      </c>
      <c r="G1174" s="29">
        <v>234</v>
      </c>
      <c r="H1174" s="23">
        <v>251.57</v>
      </c>
      <c r="I1174" s="23">
        <f>I1173+50+H1177</f>
        <v>254.29999999999998</v>
      </c>
      <c r="J1174" s="23">
        <f>J1173+50+10</f>
        <v>260</v>
      </c>
      <c r="K1174" s="23">
        <f>K1173+50+J1177</f>
        <v>278.72399999999999</v>
      </c>
    </row>
    <row r="1175" spans="1:11" ht="14.4" customHeight="1" x14ac:dyDescent="0.25">
      <c r="A1175" s="8" t="s">
        <v>19</v>
      </c>
      <c r="B1175" s="27"/>
      <c r="C1175" s="27"/>
      <c r="D1175" s="12" t="s">
        <v>291</v>
      </c>
      <c r="E1175" s="12" t="s">
        <v>292</v>
      </c>
      <c r="F1175" s="12" t="s">
        <v>293</v>
      </c>
      <c r="G1175" s="12" t="s">
        <v>294</v>
      </c>
      <c r="H1175" s="22" t="s">
        <v>295</v>
      </c>
      <c r="I1175" s="22" t="s">
        <v>513</v>
      </c>
      <c r="J1175" s="22" t="s">
        <v>695</v>
      </c>
      <c r="K1175" s="22" t="s">
        <v>870</v>
      </c>
    </row>
    <row r="1176" spans="1:11" ht="14.4" customHeight="1" x14ac:dyDescent="0.25">
      <c r="A1176" s="8" t="s">
        <v>20</v>
      </c>
      <c r="B1176" s="29"/>
      <c r="C1176" s="29"/>
      <c r="D1176" s="29">
        <v>161.08000000000001</v>
      </c>
      <c r="E1176" s="29">
        <v>181.19</v>
      </c>
      <c r="F1176" s="29">
        <v>207.97</v>
      </c>
      <c r="G1176" s="29">
        <v>232.43299999999999</v>
      </c>
      <c r="H1176" s="23">
        <v>247.27</v>
      </c>
      <c r="I1176" s="23">
        <v>242.24</v>
      </c>
      <c r="J1176" s="23">
        <v>252.27600000000001</v>
      </c>
      <c r="K1176" s="23"/>
    </row>
    <row r="1177" spans="1:11" ht="14.4" customHeight="1" x14ac:dyDescent="0.25">
      <c r="A1177" s="8" t="s">
        <v>21</v>
      </c>
      <c r="B1177" s="29"/>
      <c r="C1177" s="29"/>
      <c r="D1177" s="29">
        <v>2.58</v>
      </c>
      <c r="E1177" s="29">
        <v>0.27</v>
      </c>
      <c r="F1177" s="29">
        <v>2.0299999999999998</v>
      </c>
      <c r="G1177" s="29">
        <v>1.5670000000000073</v>
      </c>
      <c r="H1177" s="23">
        <f>H1174-H1176</f>
        <v>4.2999999999999829</v>
      </c>
      <c r="I1177" s="23">
        <f>I1174-I1176</f>
        <v>12.059999999999974</v>
      </c>
      <c r="J1177" s="23">
        <f>J1174-J1176</f>
        <v>7.7239999999999895</v>
      </c>
      <c r="K1177" s="23"/>
    </row>
    <row r="1178" spans="1:11" ht="14.4" customHeight="1" x14ac:dyDescent="0.25">
      <c r="A1178" s="37" t="s">
        <v>22</v>
      </c>
      <c r="B1178" s="38"/>
      <c r="C1178" s="38"/>
      <c r="D1178" s="38"/>
      <c r="E1178" s="38"/>
      <c r="F1178" s="38"/>
      <c r="G1178" s="63">
        <v>2020</v>
      </c>
      <c r="H1178" s="57">
        <v>2021</v>
      </c>
      <c r="I1178" s="36">
        <v>2022</v>
      </c>
      <c r="J1178" s="36">
        <v>2023</v>
      </c>
      <c r="K1178" s="36">
        <v>2024</v>
      </c>
    </row>
    <row r="1179" spans="1:11" ht="14.4" customHeight="1" x14ac:dyDescent="0.25">
      <c r="A1179" s="37" t="s">
        <v>296</v>
      </c>
      <c r="B1179" s="44"/>
      <c r="C1179" s="44"/>
      <c r="D1179" s="44"/>
      <c r="E1179" s="44"/>
      <c r="F1179" s="44"/>
      <c r="G1179" s="44"/>
      <c r="H1179" s="30"/>
      <c r="I1179" s="30"/>
      <c r="J1179" s="30"/>
      <c r="K1179" s="31"/>
    </row>
    <row r="1180" spans="1:11" ht="14.4" customHeight="1" x14ac:dyDescent="0.25">
      <c r="A1180" s="17" t="s">
        <v>297</v>
      </c>
      <c r="B1180" s="7"/>
      <c r="C1180" s="7"/>
      <c r="D1180" s="7"/>
      <c r="E1180" s="7"/>
      <c r="F1180" s="7"/>
      <c r="G1180" s="7"/>
      <c r="K1180" s="21"/>
    </row>
    <row r="1181" spans="1:11" ht="14.4" customHeight="1" x14ac:dyDescent="0.25">
      <c r="A1181" s="17" t="s">
        <v>298</v>
      </c>
      <c r="B1181" s="7"/>
      <c r="C1181" s="7"/>
      <c r="D1181" s="7"/>
      <c r="E1181" s="7"/>
      <c r="F1181" s="7"/>
      <c r="G1181" s="7"/>
      <c r="K1181" s="21"/>
    </row>
    <row r="1182" spans="1:11" ht="14.4" customHeight="1" x14ac:dyDescent="0.25">
      <c r="A1182" s="17" t="s">
        <v>299</v>
      </c>
      <c r="B1182" s="7"/>
      <c r="C1182" s="7"/>
      <c r="D1182" s="7"/>
      <c r="E1182" s="7"/>
      <c r="F1182" s="7"/>
      <c r="G1182" s="7"/>
      <c r="K1182" s="21"/>
    </row>
    <row r="1183" spans="1:11" ht="14.4" customHeight="1" x14ac:dyDescent="0.25">
      <c r="A1183" s="17" t="s">
        <v>512</v>
      </c>
      <c r="B1183" s="7"/>
      <c r="C1183" s="7"/>
      <c r="D1183" s="7"/>
      <c r="E1183" s="7"/>
      <c r="F1183" s="7"/>
      <c r="G1183" s="7"/>
      <c r="K1183" s="21"/>
    </row>
    <row r="1184" spans="1:11" ht="14.4" customHeight="1" x14ac:dyDescent="0.25">
      <c r="A1184" s="17" t="s">
        <v>694</v>
      </c>
      <c r="B1184" s="7"/>
      <c r="C1184" s="7"/>
      <c r="D1184" s="7"/>
      <c r="E1184" s="7"/>
      <c r="F1184" s="7"/>
      <c r="G1184" s="7"/>
      <c r="K1184" s="21"/>
    </row>
    <row r="1185" spans="1:11" ht="14.4" customHeight="1" x14ac:dyDescent="0.25">
      <c r="A1185" s="17" t="s">
        <v>868</v>
      </c>
      <c r="B1185" s="7"/>
      <c r="C1185" s="7"/>
      <c r="D1185" s="7"/>
      <c r="E1185" s="7"/>
      <c r="F1185" s="7"/>
      <c r="G1185" s="7"/>
      <c r="K1185" s="21"/>
    </row>
    <row r="1186" spans="1:11" ht="14.4" customHeight="1" x14ac:dyDescent="0.25">
      <c r="A1186" s="14" t="s">
        <v>869</v>
      </c>
      <c r="B1186" s="15"/>
      <c r="C1186" s="15"/>
      <c r="D1186" s="15"/>
      <c r="E1186" s="15"/>
      <c r="F1186" s="15"/>
      <c r="G1186" s="15"/>
      <c r="H1186" s="33"/>
      <c r="I1186" s="33"/>
      <c r="J1186" s="33"/>
      <c r="K1186" s="34"/>
    </row>
    <row r="1187" spans="1:11" ht="14.4" customHeight="1" x14ac:dyDescent="0.25">
      <c r="A1187" s="35"/>
      <c r="B1187" s="35"/>
      <c r="C1187" s="35"/>
      <c r="D1187" s="35"/>
      <c r="E1187" s="35"/>
      <c r="F1187" s="35"/>
      <c r="G1187" s="35"/>
      <c r="H1187" s="35"/>
    </row>
    <row r="1188" spans="1:11" x14ac:dyDescent="0.25">
      <c r="A1188" s="249" t="s">
        <v>203</v>
      </c>
      <c r="B1188" s="250" t="s">
        <v>66</v>
      </c>
      <c r="C1188" s="250" t="s">
        <v>152</v>
      </c>
      <c r="D1188" s="252"/>
      <c r="E1188" s="252"/>
      <c r="F1188" s="252"/>
      <c r="G1188" s="252"/>
      <c r="H1188" s="221"/>
      <c r="I1188" s="221"/>
      <c r="J1188" s="221"/>
    </row>
    <row r="1189" spans="1:11" x14ac:dyDescent="0.25">
      <c r="A1189" s="321" t="s">
        <v>16</v>
      </c>
      <c r="B1189" s="340">
        <v>2014</v>
      </c>
      <c r="C1189" s="337">
        <v>2015</v>
      </c>
      <c r="D1189" s="337">
        <v>2016</v>
      </c>
      <c r="E1189" s="337">
        <v>2017</v>
      </c>
      <c r="F1189" s="337">
        <v>2018</v>
      </c>
      <c r="G1189" s="337">
        <v>2019</v>
      </c>
      <c r="H1189" s="212">
        <v>2020</v>
      </c>
      <c r="I1189" s="212">
        <v>2021</v>
      </c>
      <c r="J1189" s="212">
        <v>2022</v>
      </c>
      <c r="K1189" s="212">
        <v>2023</v>
      </c>
    </row>
    <row r="1190" spans="1:11" x14ac:dyDescent="0.25">
      <c r="A1190" s="253" t="s">
        <v>17</v>
      </c>
      <c r="B1190" s="325">
        <v>1983</v>
      </c>
      <c r="C1190" s="325">
        <v>1983</v>
      </c>
      <c r="D1190" s="325">
        <v>1486</v>
      </c>
      <c r="E1190" s="325">
        <v>1486</v>
      </c>
      <c r="F1190" s="325">
        <v>1486</v>
      </c>
      <c r="G1190" s="325">
        <v>1486</v>
      </c>
      <c r="H1190" s="215">
        <v>1000</v>
      </c>
      <c r="I1190" s="215">
        <v>984</v>
      </c>
      <c r="J1190" s="215">
        <v>992</v>
      </c>
      <c r="K1190" s="215">
        <v>992</v>
      </c>
    </row>
    <row r="1191" spans="1:11" x14ac:dyDescent="0.25">
      <c r="A1191" s="253" t="s">
        <v>18</v>
      </c>
      <c r="B1191" s="325">
        <v>2557.9</v>
      </c>
      <c r="C1191" s="325">
        <v>2557.9</v>
      </c>
      <c r="D1191" s="325">
        <v>2080.9</v>
      </c>
      <c r="E1191" s="325">
        <v>1708.9</v>
      </c>
      <c r="F1191" s="325">
        <v>1485.9</v>
      </c>
      <c r="G1191" s="325">
        <v>1485.9</v>
      </c>
      <c r="H1191" s="215">
        <f>H1190+F1190*0.15-223</f>
        <v>999.90000000000009</v>
      </c>
      <c r="I1191" s="215">
        <f>I1190-223+G1190*0.1</f>
        <v>909.6</v>
      </c>
      <c r="J1191" s="215">
        <f>J1190-223+H1190*0.1</f>
        <v>869</v>
      </c>
      <c r="K1191" s="215">
        <f>K1190+0.1*I1190-223</f>
        <v>867.40000000000009</v>
      </c>
    </row>
    <row r="1192" spans="1:11" ht="28.95" customHeight="1" x14ac:dyDescent="0.25">
      <c r="A1192" s="253" t="s">
        <v>19</v>
      </c>
      <c r="B1192" s="328" t="s">
        <v>145</v>
      </c>
      <c r="C1192" s="328" t="s">
        <v>145</v>
      </c>
      <c r="D1192" s="328" t="s">
        <v>146</v>
      </c>
      <c r="E1192" s="328" t="s">
        <v>147</v>
      </c>
      <c r="F1192" s="328" t="s">
        <v>215</v>
      </c>
      <c r="G1192" s="328" t="s">
        <v>216</v>
      </c>
      <c r="H1192" s="243" t="s">
        <v>515</v>
      </c>
      <c r="I1192" s="243" t="s">
        <v>696</v>
      </c>
      <c r="J1192" s="243" t="s">
        <v>697</v>
      </c>
      <c r="K1192" s="243" t="s">
        <v>873</v>
      </c>
    </row>
    <row r="1193" spans="1:11" x14ac:dyDescent="0.25">
      <c r="A1193" s="253" t="s">
        <v>20</v>
      </c>
      <c r="B1193" s="325">
        <v>1038.83</v>
      </c>
      <c r="C1193" s="325">
        <v>670.7</v>
      </c>
      <c r="D1193" s="325">
        <v>561.97</v>
      </c>
      <c r="E1193" s="325">
        <v>432.09</v>
      </c>
      <c r="F1193" s="325">
        <v>662.7</v>
      </c>
      <c r="G1193" s="325">
        <v>539.84</v>
      </c>
      <c r="H1193" s="215">
        <v>587.15</v>
      </c>
      <c r="I1193" s="215">
        <v>674.38</v>
      </c>
      <c r="J1193" s="215">
        <v>763.45</v>
      </c>
      <c r="K1193" s="215"/>
    </row>
    <row r="1194" spans="1:11" x14ac:dyDescent="0.25">
      <c r="A1194" s="253" t="s">
        <v>21</v>
      </c>
      <c r="B1194" s="325">
        <v>1519.07</v>
      </c>
      <c r="C1194" s="325">
        <v>1887.2</v>
      </c>
      <c r="D1194" s="325">
        <v>1518.93</v>
      </c>
      <c r="E1194" s="325">
        <v>1276.8100000000002</v>
      </c>
      <c r="F1194" s="325">
        <v>823.2</v>
      </c>
      <c r="G1194" s="325">
        <f>G1191-G1193</f>
        <v>946.06000000000006</v>
      </c>
      <c r="H1194" s="215">
        <f>H1191-H1193</f>
        <v>412.75000000000011</v>
      </c>
      <c r="I1194" s="215">
        <f>I1191-I1193</f>
        <v>235.22000000000003</v>
      </c>
      <c r="J1194" s="215">
        <f>J1191-J1193</f>
        <v>105.54999999999995</v>
      </c>
      <c r="K1194" s="215"/>
    </row>
    <row r="1195" spans="1:11" x14ac:dyDescent="0.25">
      <c r="A1195" s="256" t="s">
        <v>22</v>
      </c>
      <c r="B1195" s="330">
        <v>2016</v>
      </c>
      <c r="C1195" s="330">
        <v>2017</v>
      </c>
      <c r="D1195" s="330">
        <v>2018</v>
      </c>
      <c r="E1195" s="330">
        <v>2019</v>
      </c>
      <c r="F1195" s="330">
        <v>2020</v>
      </c>
      <c r="G1195" s="330">
        <v>2021</v>
      </c>
      <c r="H1195" s="244">
        <v>2022</v>
      </c>
      <c r="I1195" s="244">
        <v>2023</v>
      </c>
      <c r="J1195" s="244">
        <v>2024</v>
      </c>
      <c r="K1195" s="244">
        <v>2025</v>
      </c>
    </row>
    <row r="1196" spans="1:11" x14ac:dyDescent="0.25">
      <c r="A1196" s="256" t="s">
        <v>588</v>
      </c>
      <c r="B1196" s="420"/>
      <c r="C1196" s="420"/>
      <c r="D1196" s="420"/>
      <c r="E1196" s="420"/>
      <c r="F1196" s="420"/>
      <c r="G1196" s="420"/>
      <c r="H1196" s="280"/>
      <c r="I1196" s="280"/>
      <c r="J1196" s="280"/>
      <c r="K1196" s="245"/>
    </row>
    <row r="1197" spans="1:11" x14ac:dyDescent="0.25">
      <c r="A1197" s="421" t="s">
        <v>289</v>
      </c>
      <c r="B1197" s="252"/>
      <c r="C1197" s="252"/>
      <c r="D1197" s="252"/>
      <c r="E1197" s="252"/>
      <c r="F1197" s="252"/>
      <c r="G1197" s="252"/>
      <c r="H1197" s="221"/>
      <c r="I1197" s="221"/>
      <c r="J1197" s="221"/>
      <c r="K1197" s="222"/>
    </row>
    <row r="1198" spans="1:11" x14ac:dyDescent="0.25">
      <c r="A1198" s="421" t="s">
        <v>290</v>
      </c>
      <c r="B1198" s="252"/>
      <c r="C1198" s="252"/>
      <c r="D1198" s="252"/>
      <c r="E1198" s="252"/>
      <c r="F1198" s="252"/>
      <c r="G1198" s="252"/>
      <c r="H1198" s="221"/>
      <c r="I1198" s="221"/>
      <c r="J1198" s="221"/>
      <c r="K1198" s="222"/>
    </row>
    <row r="1199" spans="1:11" x14ac:dyDescent="0.25">
      <c r="A1199" s="421" t="s">
        <v>516</v>
      </c>
      <c r="B1199" s="252"/>
      <c r="C1199" s="252"/>
      <c r="D1199" s="252"/>
      <c r="E1199" s="252"/>
      <c r="F1199" s="252"/>
      <c r="G1199" s="252"/>
      <c r="H1199" s="221"/>
      <c r="I1199" s="221"/>
      <c r="J1199" s="221"/>
      <c r="K1199" s="222"/>
    </row>
    <row r="1200" spans="1:11" x14ac:dyDescent="0.25">
      <c r="A1200" s="421" t="s">
        <v>148</v>
      </c>
      <c r="B1200" s="252"/>
      <c r="C1200" s="252"/>
      <c r="D1200" s="252"/>
      <c r="E1200" s="252"/>
      <c r="F1200" s="252"/>
      <c r="G1200" s="252"/>
      <c r="H1200" s="221"/>
      <c r="I1200" s="221"/>
      <c r="J1200" s="221"/>
      <c r="K1200" s="222"/>
    </row>
    <row r="1201" spans="1:11" x14ac:dyDescent="0.25">
      <c r="A1201" s="421" t="s">
        <v>514</v>
      </c>
      <c r="B1201" s="252"/>
      <c r="C1201" s="252"/>
      <c r="D1201" s="252"/>
      <c r="E1201" s="252"/>
      <c r="F1201" s="252"/>
      <c r="G1201" s="252"/>
      <c r="H1201" s="221"/>
      <c r="I1201" s="221"/>
      <c r="J1201" s="221"/>
      <c r="K1201" s="222"/>
    </row>
    <row r="1202" spans="1:11" x14ac:dyDescent="0.25">
      <c r="A1202" s="421" t="s">
        <v>698</v>
      </c>
      <c r="B1202" s="252"/>
      <c r="C1202" s="252"/>
      <c r="D1202" s="252"/>
      <c r="E1202" s="252"/>
      <c r="F1202" s="252"/>
      <c r="G1202" s="252"/>
      <c r="H1202" s="221"/>
      <c r="I1202" s="221"/>
      <c r="J1202" s="221"/>
      <c r="K1202" s="222"/>
    </row>
    <row r="1203" spans="1:11" x14ac:dyDescent="0.25">
      <c r="A1203" s="421" t="s">
        <v>871</v>
      </c>
      <c r="B1203" s="252"/>
      <c r="C1203" s="252"/>
      <c r="D1203" s="252"/>
      <c r="E1203" s="252"/>
      <c r="F1203" s="252"/>
      <c r="G1203" s="252"/>
      <c r="H1203" s="221"/>
      <c r="I1203" s="221"/>
      <c r="J1203" s="221"/>
      <c r="K1203" s="222"/>
    </row>
    <row r="1204" spans="1:11" x14ac:dyDescent="0.25">
      <c r="A1204" s="321" t="s">
        <v>872</v>
      </c>
      <c r="B1204" s="403"/>
      <c r="C1204" s="403"/>
      <c r="D1204" s="403"/>
      <c r="E1204" s="403"/>
      <c r="F1204" s="403"/>
      <c r="G1204" s="403"/>
      <c r="H1204" s="223"/>
      <c r="I1204" s="223"/>
      <c r="J1204" s="223"/>
      <c r="K1204" s="224"/>
    </row>
    <row r="1205" spans="1:11" x14ac:dyDescent="0.25">
      <c r="A1205" s="7"/>
      <c r="B1205" s="7"/>
      <c r="C1205" s="7"/>
      <c r="D1205" s="7"/>
      <c r="E1205" s="7"/>
      <c r="F1205" s="7"/>
      <c r="G1205" s="7"/>
    </row>
    <row r="1206" spans="1:11" x14ac:dyDescent="0.25">
      <c r="A1206" s="131"/>
      <c r="C1206" s="133"/>
    </row>
    <row r="1207" spans="1:11" x14ac:dyDescent="0.25">
      <c r="A1207" s="16" t="s">
        <v>203</v>
      </c>
      <c r="B1207" s="13" t="s">
        <v>74</v>
      </c>
      <c r="C1207" s="13" t="s">
        <v>152</v>
      </c>
      <c r="D1207" s="7"/>
      <c r="E1207" s="7"/>
      <c r="F1207" s="7"/>
      <c r="G1207" s="7"/>
    </row>
    <row r="1208" spans="1:11" x14ac:dyDescent="0.25">
      <c r="A1208" s="14" t="s">
        <v>16</v>
      </c>
      <c r="B1208" s="103">
        <v>2014</v>
      </c>
      <c r="C1208" s="77">
        <v>2015</v>
      </c>
      <c r="D1208" s="77">
        <v>2016</v>
      </c>
      <c r="E1208" s="77">
        <v>2017</v>
      </c>
      <c r="F1208" s="77">
        <v>2018</v>
      </c>
      <c r="G1208" s="77">
        <v>2019</v>
      </c>
      <c r="H1208" s="51">
        <v>2020</v>
      </c>
      <c r="I1208" s="51">
        <v>2021</v>
      </c>
      <c r="J1208" s="51">
        <v>2022</v>
      </c>
      <c r="K1208" s="51">
        <v>2023</v>
      </c>
    </row>
    <row r="1209" spans="1:11" x14ac:dyDescent="0.25">
      <c r="A1209" s="8" t="s">
        <v>17</v>
      </c>
      <c r="B1209" s="29">
        <v>35</v>
      </c>
      <c r="C1209" s="29">
        <v>35</v>
      </c>
      <c r="D1209" s="29">
        <v>35</v>
      </c>
      <c r="E1209" s="29">
        <v>35</v>
      </c>
      <c r="F1209" s="29">
        <v>35</v>
      </c>
      <c r="G1209" s="29">
        <v>35</v>
      </c>
      <c r="H1209" s="23">
        <v>29.4</v>
      </c>
      <c r="I1209" s="23">
        <v>29.4</v>
      </c>
      <c r="J1209" s="23">
        <v>29.4</v>
      </c>
      <c r="K1209" s="23">
        <v>29.4</v>
      </c>
    </row>
    <row r="1210" spans="1:11" x14ac:dyDescent="0.25">
      <c r="A1210" s="8" t="s">
        <v>18</v>
      </c>
      <c r="B1210" s="29">
        <v>35</v>
      </c>
      <c r="C1210" s="29">
        <v>42</v>
      </c>
      <c r="D1210" s="29">
        <v>42</v>
      </c>
      <c r="E1210" s="29">
        <v>42</v>
      </c>
      <c r="F1210" s="29">
        <v>42</v>
      </c>
      <c r="G1210" s="29">
        <v>42</v>
      </c>
      <c r="H1210" s="23">
        <v>36.4</v>
      </c>
      <c r="I1210" s="23">
        <v>36.4</v>
      </c>
      <c r="J1210" s="23"/>
      <c r="K1210" s="23"/>
    </row>
    <row r="1211" spans="1:11" x14ac:dyDescent="0.25">
      <c r="A1211" s="8" t="s">
        <v>19</v>
      </c>
      <c r="B1211" s="95" t="s">
        <v>136</v>
      </c>
      <c r="C1211" s="96" t="s">
        <v>149</v>
      </c>
      <c r="D1211" s="96" t="s">
        <v>149</v>
      </c>
      <c r="E1211" s="96" t="s">
        <v>149</v>
      </c>
      <c r="F1211" s="96" t="s">
        <v>149</v>
      </c>
      <c r="G1211" s="96" t="s">
        <v>149</v>
      </c>
      <c r="H1211" s="87" t="s">
        <v>300</v>
      </c>
      <c r="I1211" s="87" t="s">
        <v>300</v>
      </c>
      <c r="J1211" s="87"/>
      <c r="K1211" s="87"/>
    </row>
    <row r="1212" spans="1:11" x14ac:dyDescent="0.25">
      <c r="A1212" s="8" t="s">
        <v>20</v>
      </c>
      <c r="B1212" s="29">
        <v>9.7799999999999994</v>
      </c>
      <c r="C1212" s="29">
        <v>3.07</v>
      </c>
      <c r="D1212" s="29">
        <v>26.19</v>
      </c>
      <c r="E1212" s="29">
        <v>25.13</v>
      </c>
      <c r="F1212" s="29">
        <v>24.55</v>
      </c>
      <c r="G1212" s="29">
        <v>12.91</v>
      </c>
      <c r="H1212" s="23">
        <v>20.36</v>
      </c>
      <c r="I1212" s="23">
        <v>11.52</v>
      </c>
      <c r="J1212" s="23">
        <v>10.3</v>
      </c>
      <c r="K1212" s="23"/>
    </row>
    <row r="1213" spans="1:11" x14ac:dyDescent="0.25">
      <c r="A1213" s="8" t="s">
        <v>21</v>
      </c>
      <c r="B1213" s="29">
        <v>25.22</v>
      </c>
      <c r="C1213" s="29">
        <v>38.93</v>
      </c>
      <c r="D1213" s="29">
        <v>15.81</v>
      </c>
      <c r="E1213" s="29">
        <v>16.87</v>
      </c>
      <c r="F1213" s="29">
        <v>17.45</v>
      </c>
      <c r="G1213" s="29">
        <f>G1210-G1212</f>
        <v>29.09</v>
      </c>
      <c r="H1213" s="23">
        <f>H1210-H1212</f>
        <v>16.04</v>
      </c>
      <c r="I1213" s="23">
        <f>I1210-I1212</f>
        <v>24.88</v>
      </c>
      <c r="J1213" s="23">
        <f>J1209-J1212</f>
        <v>19.099999999999998</v>
      </c>
      <c r="K1213" s="23"/>
    </row>
    <row r="1214" spans="1:11" x14ac:dyDescent="0.25">
      <c r="A1214" s="37" t="s">
        <v>22</v>
      </c>
      <c r="B1214" s="63">
        <v>2016</v>
      </c>
      <c r="C1214" s="63">
        <v>2017</v>
      </c>
      <c r="D1214" s="63">
        <v>2018</v>
      </c>
      <c r="E1214" s="63">
        <v>2019</v>
      </c>
      <c r="F1214" s="63">
        <v>2020</v>
      </c>
      <c r="G1214" s="63">
        <v>2021</v>
      </c>
      <c r="H1214" s="63"/>
      <c r="I1214" s="63"/>
      <c r="J1214" s="63"/>
      <c r="K1214" s="63"/>
    </row>
    <row r="1215" spans="1:11" x14ac:dyDescent="0.25">
      <c r="A1215" s="37" t="s">
        <v>150</v>
      </c>
      <c r="B1215" s="94"/>
      <c r="C1215" s="94"/>
      <c r="D1215" s="94"/>
      <c r="E1215" s="94"/>
      <c r="F1215" s="94"/>
      <c r="G1215" s="94"/>
      <c r="H1215" s="94"/>
      <c r="I1215" s="94"/>
      <c r="J1215" s="94"/>
      <c r="K1215" s="65"/>
    </row>
    <row r="1216" spans="1:11" x14ac:dyDescent="0.25">
      <c r="A1216" s="17" t="s">
        <v>589</v>
      </c>
      <c r="B1216" s="531"/>
      <c r="C1216" s="531"/>
      <c r="D1216" s="531"/>
      <c r="E1216" s="531"/>
      <c r="F1216" s="531"/>
      <c r="G1216" s="531"/>
      <c r="H1216" s="531"/>
      <c r="I1216" s="531"/>
      <c r="J1216" s="531"/>
      <c r="K1216" s="110"/>
    </row>
    <row r="1217" spans="1:11" x14ac:dyDescent="0.25">
      <c r="A1217" s="97" t="s">
        <v>517</v>
      </c>
      <c r="B1217" s="98"/>
      <c r="C1217" s="98"/>
      <c r="D1217" s="98"/>
      <c r="E1217" s="98"/>
      <c r="F1217" s="98"/>
      <c r="G1217" s="98"/>
      <c r="H1217" s="98"/>
      <c r="I1217" s="98"/>
      <c r="J1217" s="98"/>
      <c r="K1217" s="99"/>
    </row>
    <row r="1218" spans="1:11" x14ac:dyDescent="0.25">
      <c r="A1218" s="131"/>
      <c r="C1218" s="133"/>
    </row>
    <row r="1219" spans="1:11" x14ac:dyDescent="0.25">
      <c r="A1219" s="16" t="s">
        <v>14</v>
      </c>
      <c r="B1219" s="13" t="s">
        <v>79</v>
      </c>
      <c r="C1219" s="13" t="s">
        <v>152</v>
      </c>
      <c r="D1219" s="7"/>
      <c r="E1219" s="7"/>
      <c r="F1219" s="7"/>
      <c r="G1219" s="7"/>
    </row>
    <row r="1220" spans="1:11" x14ac:dyDescent="0.25">
      <c r="A1220" s="14" t="s">
        <v>16</v>
      </c>
      <c r="B1220" s="103">
        <v>2014</v>
      </c>
      <c r="C1220" s="77">
        <v>2015</v>
      </c>
      <c r="D1220" s="77">
        <v>2016</v>
      </c>
      <c r="E1220" s="77">
        <v>2017</v>
      </c>
      <c r="F1220" s="77">
        <v>2018</v>
      </c>
      <c r="G1220" s="77">
        <v>2019</v>
      </c>
      <c r="H1220" s="51">
        <v>2020</v>
      </c>
      <c r="I1220" s="51">
        <v>2021</v>
      </c>
      <c r="J1220" s="51">
        <v>2022</v>
      </c>
      <c r="K1220" s="51">
        <v>2023</v>
      </c>
    </row>
    <row r="1221" spans="1:11" x14ac:dyDescent="0.25">
      <c r="A1221" s="8" t="s">
        <v>17</v>
      </c>
      <c r="B1221" s="29">
        <v>20</v>
      </c>
      <c r="C1221" s="29">
        <v>20</v>
      </c>
      <c r="D1221" s="29">
        <v>20</v>
      </c>
      <c r="E1221" s="29">
        <v>20</v>
      </c>
      <c r="F1221" s="29">
        <v>20</v>
      </c>
      <c r="G1221" s="29">
        <v>20</v>
      </c>
      <c r="H1221" s="29">
        <v>20</v>
      </c>
      <c r="I1221" s="29">
        <v>20</v>
      </c>
      <c r="J1221" s="29">
        <v>20</v>
      </c>
      <c r="K1221" s="29">
        <v>20</v>
      </c>
    </row>
    <row r="1222" spans="1:11" x14ac:dyDescent="0.25">
      <c r="A1222" s="8" t="s">
        <v>18</v>
      </c>
      <c r="B1222" s="29">
        <v>20</v>
      </c>
      <c r="C1222" s="29">
        <v>24</v>
      </c>
      <c r="D1222" s="29">
        <v>24</v>
      </c>
      <c r="E1222" s="29">
        <v>24</v>
      </c>
      <c r="F1222" s="29">
        <v>24</v>
      </c>
      <c r="G1222" s="29">
        <v>24</v>
      </c>
      <c r="H1222" s="29">
        <v>24</v>
      </c>
      <c r="I1222" s="29">
        <v>24</v>
      </c>
      <c r="J1222" s="29"/>
      <c r="K1222" s="29"/>
    </row>
    <row r="1223" spans="1:11" x14ac:dyDescent="0.25">
      <c r="A1223" s="8" t="s">
        <v>19</v>
      </c>
      <c r="B1223" s="95" t="s">
        <v>136</v>
      </c>
      <c r="C1223" s="95" t="s">
        <v>151</v>
      </c>
      <c r="D1223" s="95" t="s">
        <v>151</v>
      </c>
      <c r="E1223" s="95" t="s">
        <v>151</v>
      </c>
      <c r="F1223" s="95" t="s">
        <v>151</v>
      </c>
      <c r="G1223" s="95" t="s">
        <v>151</v>
      </c>
      <c r="H1223" s="95" t="s">
        <v>151</v>
      </c>
      <c r="I1223" s="95" t="s">
        <v>151</v>
      </c>
      <c r="J1223" s="95"/>
      <c r="K1223" s="95"/>
    </row>
    <row r="1224" spans="1:11" x14ac:dyDescent="0.25">
      <c r="A1224" s="8" t="s">
        <v>20</v>
      </c>
      <c r="B1224" s="29">
        <v>0.15</v>
      </c>
      <c r="C1224" s="29">
        <v>0</v>
      </c>
      <c r="D1224" s="29">
        <v>0</v>
      </c>
      <c r="E1224" s="29">
        <v>0.14000000000000001</v>
      </c>
      <c r="F1224" s="29">
        <v>0</v>
      </c>
      <c r="G1224" s="29">
        <v>0</v>
      </c>
      <c r="H1224" s="23">
        <v>0</v>
      </c>
      <c r="I1224" s="23">
        <v>0</v>
      </c>
      <c r="J1224" s="23">
        <v>0</v>
      </c>
      <c r="K1224" s="23"/>
    </row>
    <row r="1225" spans="1:11" x14ac:dyDescent="0.25">
      <c r="A1225" s="8" t="s">
        <v>21</v>
      </c>
      <c r="B1225" s="29">
        <v>19.850000000000001</v>
      </c>
      <c r="C1225" s="29">
        <v>24</v>
      </c>
      <c r="D1225" s="29">
        <v>24</v>
      </c>
      <c r="E1225" s="29">
        <v>23.86</v>
      </c>
      <c r="F1225" s="29">
        <v>24</v>
      </c>
      <c r="G1225" s="29">
        <f>G1222-G1224</f>
        <v>24</v>
      </c>
      <c r="H1225" s="29">
        <f>H1222-H1224</f>
        <v>24</v>
      </c>
      <c r="I1225" s="23">
        <v>24</v>
      </c>
      <c r="J1225" s="23">
        <v>20</v>
      </c>
      <c r="K1225" s="23"/>
    </row>
    <row r="1226" spans="1:11" x14ac:dyDescent="0.25">
      <c r="A1226" s="37" t="s">
        <v>22</v>
      </c>
      <c r="B1226" s="63">
        <v>2016</v>
      </c>
      <c r="C1226" s="63">
        <v>2017</v>
      </c>
      <c r="D1226" s="63">
        <v>2018</v>
      </c>
      <c r="E1226" s="63">
        <v>2019</v>
      </c>
      <c r="F1226" s="63">
        <v>2020</v>
      </c>
      <c r="G1226" s="63">
        <v>2021</v>
      </c>
      <c r="H1226" s="63"/>
      <c r="I1226" s="63"/>
      <c r="J1226" s="63"/>
      <c r="K1226" s="63"/>
    </row>
    <row r="1227" spans="1:11" x14ac:dyDescent="0.25">
      <c r="A1227" s="37" t="s">
        <v>150</v>
      </c>
      <c r="B1227" s="94"/>
      <c r="C1227" s="94"/>
      <c r="D1227" s="94"/>
      <c r="E1227" s="94"/>
      <c r="F1227" s="94"/>
      <c r="G1227" s="94"/>
      <c r="H1227" s="94"/>
      <c r="I1227" s="94"/>
      <c r="J1227" s="94"/>
      <c r="K1227" s="65"/>
    </row>
    <row r="1228" spans="1:11" x14ac:dyDescent="0.25">
      <c r="A1228" s="97" t="s">
        <v>517</v>
      </c>
      <c r="B1228" s="98"/>
      <c r="C1228" s="98"/>
      <c r="D1228" s="98"/>
      <c r="E1228" s="98"/>
      <c r="F1228" s="98"/>
      <c r="G1228" s="98"/>
      <c r="H1228" s="98"/>
      <c r="I1228" s="98"/>
      <c r="J1228" s="98"/>
      <c r="K1228" s="99"/>
    </row>
    <row r="1229" spans="1:11" x14ac:dyDescent="0.25">
      <c r="A1229" s="131"/>
      <c r="C1229" s="133"/>
    </row>
    <row r="1230" spans="1:11" x14ac:dyDescent="0.25">
      <c r="A1230" s="131"/>
      <c r="C1230" s="133"/>
    </row>
    <row r="1231" spans="1:11" x14ac:dyDescent="0.25">
      <c r="A1231" s="114" t="s">
        <v>12</v>
      </c>
      <c r="B1231" s="550" t="s">
        <v>402</v>
      </c>
      <c r="C1231" s="221"/>
      <c r="D1231" s="221"/>
      <c r="E1231" s="221"/>
      <c r="F1231" s="221"/>
      <c r="G1231" s="221"/>
      <c r="H1231" s="221"/>
      <c r="I1231" s="221"/>
    </row>
    <row r="1232" spans="1:11" x14ac:dyDescent="0.25">
      <c r="A1232" s="72" t="s">
        <v>14</v>
      </c>
      <c r="B1232" s="362" t="s">
        <v>74</v>
      </c>
      <c r="C1232" s="274" t="s">
        <v>152</v>
      </c>
      <c r="D1232" s="221"/>
      <c r="E1232" s="221"/>
      <c r="F1232" s="221"/>
      <c r="G1232" s="221"/>
      <c r="H1232" s="221"/>
      <c r="I1232" s="221"/>
    </row>
    <row r="1233" spans="1:9" x14ac:dyDescent="0.25">
      <c r="A1233" s="32" t="s">
        <v>16</v>
      </c>
      <c r="B1233" s="342">
        <v>2016</v>
      </c>
      <c r="C1233" s="212">
        <v>2017</v>
      </c>
      <c r="D1233" s="212">
        <v>2018</v>
      </c>
      <c r="E1233" s="212">
        <v>2019</v>
      </c>
      <c r="F1233" s="212">
        <v>2020</v>
      </c>
      <c r="G1233" s="212">
        <v>2021</v>
      </c>
      <c r="H1233" s="212">
        <v>2022</v>
      </c>
      <c r="I1233" s="212">
        <v>2023</v>
      </c>
    </row>
    <row r="1234" spans="1:9" x14ac:dyDescent="0.25">
      <c r="A1234" s="46" t="s">
        <v>17</v>
      </c>
      <c r="B1234" s="215">
        <v>10</v>
      </c>
      <c r="C1234" s="215">
        <v>10</v>
      </c>
      <c r="D1234" s="215">
        <v>10</v>
      </c>
      <c r="E1234" s="215">
        <v>10</v>
      </c>
      <c r="F1234" s="215">
        <v>10</v>
      </c>
      <c r="G1234" s="215">
        <v>10</v>
      </c>
      <c r="H1234" s="215">
        <v>10</v>
      </c>
      <c r="I1234" s="215">
        <v>10</v>
      </c>
    </row>
    <row r="1235" spans="1:9" x14ac:dyDescent="0.25">
      <c r="A1235" s="46" t="s">
        <v>18</v>
      </c>
      <c r="B1235" s="215">
        <v>10</v>
      </c>
      <c r="C1235" s="215">
        <f>C1234+B1238</f>
        <v>-106.85</v>
      </c>
      <c r="D1235" s="215">
        <f>D1234+C1238</f>
        <v>-107.18599999999999</v>
      </c>
      <c r="E1235" s="215">
        <f>E1234+D1238</f>
        <v>-97.965349999999987</v>
      </c>
      <c r="F1235" s="215">
        <f>F1234+E1238</f>
        <v>-89.945349999999991</v>
      </c>
      <c r="G1235" s="215">
        <f>F1238+G1234</f>
        <v>-81.765349999999984</v>
      </c>
      <c r="H1235" s="45">
        <f xml:space="preserve"> 1.25*G1238+H1234</f>
        <v>-94.519187499999973</v>
      </c>
      <c r="I1235" s="45">
        <f>H1238+I1234</f>
        <v>-84.519187499999973</v>
      </c>
    </row>
    <row r="1236" spans="1:9" x14ac:dyDescent="0.25">
      <c r="A1236" s="46" t="s">
        <v>19</v>
      </c>
      <c r="B1236" s="231"/>
      <c r="C1236" s="231" t="s">
        <v>403</v>
      </c>
      <c r="D1236" s="231" t="s">
        <v>404</v>
      </c>
      <c r="E1236" s="231" t="s">
        <v>405</v>
      </c>
      <c r="F1236" s="231" t="s">
        <v>406</v>
      </c>
      <c r="G1236" s="231" t="s">
        <v>574</v>
      </c>
      <c r="H1236" s="231" t="s">
        <v>617</v>
      </c>
      <c r="I1236" s="231" t="s">
        <v>638</v>
      </c>
    </row>
    <row r="1237" spans="1:9" x14ac:dyDescent="0.25">
      <c r="A1237" s="46" t="s">
        <v>20</v>
      </c>
      <c r="B1237" s="231">
        <v>126.85</v>
      </c>
      <c r="C1237" s="231">
        <v>10.336</v>
      </c>
      <c r="D1237" s="231">
        <v>0.77934999999999999</v>
      </c>
      <c r="E1237" s="231">
        <v>1.98</v>
      </c>
      <c r="F1237" s="231">
        <v>1.82</v>
      </c>
      <c r="G1237" s="231">
        <v>1.85</v>
      </c>
      <c r="H1237" s="231">
        <v>0</v>
      </c>
      <c r="I1237" s="231"/>
    </row>
    <row r="1238" spans="1:9" x14ac:dyDescent="0.25">
      <c r="A1238" s="46" t="s">
        <v>21</v>
      </c>
      <c r="B1238" s="215">
        <f t="shared" ref="B1238:H1238" si="32">B1235-B1237</f>
        <v>-116.85</v>
      </c>
      <c r="C1238" s="215">
        <f t="shared" si="32"/>
        <v>-117.18599999999999</v>
      </c>
      <c r="D1238" s="215">
        <f t="shared" si="32"/>
        <v>-107.96534999999999</v>
      </c>
      <c r="E1238" s="215">
        <f t="shared" si="32"/>
        <v>-99.945349999999991</v>
      </c>
      <c r="F1238" s="215">
        <f t="shared" si="32"/>
        <v>-91.765349999999984</v>
      </c>
      <c r="G1238" s="215">
        <f t="shared" si="32"/>
        <v>-83.615349999999978</v>
      </c>
      <c r="H1238" s="45">
        <f t="shared" si="32"/>
        <v>-94.519187499999973</v>
      </c>
      <c r="I1238" s="215"/>
    </row>
    <row r="1239" spans="1:9" x14ac:dyDescent="0.25">
      <c r="A1239" s="49" t="s">
        <v>22</v>
      </c>
      <c r="B1239" s="422">
        <v>2017</v>
      </c>
      <c r="C1239" s="422">
        <v>2018</v>
      </c>
      <c r="D1239" s="422">
        <v>2019</v>
      </c>
      <c r="E1239" s="422">
        <v>2020</v>
      </c>
      <c r="F1239" s="422">
        <v>2021</v>
      </c>
      <c r="G1239" s="422">
        <v>2022</v>
      </c>
      <c r="H1239" s="422">
        <v>2023</v>
      </c>
      <c r="I1239" s="422">
        <v>2023</v>
      </c>
    </row>
    <row r="1240" spans="1:9" x14ac:dyDescent="0.25">
      <c r="A1240" s="49" t="s">
        <v>179</v>
      </c>
      <c r="B1240" s="219"/>
      <c r="C1240" s="219"/>
      <c r="D1240" s="219"/>
      <c r="E1240" s="219"/>
      <c r="F1240" s="219"/>
      <c r="G1240" s="219"/>
      <c r="H1240" s="219"/>
      <c r="I1240" s="217"/>
    </row>
    <row r="1241" spans="1:9" x14ac:dyDescent="0.25">
      <c r="A1241" s="5" t="s">
        <v>407</v>
      </c>
      <c r="B1241" s="221"/>
      <c r="C1241" s="221"/>
      <c r="D1241" s="221"/>
      <c r="E1241" s="221"/>
      <c r="F1241" s="221"/>
      <c r="G1241" s="221"/>
      <c r="H1241" s="221"/>
      <c r="I1241" s="222"/>
    </row>
    <row r="1242" spans="1:9" x14ac:dyDescent="0.25">
      <c r="A1242" s="5" t="s">
        <v>408</v>
      </c>
      <c r="B1242" s="221"/>
      <c r="C1242" s="221"/>
      <c r="D1242" s="221"/>
      <c r="E1242" s="221"/>
      <c r="F1242" s="221"/>
      <c r="G1242" s="221"/>
      <c r="H1242" s="221"/>
      <c r="I1242" s="222"/>
    </row>
    <row r="1243" spans="1:9" x14ac:dyDescent="0.25">
      <c r="A1243" s="5" t="s">
        <v>409</v>
      </c>
      <c r="B1243" s="221"/>
      <c r="C1243" s="221"/>
      <c r="D1243" s="221"/>
      <c r="E1243" s="221"/>
      <c r="F1243" s="221"/>
      <c r="G1243" s="221"/>
      <c r="H1243" s="221"/>
      <c r="I1243" s="222"/>
    </row>
    <row r="1244" spans="1:9" x14ac:dyDescent="0.25">
      <c r="A1244" s="5" t="s">
        <v>573</v>
      </c>
      <c r="B1244" s="221"/>
      <c r="C1244" s="398"/>
      <c r="D1244" s="221"/>
      <c r="E1244" s="221"/>
      <c r="F1244" s="221"/>
      <c r="G1244" s="221"/>
      <c r="H1244" s="221"/>
      <c r="I1244" s="222"/>
    </row>
    <row r="1245" spans="1:9" x14ac:dyDescent="0.25">
      <c r="A1245" s="5" t="s">
        <v>575</v>
      </c>
      <c r="C1245" s="133"/>
      <c r="I1245" s="21"/>
    </row>
    <row r="1246" spans="1:9" x14ac:dyDescent="0.25">
      <c r="A1246" s="653" t="s">
        <v>953</v>
      </c>
      <c r="C1246" s="133"/>
      <c r="I1246" s="21"/>
    </row>
    <row r="1247" spans="1:9" x14ac:dyDescent="0.25">
      <c r="A1247" s="71" t="s">
        <v>886</v>
      </c>
      <c r="B1247" s="33"/>
      <c r="C1247" s="130"/>
      <c r="D1247" s="33"/>
      <c r="E1247" s="33"/>
      <c r="F1247" s="33"/>
      <c r="G1247" s="33"/>
      <c r="H1247" s="33"/>
      <c r="I1247" s="34"/>
    </row>
    <row r="1248" spans="1:9" x14ac:dyDescent="0.25">
      <c r="A1248" s="131"/>
      <c r="C1248" s="133"/>
    </row>
    <row r="1250" spans="1:9" x14ac:dyDescent="0.25">
      <c r="A1250" s="114" t="s">
        <v>11</v>
      </c>
      <c r="B1250" s="548" t="s">
        <v>0</v>
      </c>
    </row>
    <row r="1251" spans="1:9" s="182" customFormat="1" x14ac:dyDescent="0.25">
      <c r="A1251" s="91" t="s">
        <v>1</v>
      </c>
      <c r="B1251" s="55" t="s">
        <v>637</v>
      </c>
      <c r="C1251" s="40" t="s">
        <v>2</v>
      </c>
      <c r="D1251" s="19"/>
      <c r="E1251" s="19"/>
      <c r="F1251" s="19"/>
      <c r="G1251" s="19"/>
    </row>
    <row r="1252" spans="1:9" s="182" customFormat="1" x14ac:dyDescent="0.25">
      <c r="A1252" s="46" t="s">
        <v>3</v>
      </c>
      <c r="B1252" s="51">
        <v>2017</v>
      </c>
      <c r="C1252" s="51">
        <v>2018</v>
      </c>
      <c r="D1252" s="88">
        <v>2019</v>
      </c>
      <c r="E1252" s="51">
        <v>2020</v>
      </c>
      <c r="F1252" s="51">
        <v>2021</v>
      </c>
      <c r="G1252" s="51">
        <v>2022</v>
      </c>
      <c r="H1252" s="51">
        <v>2023</v>
      </c>
      <c r="I1252" s="51">
        <v>2024</v>
      </c>
    </row>
    <row r="1253" spans="1:9" s="182" customFormat="1" x14ac:dyDescent="0.25">
      <c r="A1253" s="46" t="s">
        <v>4</v>
      </c>
      <c r="B1253" s="47">
        <v>200</v>
      </c>
      <c r="C1253" s="47">
        <v>200</v>
      </c>
      <c r="D1253" s="89">
        <v>215</v>
      </c>
      <c r="E1253" s="47">
        <v>215</v>
      </c>
      <c r="F1253" s="90">
        <v>242</v>
      </c>
      <c r="G1253" s="90">
        <v>242</v>
      </c>
      <c r="H1253" s="90">
        <v>242</v>
      </c>
      <c r="I1253" s="90">
        <v>242</v>
      </c>
    </row>
    <row r="1254" spans="1:9" s="182" customFormat="1" x14ac:dyDescent="0.25">
      <c r="A1254" s="46" t="s">
        <v>5</v>
      </c>
      <c r="B1254" s="47">
        <v>250</v>
      </c>
      <c r="C1254" s="47">
        <v>250</v>
      </c>
      <c r="D1254" s="89">
        <v>265</v>
      </c>
      <c r="E1254" s="47">
        <v>265</v>
      </c>
      <c r="F1254" s="90">
        <f>F1253+0.25*D1253</f>
        <v>295.75</v>
      </c>
      <c r="G1254" s="90">
        <f>G1253+0.25*E1253</f>
        <v>295.75</v>
      </c>
      <c r="H1254" s="90">
        <f>H1253+0.25*F1253</f>
        <v>302.5</v>
      </c>
      <c r="I1254" s="90">
        <f>I1253+0.25*G1253</f>
        <v>302.5</v>
      </c>
    </row>
    <row r="1255" spans="1:9" s="182" customFormat="1" x14ac:dyDescent="0.25">
      <c r="A1255" s="46" t="s">
        <v>6</v>
      </c>
      <c r="B1255" s="47"/>
      <c r="C1255" s="47"/>
      <c r="D1255" s="47"/>
      <c r="E1255" s="47"/>
      <c r="F1255" s="90"/>
      <c r="G1255" s="90"/>
      <c r="H1255" s="90"/>
      <c r="I1255" s="90"/>
    </row>
    <row r="1256" spans="1:9" s="182" customFormat="1" x14ac:dyDescent="0.25">
      <c r="A1256" s="46" t="s">
        <v>7</v>
      </c>
      <c r="B1256" s="47">
        <v>20</v>
      </c>
      <c r="C1256" s="47">
        <v>20</v>
      </c>
      <c r="D1256" s="47">
        <v>25</v>
      </c>
      <c r="E1256" s="47">
        <v>29</v>
      </c>
      <c r="F1256" s="90">
        <v>40</v>
      </c>
      <c r="G1256" s="90">
        <v>60</v>
      </c>
      <c r="H1256" s="90"/>
      <c r="I1256" s="90"/>
    </row>
    <row r="1257" spans="1:9" s="182" customFormat="1" x14ac:dyDescent="0.25">
      <c r="A1257" s="46" t="s">
        <v>8</v>
      </c>
      <c r="B1257" s="47">
        <v>230</v>
      </c>
      <c r="C1257" s="47">
        <v>230</v>
      </c>
      <c r="D1257" s="47">
        <v>240</v>
      </c>
      <c r="E1257" s="47">
        <v>236</v>
      </c>
      <c r="F1257" s="90">
        <f>F1254-F1256</f>
        <v>255.75</v>
      </c>
      <c r="G1257" s="90">
        <f>G1254-G1256</f>
        <v>235.75</v>
      </c>
      <c r="H1257" s="90"/>
      <c r="I1257" s="90"/>
    </row>
    <row r="1258" spans="1:9" s="182" customFormat="1" x14ac:dyDescent="0.25">
      <c r="A1258" s="49" t="s">
        <v>9</v>
      </c>
      <c r="B1258" s="57">
        <v>2019</v>
      </c>
      <c r="C1258" s="57">
        <v>2020</v>
      </c>
      <c r="D1258" s="79">
        <v>2021</v>
      </c>
      <c r="E1258" s="57">
        <v>2022</v>
      </c>
      <c r="F1258" s="80">
        <v>2023</v>
      </c>
      <c r="G1258" s="80">
        <v>2024</v>
      </c>
      <c r="H1258" s="80">
        <v>2025</v>
      </c>
      <c r="I1258" s="80">
        <v>2026</v>
      </c>
    </row>
    <row r="1259" spans="1:9" s="182" customFormat="1" x14ac:dyDescent="0.25">
      <c r="A1259" s="46" t="s">
        <v>10</v>
      </c>
      <c r="B1259" s="58"/>
      <c r="C1259" s="58"/>
      <c r="D1259" s="58"/>
      <c r="E1259" s="58"/>
      <c r="F1259" s="58"/>
      <c r="G1259" s="58"/>
      <c r="H1259" s="506"/>
      <c r="I1259" s="209"/>
    </row>
    <row r="1260" spans="1:9" s="182" customFormat="1" x14ac:dyDescent="0.25">
      <c r="A1260" s="730" t="s">
        <v>761</v>
      </c>
      <c r="B1260" s="731"/>
      <c r="C1260" s="731"/>
      <c r="D1260" s="731"/>
      <c r="E1260" s="731"/>
      <c r="F1260" s="731"/>
      <c r="G1260" s="731"/>
      <c r="I1260" s="208"/>
    </row>
    <row r="1261" spans="1:9" s="182" customFormat="1" x14ac:dyDescent="0.25">
      <c r="A1261" s="730" t="s">
        <v>762</v>
      </c>
      <c r="B1261" s="731"/>
      <c r="C1261" s="731"/>
      <c r="D1261" s="731"/>
      <c r="E1261" s="731"/>
      <c r="F1261" s="731"/>
      <c r="G1261" s="731"/>
      <c r="I1261" s="208"/>
    </row>
    <row r="1262" spans="1:9" s="182" customFormat="1" x14ac:dyDescent="0.25">
      <c r="A1262" s="730" t="s">
        <v>763</v>
      </c>
      <c r="B1262" s="731"/>
      <c r="C1262" s="731"/>
      <c r="D1262" s="731"/>
      <c r="E1262" s="731"/>
      <c r="F1262" s="731"/>
      <c r="G1262" s="731"/>
      <c r="I1262" s="208"/>
    </row>
    <row r="1263" spans="1:9" x14ac:dyDescent="0.25">
      <c r="A1263" s="730" t="s">
        <v>764</v>
      </c>
      <c r="B1263" s="731"/>
      <c r="C1263" s="731"/>
      <c r="D1263" s="731"/>
      <c r="E1263" s="731"/>
      <c r="F1263" s="731"/>
      <c r="G1263" s="731"/>
      <c r="I1263" s="21"/>
    </row>
    <row r="1264" spans="1:9" x14ac:dyDescent="0.25">
      <c r="A1264" s="504" t="s">
        <v>760</v>
      </c>
      <c r="B1264" s="503"/>
      <c r="C1264" s="503"/>
      <c r="D1264" s="503"/>
      <c r="E1264" s="503"/>
      <c r="F1264" s="503"/>
      <c r="G1264" s="503"/>
      <c r="H1264" s="33"/>
      <c r="I1264" s="34"/>
    </row>
    <row r="1265" spans="1:9" x14ac:dyDescent="0.25">
      <c r="A1265" s="360"/>
      <c r="B1265" s="360"/>
      <c r="C1265" s="221"/>
      <c r="D1265" s="221"/>
      <c r="E1265" s="221"/>
      <c r="F1265" s="221"/>
      <c r="G1265" s="221"/>
      <c r="H1265" s="221"/>
    </row>
    <row r="1266" spans="1:9" x14ac:dyDescent="0.25">
      <c r="A1266" s="260" t="s">
        <v>1</v>
      </c>
      <c r="B1266" s="274" t="s">
        <v>636</v>
      </c>
      <c r="C1266" s="262" t="s">
        <v>2</v>
      </c>
      <c r="D1266" s="221"/>
      <c r="E1266" s="221"/>
      <c r="F1266" s="221"/>
      <c r="G1266" s="221"/>
      <c r="H1266" s="221"/>
    </row>
    <row r="1267" spans="1:9" x14ac:dyDescent="0.25">
      <c r="A1267" s="263" t="s">
        <v>3</v>
      </c>
      <c r="B1267" s="212">
        <v>2017</v>
      </c>
      <c r="C1267" s="212">
        <v>2018</v>
      </c>
      <c r="D1267" s="275">
        <v>2019</v>
      </c>
      <c r="E1267" s="212">
        <v>2020</v>
      </c>
      <c r="F1267" s="212">
        <v>2021</v>
      </c>
      <c r="G1267" s="212">
        <v>2022</v>
      </c>
      <c r="H1267" s="212">
        <v>2023</v>
      </c>
      <c r="I1267" s="212">
        <v>2024</v>
      </c>
    </row>
    <row r="1268" spans="1:9" x14ac:dyDescent="0.25">
      <c r="A1268" s="263" t="s">
        <v>4</v>
      </c>
      <c r="B1268" s="231">
        <v>850</v>
      </c>
      <c r="C1268" s="231">
        <v>850</v>
      </c>
      <c r="D1268" s="277">
        <v>850</v>
      </c>
      <c r="E1268" s="231">
        <v>850</v>
      </c>
      <c r="F1268" s="213">
        <v>850</v>
      </c>
      <c r="G1268" s="213">
        <v>850</v>
      </c>
      <c r="H1268" s="213">
        <v>850</v>
      </c>
      <c r="I1268" s="213" t="s">
        <v>765</v>
      </c>
    </row>
    <row r="1269" spans="1:9" x14ac:dyDescent="0.25">
      <c r="A1269" s="263" t="s">
        <v>5</v>
      </c>
      <c r="B1269" s="231">
        <v>950</v>
      </c>
      <c r="C1269" s="231">
        <v>900</v>
      </c>
      <c r="D1269" s="277">
        <v>1000</v>
      </c>
      <c r="E1269" s="231">
        <v>995</v>
      </c>
      <c r="F1269" s="213">
        <v>1095</v>
      </c>
      <c r="G1269" s="213">
        <f>G1268+E1272+150+20+25</f>
        <v>1104.1799999999998</v>
      </c>
      <c r="H1269" s="213">
        <f>H1268+0.15*F1268+150+20+25</f>
        <v>1172.5</v>
      </c>
      <c r="I1269" s="213" t="s">
        <v>766</v>
      </c>
    </row>
    <row r="1270" spans="1:9" x14ac:dyDescent="0.25">
      <c r="A1270" s="263" t="s">
        <v>6</v>
      </c>
      <c r="B1270" s="231"/>
      <c r="C1270" s="231"/>
      <c r="D1270" s="277"/>
      <c r="E1270" s="231"/>
      <c r="F1270" s="213"/>
      <c r="G1270" s="213"/>
      <c r="H1270" s="213"/>
      <c r="I1270" s="213"/>
    </row>
    <row r="1271" spans="1:9" x14ac:dyDescent="0.25">
      <c r="A1271" s="263" t="s">
        <v>7</v>
      </c>
      <c r="B1271" s="231">
        <v>900</v>
      </c>
      <c r="C1271" s="231">
        <v>950</v>
      </c>
      <c r="D1271" s="277">
        <v>950</v>
      </c>
      <c r="E1271" s="231">
        <v>935.82</v>
      </c>
      <c r="F1271" s="213">
        <v>955.3</v>
      </c>
      <c r="G1271" s="213">
        <v>1085.3699999999999</v>
      </c>
      <c r="H1271" s="213"/>
      <c r="I1271" s="213"/>
    </row>
    <row r="1272" spans="1:9" x14ac:dyDescent="0.25">
      <c r="A1272" s="263" t="s">
        <v>8</v>
      </c>
      <c r="B1272" s="231">
        <f t="shared" ref="B1272:G1272" si="33">B1269-B1271</f>
        <v>50</v>
      </c>
      <c r="C1272" s="231">
        <f t="shared" si="33"/>
        <v>-50</v>
      </c>
      <c r="D1272" s="231">
        <f t="shared" si="33"/>
        <v>50</v>
      </c>
      <c r="E1272" s="231">
        <f t="shared" si="33"/>
        <v>59.17999999999995</v>
      </c>
      <c r="F1272" s="213">
        <f t="shared" si="33"/>
        <v>139.70000000000005</v>
      </c>
      <c r="G1272" s="213">
        <f t="shared" si="33"/>
        <v>18.809999999999945</v>
      </c>
      <c r="H1272" s="213"/>
      <c r="I1272" s="213"/>
    </row>
    <row r="1273" spans="1:9" ht="13.2" customHeight="1" x14ac:dyDescent="0.25">
      <c r="A1273" s="218" t="s">
        <v>9</v>
      </c>
      <c r="B1273" s="244">
        <v>2019</v>
      </c>
      <c r="C1273" s="244">
        <v>2020</v>
      </c>
      <c r="D1273" s="280">
        <v>2021</v>
      </c>
      <c r="E1273" s="244">
        <v>2022</v>
      </c>
      <c r="F1273" s="245">
        <v>2023</v>
      </c>
      <c r="G1273" s="245">
        <v>2024</v>
      </c>
      <c r="H1273" s="245">
        <v>2025</v>
      </c>
      <c r="I1273" s="245">
        <v>2026</v>
      </c>
    </row>
    <row r="1274" spans="1:9" ht="13.2" customHeight="1" x14ac:dyDescent="0.25">
      <c r="A1274" s="263" t="s">
        <v>10</v>
      </c>
      <c r="B1274" s="507"/>
      <c r="C1274" s="507"/>
      <c r="D1274" s="507"/>
      <c r="E1274" s="507"/>
      <c r="F1274" s="507"/>
      <c r="G1274" s="507"/>
      <c r="H1274" s="507"/>
      <c r="I1274" s="232"/>
    </row>
    <row r="1275" spans="1:9" x14ac:dyDescent="0.25">
      <c r="A1275" s="220" t="s">
        <v>768</v>
      </c>
      <c r="B1275" s="221"/>
      <c r="C1275" s="221"/>
      <c r="D1275" s="221"/>
      <c r="E1275" s="221"/>
      <c r="F1275" s="221"/>
      <c r="G1275" s="221"/>
      <c r="H1275" s="221"/>
      <c r="I1275" s="21"/>
    </row>
    <row r="1276" spans="1:9" x14ac:dyDescent="0.25">
      <c r="A1276" s="220" t="s">
        <v>769</v>
      </c>
      <c r="B1276" s="221"/>
      <c r="C1276" s="221"/>
      <c r="D1276" s="221"/>
      <c r="E1276" s="221"/>
      <c r="F1276" s="221"/>
      <c r="G1276" s="221"/>
      <c r="H1276" s="221"/>
      <c r="I1276" s="21"/>
    </row>
    <row r="1277" spans="1:9" x14ac:dyDescent="0.25">
      <c r="A1277" s="271" t="s">
        <v>770</v>
      </c>
      <c r="B1277" s="272"/>
      <c r="C1277" s="272"/>
      <c r="D1277" s="272"/>
      <c r="E1277" s="272"/>
      <c r="F1277" s="272"/>
      <c r="G1277" s="272"/>
      <c r="H1277" s="272"/>
      <c r="I1277" s="21"/>
    </row>
    <row r="1278" spans="1:9" x14ac:dyDescent="0.25">
      <c r="A1278" s="220" t="s">
        <v>771</v>
      </c>
      <c r="B1278" s="221"/>
      <c r="C1278" s="221"/>
      <c r="D1278" s="221"/>
      <c r="E1278" s="221"/>
      <c r="F1278" s="221"/>
      <c r="G1278" s="221"/>
      <c r="H1278" s="221"/>
      <c r="I1278" s="21"/>
    </row>
    <row r="1279" spans="1:9" x14ac:dyDescent="0.25">
      <c r="A1279" s="220" t="s">
        <v>772</v>
      </c>
      <c r="B1279" s="221"/>
      <c r="C1279" s="221"/>
      <c r="D1279" s="221"/>
      <c r="E1279" s="221"/>
      <c r="F1279" s="221"/>
      <c r="G1279" s="221"/>
      <c r="H1279" s="221"/>
      <c r="I1279" s="21"/>
    </row>
    <row r="1280" spans="1:9" x14ac:dyDescent="0.25">
      <c r="A1280" s="220" t="s">
        <v>773</v>
      </c>
      <c r="B1280" s="221"/>
      <c r="C1280" s="221"/>
      <c r="D1280" s="221"/>
      <c r="E1280" s="221"/>
      <c r="F1280" s="221"/>
      <c r="G1280" s="221"/>
      <c r="H1280" s="221"/>
      <c r="I1280" s="21"/>
    </row>
    <row r="1281" spans="1:9" x14ac:dyDescent="0.25">
      <c r="A1281" s="233" t="s">
        <v>767</v>
      </c>
      <c r="B1281" s="281"/>
      <c r="C1281" s="281"/>
      <c r="D1281" s="281"/>
      <c r="E1281" s="281"/>
      <c r="F1281" s="281"/>
      <c r="G1281" s="281"/>
      <c r="H1281" s="281"/>
      <c r="I1281" s="34"/>
    </row>
    <row r="1283" spans="1:9" x14ac:dyDescent="0.25">
      <c r="A1283" s="91" t="s">
        <v>1</v>
      </c>
      <c r="B1283" s="55" t="s">
        <v>655</v>
      </c>
      <c r="C1283" s="40" t="s">
        <v>2</v>
      </c>
    </row>
    <row r="1284" spans="1:9" x14ac:dyDescent="0.25">
      <c r="A1284" s="46" t="s">
        <v>3</v>
      </c>
      <c r="B1284" s="22"/>
      <c r="C1284" s="54"/>
      <c r="D1284" s="58"/>
      <c r="E1284" s="51">
        <v>2020</v>
      </c>
      <c r="F1284" s="51">
        <v>2021</v>
      </c>
      <c r="G1284" s="51">
        <v>2022</v>
      </c>
      <c r="H1284" s="51">
        <v>2023</v>
      </c>
    </row>
    <row r="1285" spans="1:9" x14ac:dyDescent="0.25">
      <c r="A1285" s="46" t="s">
        <v>4</v>
      </c>
      <c r="B1285" s="22"/>
      <c r="C1285" s="184"/>
      <c r="D1285" s="92"/>
      <c r="E1285" s="23">
        <v>3284</v>
      </c>
      <c r="F1285" s="93">
        <v>3284</v>
      </c>
      <c r="G1285" s="93">
        <v>3284</v>
      </c>
      <c r="H1285" s="93">
        <v>3284</v>
      </c>
    </row>
    <row r="1286" spans="1:9" x14ac:dyDescent="0.25">
      <c r="A1286" s="46" t="s">
        <v>5</v>
      </c>
      <c r="B1286" s="22"/>
      <c r="C1286" s="184"/>
      <c r="D1286" s="92"/>
      <c r="E1286" s="23">
        <v>3488.62</v>
      </c>
      <c r="F1286" s="93">
        <v>3318.91</v>
      </c>
      <c r="G1286" s="93">
        <f>G1285+F1289+259.62</f>
        <v>3568.2699999999995</v>
      </c>
      <c r="H1286" s="93">
        <f>H1285+G1289+259.62</f>
        <v>3546.8399999999992</v>
      </c>
    </row>
    <row r="1287" spans="1:9" x14ac:dyDescent="0.25">
      <c r="A1287" s="46" t="s">
        <v>6</v>
      </c>
      <c r="B1287" s="22"/>
      <c r="C1287" s="184"/>
      <c r="D1287" s="92"/>
      <c r="E1287" s="23"/>
      <c r="F1287" s="93"/>
      <c r="G1287" s="93"/>
      <c r="H1287" s="93"/>
    </row>
    <row r="1288" spans="1:9" x14ac:dyDescent="0.25">
      <c r="A1288" s="46" t="s">
        <v>7</v>
      </c>
      <c r="B1288" s="22"/>
      <c r="C1288" s="184"/>
      <c r="D1288" s="92"/>
      <c r="E1288" s="23">
        <v>3453.71</v>
      </c>
      <c r="F1288" s="93">
        <v>3294.26</v>
      </c>
      <c r="G1288" s="93">
        <v>3565.05</v>
      </c>
      <c r="H1288" s="93"/>
    </row>
    <row r="1289" spans="1:9" x14ac:dyDescent="0.25">
      <c r="A1289" s="46" t="s">
        <v>8</v>
      </c>
      <c r="B1289" s="22"/>
      <c r="C1289" s="184"/>
      <c r="D1289" s="92"/>
      <c r="E1289" s="23">
        <v>34.909999999999997</v>
      </c>
      <c r="F1289" s="93">
        <f>F1286-F1288</f>
        <v>24.649999999999636</v>
      </c>
      <c r="G1289" s="93">
        <f>G1286-G1288</f>
        <v>3.2199999999993452</v>
      </c>
      <c r="H1289" s="93"/>
    </row>
    <row r="1290" spans="1:9" x14ac:dyDescent="0.25">
      <c r="A1290" s="49" t="s">
        <v>9</v>
      </c>
      <c r="B1290" s="36"/>
      <c r="C1290" s="57"/>
      <c r="D1290" s="30"/>
      <c r="E1290" s="57">
        <v>2021</v>
      </c>
      <c r="F1290" s="80">
        <v>2022</v>
      </c>
      <c r="G1290" s="80">
        <v>2023</v>
      </c>
      <c r="H1290" s="80">
        <v>2024</v>
      </c>
    </row>
    <row r="1291" spans="1:9" x14ac:dyDescent="0.25">
      <c r="A1291" s="46" t="s">
        <v>10</v>
      </c>
      <c r="B1291" s="58"/>
      <c r="C1291" s="58"/>
      <c r="D1291" s="58"/>
      <c r="E1291" s="58"/>
      <c r="F1291" s="58"/>
      <c r="G1291" s="58"/>
      <c r="H1291" s="56"/>
    </row>
    <row r="1292" spans="1:9" x14ac:dyDescent="0.25">
      <c r="A1292" s="1" t="s">
        <v>775</v>
      </c>
      <c r="B1292" s="30"/>
      <c r="C1292" s="30"/>
      <c r="D1292" s="30"/>
      <c r="E1292" s="30"/>
      <c r="F1292" s="30"/>
      <c r="G1292" s="30"/>
      <c r="H1292" s="31"/>
    </row>
    <row r="1293" spans="1:9" x14ac:dyDescent="0.25">
      <c r="A1293" s="210" t="s">
        <v>776</v>
      </c>
      <c r="H1293" s="21"/>
    </row>
    <row r="1294" spans="1:9" x14ac:dyDescent="0.25">
      <c r="A1294" s="210" t="s">
        <v>777</v>
      </c>
      <c r="B1294" s="505"/>
      <c r="C1294" s="505"/>
      <c r="D1294" s="505"/>
      <c r="E1294" s="505"/>
      <c r="F1294" s="505"/>
      <c r="G1294" s="505"/>
      <c r="H1294" s="21"/>
    </row>
    <row r="1295" spans="1:9" x14ac:dyDescent="0.25">
      <c r="A1295" s="32" t="s">
        <v>774</v>
      </c>
      <c r="B1295" s="33"/>
      <c r="C1295" s="33"/>
      <c r="D1295" s="33"/>
      <c r="E1295" s="33"/>
      <c r="F1295" s="33"/>
      <c r="G1295" s="33"/>
      <c r="H1295" s="34"/>
    </row>
    <row r="1296" spans="1:9" x14ac:dyDescent="0.25">
      <c r="A1296" s="32"/>
      <c r="B1296" s="33"/>
      <c r="C1296" s="33"/>
    </row>
    <row r="1297" spans="1:9" x14ac:dyDescent="0.25">
      <c r="A1297" s="72" t="s">
        <v>1</v>
      </c>
      <c r="B1297" s="70" t="s">
        <v>74</v>
      </c>
      <c r="C1297" s="194" t="s">
        <v>2</v>
      </c>
    </row>
    <row r="1298" spans="1:9" x14ac:dyDescent="0.25">
      <c r="A1298" s="46" t="s">
        <v>3</v>
      </c>
      <c r="B1298" s="51">
        <v>2017</v>
      </c>
      <c r="C1298" s="51">
        <v>2018</v>
      </c>
      <c r="D1298" s="88">
        <v>2019</v>
      </c>
      <c r="E1298" s="51">
        <v>2020</v>
      </c>
      <c r="F1298" s="51">
        <v>2021</v>
      </c>
      <c r="G1298" s="51">
        <v>2022</v>
      </c>
      <c r="H1298" s="51">
        <v>2023</v>
      </c>
      <c r="I1298" s="51">
        <v>2024</v>
      </c>
    </row>
    <row r="1299" spans="1:9" x14ac:dyDescent="0.25">
      <c r="A1299" s="46" t="s">
        <v>4</v>
      </c>
      <c r="B1299" s="23">
        <v>10</v>
      </c>
      <c r="C1299" s="184">
        <v>10</v>
      </c>
      <c r="D1299" s="92">
        <v>10</v>
      </c>
      <c r="E1299" s="23">
        <v>10</v>
      </c>
      <c r="F1299" s="93">
        <v>10</v>
      </c>
      <c r="G1299" s="93">
        <v>10</v>
      </c>
      <c r="H1299" s="93">
        <v>10</v>
      </c>
      <c r="I1299" s="93">
        <v>10</v>
      </c>
    </row>
    <row r="1300" spans="1:9" x14ac:dyDescent="0.25">
      <c r="A1300" s="46" t="s">
        <v>5</v>
      </c>
      <c r="B1300" s="23">
        <v>10</v>
      </c>
      <c r="C1300" s="184">
        <v>-62</v>
      </c>
      <c r="D1300" s="92">
        <v>-52</v>
      </c>
      <c r="E1300" s="23">
        <v>-42</v>
      </c>
      <c r="F1300" s="93">
        <v>-32</v>
      </c>
      <c r="G1300" s="93">
        <v>-22</v>
      </c>
      <c r="H1300" s="93">
        <v>-12</v>
      </c>
      <c r="I1300" s="93">
        <v>8</v>
      </c>
    </row>
    <row r="1301" spans="1:9" x14ac:dyDescent="0.25">
      <c r="A1301" s="46" t="s">
        <v>6</v>
      </c>
      <c r="B1301" s="23"/>
      <c r="C1301" s="184"/>
      <c r="D1301" s="92"/>
      <c r="E1301" s="23"/>
      <c r="F1301" s="93"/>
      <c r="G1301" s="93"/>
      <c r="H1301" s="93"/>
      <c r="I1301" s="93"/>
    </row>
    <row r="1302" spans="1:9" x14ac:dyDescent="0.25">
      <c r="A1302" s="46" t="s">
        <v>7</v>
      </c>
      <c r="B1302" s="23">
        <v>82</v>
      </c>
      <c r="C1302" s="184">
        <v>0</v>
      </c>
      <c r="D1302" s="92">
        <v>0</v>
      </c>
      <c r="E1302" s="23">
        <v>0</v>
      </c>
      <c r="F1302" s="93">
        <v>0</v>
      </c>
      <c r="G1302" s="93">
        <v>0</v>
      </c>
      <c r="H1302" s="93"/>
      <c r="I1302" s="93"/>
    </row>
    <row r="1303" spans="1:9" x14ac:dyDescent="0.25">
      <c r="A1303" s="46" t="s">
        <v>8</v>
      </c>
      <c r="B1303" s="23">
        <v>-72</v>
      </c>
      <c r="C1303" s="184">
        <v>-62</v>
      </c>
      <c r="D1303" s="92">
        <v>-52</v>
      </c>
      <c r="E1303" s="23">
        <v>-42</v>
      </c>
      <c r="F1303" s="93">
        <v>-32</v>
      </c>
      <c r="G1303" s="93">
        <v>-22</v>
      </c>
      <c r="H1303" s="93"/>
      <c r="I1303" s="93"/>
    </row>
    <row r="1304" spans="1:9" x14ac:dyDescent="0.25">
      <c r="A1304" s="49" t="s">
        <v>9</v>
      </c>
      <c r="B1304" s="57">
        <v>2018</v>
      </c>
      <c r="C1304" s="57">
        <v>2019</v>
      </c>
      <c r="D1304" s="57">
        <v>2020</v>
      </c>
      <c r="E1304" s="57">
        <v>2021</v>
      </c>
      <c r="F1304" s="57">
        <v>2022</v>
      </c>
      <c r="G1304" s="57">
        <v>2023</v>
      </c>
      <c r="H1304" s="57">
        <v>2024</v>
      </c>
      <c r="I1304" s="57">
        <v>2025</v>
      </c>
    </row>
    <row r="1305" spans="1:9" x14ac:dyDescent="0.25">
      <c r="A1305" s="46" t="s">
        <v>10</v>
      </c>
      <c r="B1305" s="58"/>
      <c r="C1305" s="58"/>
      <c r="D1305" s="58"/>
      <c r="E1305" s="58"/>
      <c r="F1305" s="58"/>
      <c r="G1305" s="58"/>
      <c r="H1305" s="58"/>
      <c r="I1305" s="56"/>
    </row>
    <row r="1306" spans="1:9" x14ac:dyDescent="0.25">
      <c r="A1306" s="5" t="s">
        <v>779</v>
      </c>
      <c r="B1306" s="4"/>
      <c r="C1306" s="4"/>
      <c r="D1306" s="4"/>
      <c r="E1306" s="4"/>
      <c r="F1306" s="4"/>
      <c r="I1306" s="21"/>
    </row>
    <row r="1307" spans="1:9" x14ac:dyDescent="0.25">
      <c r="A1307" s="20" t="s">
        <v>780</v>
      </c>
      <c r="B1307" s="4"/>
      <c r="C1307" s="4"/>
      <c r="D1307" s="4"/>
      <c r="E1307" s="4"/>
      <c r="F1307" s="4"/>
      <c r="I1307" s="21"/>
    </row>
    <row r="1308" spans="1:9" x14ac:dyDescent="0.25">
      <c r="A1308" s="5" t="s">
        <v>781</v>
      </c>
      <c r="B1308" s="4"/>
      <c r="C1308" s="4"/>
      <c r="D1308" s="4"/>
      <c r="E1308" s="4"/>
      <c r="F1308" s="4"/>
      <c r="I1308" s="21"/>
    </row>
    <row r="1309" spans="1:9" x14ac:dyDescent="0.25">
      <c r="A1309" s="20" t="s">
        <v>782</v>
      </c>
      <c r="I1309" s="21"/>
    </row>
    <row r="1310" spans="1:9" x14ac:dyDescent="0.25">
      <c r="A1310" s="32" t="s">
        <v>778</v>
      </c>
      <c r="B1310" s="33"/>
      <c r="C1310" s="33"/>
      <c r="D1310" s="33"/>
      <c r="E1310" s="33"/>
      <c r="F1310" s="33"/>
      <c r="G1310" s="33"/>
      <c r="H1310" s="33"/>
      <c r="I1310" s="34"/>
    </row>
    <row r="1313" spans="1:12" x14ac:dyDescent="0.25">
      <c r="A1313" s="114" t="s">
        <v>24</v>
      </c>
      <c r="B1313" s="548" t="s">
        <v>25</v>
      </c>
    </row>
    <row r="1314" spans="1:12" x14ac:dyDescent="0.25">
      <c r="A1314" s="72" t="s">
        <v>14</v>
      </c>
      <c r="B1314" s="70" t="s">
        <v>637</v>
      </c>
      <c r="C1314" s="104" t="s">
        <v>26</v>
      </c>
    </row>
    <row r="1315" spans="1:12" x14ac:dyDescent="0.25">
      <c r="A1315" s="52" t="s">
        <v>27</v>
      </c>
      <c r="B1315" s="101">
        <v>2016</v>
      </c>
      <c r="C1315" s="51">
        <v>2017</v>
      </c>
      <c r="D1315" s="64">
        <v>2018</v>
      </c>
      <c r="E1315" s="51">
        <v>2019</v>
      </c>
      <c r="F1315" s="51">
        <v>2020</v>
      </c>
      <c r="G1315" s="51">
        <v>2021</v>
      </c>
      <c r="H1315" s="51">
        <v>2022</v>
      </c>
      <c r="I1315" s="51">
        <v>2023</v>
      </c>
    </row>
    <row r="1316" spans="1:12" x14ac:dyDescent="0.25">
      <c r="A1316" s="22" t="s">
        <v>28</v>
      </c>
      <c r="B1316" s="29">
        <v>200</v>
      </c>
      <c r="C1316" s="29">
        <v>200</v>
      </c>
      <c r="D1316" s="29">
        <v>200</v>
      </c>
      <c r="E1316" s="29">
        <v>215</v>
      </c>
      <c r="F1316" s="23">
        <v>215</v>
      </c>
      <c r="G1316" s="22">
        <v>242</v>
      </c>
      <c r="H1316" s="22">
        <v>242</v>
      </c>
      <c r="I1316" s="22">
        <v>242</v>
      </c>
    </row>
    <row r="1317" spans="1:12" x14ac:dyDescent="0.25">
      <c r="A1317" s="22" t="s">
        <v>29</v>
      </c>
      <c r="B1317" s="29">
        <f>200+200*0.25</f>
        <v>250</v>
      </c>
      <c r="C1317" s="29">
        <f>200+200*0.25</f>
        <v>250</v>
      </c>
      <c r="D1317" s="29">
        <f t="shared" ref="D1317:I1317" si="34">D1316+B1316*0.25</f>
        <v>250</v>
      </c>
      <c r="E1317" s="29">
        <f t="shared" si="34"/>
        <v>265</v>
      </c>
      <c r="F1317" s="29">
        <f t="shared" si="34"/>
        <v>265</v>
      </c>
      <c r="G1317" s="29">
        <f t="shared" si="34"/>
        <v>295.75</v>
      </c>
      <c r="H1317" s="29">
        <f t="shared" si="34"/>
        <v>295.75</v>
      </c>
      <c r="I1317" s="29">
        <f t="shared" si="34"/>
        <v>302.5</v>
      </c>
    </row>
    <row r="1318" spans="1:12" x14ac:dyDescent="0.25">
      <c r="A1318" s="22" t="s">
        <v>30</v>
      </c>
      <c r="B1318" s="27" t="s">
        <v>414</v>
      </c>
      <c r="C1318" s="27" t="s">
        <v>414</v>
      </c>
      <c r="D1318" s="27" t="s">
        <v>414</v>
      </c>
      <c r="E1318" s="27" t="s">
        <v>415</v>
      </c>
      <c r="F1318" s="27" t="s">
        <v>415</v>
      </c>
      <c r="G1318" s="27" t="s">
        <v>436</v>
      </c>
      <c r="H1318" s="27" t="s">
        <v>436</v>
      </c>
      <c r="I1318" s="27" t="s">
        <v>843</v>
      </c>
    </row>
    <row r="1319" spans="1:12" x14ac:dyDescent="0.25">
      <c r="A1319" s="22" t="s">
        <v>31</v>
      </c>
      <c r="B1319" s="29">
        <v>2.19</v>
      </c>
      <c r="C1319" s="29">
        <v>0.38</v>
      </c>
      <c r="D1319" s="29">
        <v>7.19</v>
      </c>
      <c r="E1319" s="29">
        <v>0.28999999999999998</v>
      </c>
      <c r="F1319" s="23">
        <v>1.45</v>
      </c>
      <c r="G1319" s="22">
        <v>0.72</v>
      </c>
      <c r="H1319" s="22">
        <v>0.64</v>
      </c>
      <c r="I1319" s="22"/>
    </row>
    <row r="1320" spans="1:12" x14ac:dyDescent="0.25">
      <c r="A1320" s="22" t="s">
        <v>32</v>
      </c>
      <c r="B1320" s="29">
        <f t="shared" ref="B1320:H1320" si="35">B1317-B1319</f>
        <v>247.81</v>
      </c>
      <c r="C1320" s="29">
        <f t="shared" si="35"/>
        <v>249.62</v>
      </c>
      <c r="D1320" s="29">
        <f t="shared" si="35"/>
        <v>242.81</v>
      </c>
      <c r="E1320" s="29">
        <f t="shared" si="35"/>
        <v>264.70999999999998</v>
      </c>
      <c r="F1320" s="29">
        <f t="shared" si="35"/>
        <v>263.55</v>
      </c>
      <c r="G1320" s="23">
        <f t="shared" si="35"/>
        <v>295.02999999999997</v>
      </c>
      <c r="H1320" s="23">
        <f t="shared" si="35"/>
        <v>295.11</v>
      </c>
      <c r="I1320" s="23"/>
    </row>
    <row r="1321" spans="1:12" x14ac:dyDescent="0.25">
      <c r="A1321" s="49" t="s">
        <v>33</v>
      </c>
      <c r="B1321" s="57">
        <v>2018</v>
      </c>
      <c r="C1321" s="57">
        <v>2019</v>
      </c>
      <c r="D1321" s="108">
        <v>2020</v>
      </c>
      <c r="E1321" s="57">
        <v>2021</v>
      </c>
      <c r="F1321" s="57">
        <v>2022</v>
      </c>
      <c r="G1321" s="36">
        <v>2023</v>
      </c>
      <c r="H1321" s="36">
        <v>2024</v>
      </c>
      <c r="I1321" s="36">
        <v>2025</v>
      </c>
    </row>
    <row r="1322" spans="1:12" ht="13.2" customHeight="1" x14ac:dyDescent="0.25">
      <c r="A1322" s="46" t="s">
        <v>135</v>
      </c>
      <c r="B1322" s="58"/>
      <c r="C1322" s="58"/>
      <c r="D1322" s="58"/>
      <c r="E1322" s="58"/>
      <c r="F1322" s="58"/>
      <c r="G1322" s="58"/>
      <c r="H1322" s="56"/>
      <c r="I1322" s="56"/>
      <c r="J1322" s="66"/>
    </row>
    <row r="1323" spans="1:12" x14ac:dyDescent="0.25">
      <c r="A1323" s="18"/>
      <c r="B1323" s="18"/>
    </row>
    <row r="1324" spans="1:12" x14ac:dyDescent="0.25">
      <c r="A1324" s="91" t="s">
        <v>14</v>
      </c>
      <c r="B1324" s="55" t="s">
        <v>636</v>
      </c>
      <c r="C1324" s="104" t="s">
        <v>26</v>
      </c>
    </row>
    <row r="1325" spans="1:12" x14ac:dyDescent="0.25">
      <c r="A1325" s="52" t="s">
        <v>27</v>
      </c>
      <c r="B1325" s="101">
        <v>2013</v>
      </c>
      <c r="C1325" s="51">
        <v>2014</v>
      </c>
      <c r="D1325" s="64">
        <v>2015</v>
      </c>
      <c r="E1325" s="51">
        <v>2016</v>
      </c>
      <c r="F1325" s="51">
        <v>2017</v>
      </c>
      <c r="G1325" s="64">
        <v>2018</v>
      </c>
      <c r="H1325" s="51">
        <v>2019</v>
      </c>
      <c r="I1325" s="51">
        <v>2020</v>
      </c>
      <c r="J1325" s="51">
        <v>2021</v>
      </c>
      <c r="K1325" s="51">
        <v>2022</v>
      </c>
      <c r="L1325" s="51">
        <v>2023</v>
      </c>
    </row>
    <row r="1326" spans="1:12" x14ac:dyDescent="0.25">
      <c r="A1326" s="22" t="s">
        <v>28</v>
      </c>
      <c r="B1326" s="23">
        <v>200</v>
      </c>
      <c r="C1326" s="23">
        <v>200</v>
      </c>
      <c r="D1326" s="29">
        <v>200</v>
      </c>
      <c r="E1326" s="29">
        <v>200</v>
      </c>
      <c r="F1326" s="29">
        <v>200</v>
      </c>
      <c r="G1326" s="29">
        <v>200</v>
      </c>
      <c r="H1326" s="29">
        <v>200</v>
      </c>
      <c r="I1326" s="23">
        <v>200</v>
      </c>
      <c r="J1326" s="23">
        <v>200</v>
      </c>
      <c r="K1326" s="23">
        <v>200</v>
      </c>
      <c r="L1326" s="23">
        <v>200</v>
      </c>
    </row>
    <row r="1327" spans="1:12" x14ac:dyDescent="0.25">
      <c r="A1327" s="22" t="s">
        <v>29</v>
      </c>
      <c r="B1327" s="47">
        <f>(B1328)</f>
        <v>300</v>
      </c>
      <c r="C1327" s="47">
        <f>(C1328)</f>
        <v>300</v>
      </c>
      <c r="D1327" s="29">
        <v>300</v>
      </c>
      <c r="E1327" s="29">
        <v>300</v>
      </c>
      <c r="F1327" s="29">
        <v>300</v>
      </c>
      <c r="G1327" s="29">
        <v>280</v>
      </c>
      <c r="H1327" s="29">
        <v>280</v>
      </c>
      <c r="I1327" s="23">
        <v>280</v>
      </c>
      <c r="J1327" s="23">
        <v>280</v>
      </c>
      <c r="K1327" s="23">
        <v>280</v>
      </c>
      <c r="L1327" s="23">
        <v>280</v>
      </c>
    </row>
    <row r="1328" spans="1:12" x14ac:dyDescent="0.25">
      <c r="A1328" s="22" t="s">
        <v>30</v>
      </c>
      <c r="B1328" s="23">
        <f>(B1326*50%)+B1326</f>
        <v>300</v>
      </c>
      <c r="C1328" s="23">
        <f>(C1326*50%)+C1326</f>
        <v>300</v>
      </c>
      <c r="D1328" s="27" t="s">
        <v>247</v>
      </c>
      <c r="E1328" s="27" t="s">
        <v>247</v>
      </c>
      <c r="F1328" s="27" t="s">
        <v>247</v>
      </c>
      <c r="G1328" s="27" t="s">
        <v>248</v>
      </c>
      <c r="H1328" s="27" t="s">
        <v>248</v>
      </c>
      <c r="I1328" s="27" t="s">
        <v>248</v>
      </c>
      <c r="J1328" s="27" t="s">
        <v>248</v>
      </c>
      <c r="K1328" s="27" t="s">
        <v>248</v>
      </c>
      <c r="L1328" s="27" t="s">
        <v>248</v>
      </c>
    </row>
    <row r="1329" spans="1:16" x14ac:dyDescent="0.25">
      <c r="A1329" s="22" t="s">
        <v>31</v>
      </c>
      <c r="B1329" s="23">
        <v>32</v>
      </c>
      <c r="C1329" s="23">
        <v>32</v>
      </c>
      <c r="D1329" s="29">
        <v>31</v>
      </c>
      <c r="E1329" s="29">
        <v>36</v>
      </c>
      <c r="F1329" s="29">
        <v>64</v>
      </c>
      <c r="G1329" s="29">
        <v>45</v>
      </c>
      <c r="H1329" s="29">
        <v>30</v>
      </c>
      <c r="I1329" s="23">
        <v>21</v>
      </c>
      <c r="J1329" s="23">
        <v>25</v>
      </c>
      <c r="K1329" s="23">
        <v>22</v>
      </c>
      <c r="L1329" s="23"/>
    </row>
    <row r="1330" spans="1:16" x14ac:dyDescent="0.25">
      <c r="A1330" s="22" t="s">
        <v>32</v>
      </c>
      <c r="B1330" s="47">
        <f>(B1327-B1329)</f>
        <v>268</v>
      </c>
      <c r="C1330" s="47">
        <f>(C1327-C1329)</f>
        <v>268</v>
      </c>
      <c r="D1330" s="29">
        <f t="shared" ref="D1330:K1330" si="36">D1327-D1329</f>
        <v>269</v>
      </c>
      <c r="E1330" s="29">
        <f t="shared" si="36"/>
        <v>264</v>
      </c>
      <c r="F1330" s="29">
        <f t="shared" si="36"/>
        <v>236</v>
      </c>
      <c r="G1330" s="29">
        <f t="shared" si="36"/>
        <v>235</v>
      </c>
      <c r="H1330" s="29">
        <f t="shared" si="36"/>
        <v>250</v>
      </c>
      <c r="I1330" s="29">
        <f t="shared" si="36"/>
        <v>259</v>
      </c>
      <c r="J1330" s="29">
        <f t="shared" si="36"/>
        <v>255</v>
      </c>
      <c r="K1330" s="29">
        <f t="shared" si="36"/>
        <v>258</v>
      </c>
      <c r="L1330" s="29"/>
    </row>
    <row r="1331" spans="1:16" ht="13.2" customHeight="1" x14ac:dyDescent="0.25">
      <c r="A1331" s="49" t="s">
        <v>33</v>
      </c>
      <c r="B1331" s="57">
        <v>2015</v>
      </c>
      <c r="C1331" s="57">
        <v>2016</v>
      </c>
      <c r="D1331" s="57">
        <v>2017</v>
      </c>
      <c r="E1331" s="57">
        <v>2018</v>
      </c>
      <c r="F1331" s="57">
        <v>2019</v>
      </c>
      <c r="G1331" s="108">
        <v>2020</v>
      </c>
      <c r="H1331" s="57">
        <v>2021</v>
      </c>
      <c r="I1331" s="57">
        <v>2022</v>
      </c>
      <c r="J1331" s="57">
        <v>2023</v>
      </c>
      <c r="K1331" s="57">
        <v>2024</v>
      </c>
      <c r="L1331" s="57">
        <v>2025</v>
      </c>
    </row>
    <row r="1332" spans="1:16" ht="13.2" customHeight="1" x14ac:dyDescent="0.25">
      <c r="A1332" s="49" t="s">
        <v>509</v>
      </c>
      <c r="B1332" s="79"/>
      <c r="C1332" s="79"/>
      <c r="D1332" s="79"/>
      <c r="E1332" s="79"/>
      <c r="F1332" s="79"/>
      <c r="G1332" s="79"/>
      <c r="H1332" s="79"/>
      <c r="I1332" s="79"/>
      <c r="J1332" s="79"/>
      <c r="K1332" s="80"/>
      <c r="L1332" s="80"/>
    </row>
    <row r="1333" spans="1:16" x14ac:dyDescent="0.25">
      <c r="A1333" s="32" t="s">
        <v>510</v>
      </c>
      <c r="B1333" s="129"/>
      <c r="C1333" s="129"/>
      <c r="D1333" s="129"/>
      <c r="E1333" s="129"/>
      <c r="F1333" s="129"/>
      <c r="G1333" s="129"/>
      <c r="H1333" s="129"/>
      <c r="I1333" s="129"/>
      <c r="J1333" s="129"/>
      <c r="K1333" s="225"/>
      <c r="L1333" s="225"/>
    </row>
    <row r="1335" spans="1:16" ht="13.8" x14ac:dyDescent="0.25">
      <c r="A1335" s="260" t="s">
        <v>14</v>
      </c>
      <c r="B1335" s="274" t="s">
        <v>658</v>
      </c>
      <c r="C1335" s="274" t="s">
        <v>26</v>
      </c>
      <c r="D1335" s="221"/>
      <c r="E1335" s="221"/>
      <c r="F1335" s="221"/>
      <c r="G1335" s="221"/>
      <c r="H1335" s="221"/>
      <c r="I1335" s="221"/>
      <c r="J1335" s="221"/>
      <c r="K1335" s="221"/>
      <c r="L1335" s="221"/>
      <c r="M1335" s="221"/>
      <c r="N1335" s="221"/>
      <c r="O1335" s="423"/>
      <c r="P1335" s="221"/>
    </row>
    <row r="1336" spans="1:16" x14ac:dyDescent="0.25">
      <c r="A1336" s="211" t="s">
        <v>27</v>
      </c>
      <c r="B1336" s="342">
        <v>2010</v>
      </c>
      <c r="C1336" s="212">
        <v>2011</v>
      </c>
      <c r="D1336" s="212">
        <v>2012</v>
      </c>
      <c r="E1336" s="212">
        <v>2013</v>
      </c>
      <c r="F1336" s="212">
        <v>2014</v>
      </c>
      <c r="G1336" s="212">
        <v>2015</v>
      </c>
      <c r="H1336" s="212">
        <v>2016</v>
      </c>
      <c r="I1336" s="424">
        <v>2017</v>
      </c>
      <c r="J1336" s="212">
        <v>2018</v>
      </c>
      <c r="K1336" s="212">
        <v>2019</v>
      </c>
      <c r="L1336" s="212">
        <v>2020</v>
      </c>
      <c r="M1336" s="212">
        <v>2021</v>
      </c>
      <c r="N1336" s="212">
        <v>2022</v>
      </c>
      <c r="O1336" s="212">
        <v>2023</v>
      </c>
      <c r="P1336" s="221"/>
    </row>
    <row r="1337" spans="1:16" x14ac:dyDescent="0.25">
      <c r="A1337" s="263" t="s">
        <v>28</v>
      </c>
      <c r="B1337" s="215">
        <v>95</v>
      </c>
      <c r="C1337" s="215">
        <v>95</v>
      </c>
      <c r="D1337" s="215">
        <v>95</v>
      </c>
      <c r="E1337" s="215">
        <v>95</v>
      </c>
      <c r="F1337" s="231">
        <v>95</v>
      </c>
      <c r="G1337" s="425">
        <v>108.98</v>
      </c>
      <c r="H1337" s="425">
        <v>108.98</v>
      </c>
      <c r="I1337" s="426">
        <v>108.98</v>
      </c>
      <c r="J1337" s="425">
        <v>128.44</v>
      </c>
      <c r="K1337" s="425">
        <v>128.44</v>
      </c>
      <c r="L1337" s="425">
        <v>128.44</v>
      </c>
      <c r="M1337" s="425">
        <v>128.44</v>
      </c>
      <c r="N1337" s="425">
        <v>149.34</v>
      </c>
      <c r="O1337" s="425">
        <v>149.34</v>
      </c>
      <c r="P1337" s="221"/>
    </row>
    <row r="1338" spans="1:16" x14ac:dyDescent="0.25">
      <c r="A1338" s="263" t="s">
        <v>29</v>
      </c>
      <c r="B1338" s="231">
        <f>(B1339)</f>
        <v>56</v>
      </c>
      <c r="C1338" s="231">
        <f t="shared" ref="C1338:J1338" si="37">(C1339)</f>
        <v>137</v>
      </c>
      <c r="D1338" s="231">
        <f t="shared" si="37"/>
        <v>103.5</v>
      </c>
      <c r="E1338" s="231">
        <f t="shared" si="37"/>
        <v>147.9</v>
      </c>
      <c r="F1338" s="231">
        <f t="shared" si="37"/>
        <v>103.5</v>
      </c>
      <c r="G1338" s="425">
        <f t="shared" si="37"/>
        <v>74.980000000000018</v>
      </c>
      <c r="H1338" s="425">
        <f t="shared" si="37"/>
        <v>78.980000000000047</v>
      </c>
      <c r="I1338" s="426">
        <f t="shared" si="37"/>
        <v>76.980000000000047</v>
      </c>
      <c r="J1338" s="425">
        <f t="shared" si="37"/>
        <v>97.44000000000004</v>
      </c>
      <c r="K1338" s="425">
        <f>K1339</f>
        <v>85.440000000000055</v>
      </c>
      <c r="L1338" s="215">
        <f>L1339</f>
        <v>95.440000000000055</v>
      </c>
      <c r="M1338" s="215">
        <f>M1339</f>
        <v>95.440000000000055</v>
      </c>
      <c r="N1338" s="215">
        <f>N1339</f>
        <v>122.78000000000006</v>
      </c>
      <c r="O1338" s="45">
        <f>O1339</f>
        <v>152.12000000000006</v>
      </c>
      <c r="P1338" s="221"/>
    </row>
    <row r="1339" spans="1:16" x14ac:dyDescent="0.25">
      <c r="A1339" s="263" t="s">
        <v>30</v>
      </c>
      <c r="B1339" s="425">
        <f>(B1337+47.5)-86.5</f>
        <v>56</v>
      </c>
      <c r="C1339" s="425">
        <f>(C1337+B1341)</f>
        <v>137</v>
      </c>
      <c r="D1339" s="425">
        <f>D1337+95-86.5</f>
        <v>103.5</v>
      </c>
      <c r="E1339" s="425">
        <f>E1337+D1341</f>
        <v>147.9</v>
      </c>
      <c r="F1339" s="425">
        <f>(F1337+95)-86.5</f>
        <v>103.5</v>
      </c>
      <c r="G1339" s="425">
        <f>(G1337+F1341)-86.5</f>
        <v>74.980000000000018</v>
      </c>
      <c r="H1339" s="425">
        <f>(H1337+G1341)-51.98</f>
        <v>78.980000000000047</v>
      </c>
      <c r="I1339" s="426">
        <f>(I1337+H1341)-55.98</f>
        <v>76.980000000000047</v>
      </c>
      <c r="J1339" s="425">
        <f>(J1337+I1341)-73.98</f>
        <v>97.44000000000004</v>
      </c>
      <c r="K1339" s="425">
        <f>K1337+J1341-60.44</f>
        <v>85.440000000000055</v>
      </c>
      <c r="L1339" s="215">
        <f>L1337+K1341-79.44</f>
        <v>95.440000000000055</v>
      </c>
      <c r="M1339" s="215">
        <f>M1337+L1341-100.44</f>
        <v>95.440000000000055</v>
      </c>
      <c r="N1339" s="215">
        <f>N1337+M1341-60</f>
        <v>122.78000000000006</v>
      </c>
      <c r="O1339" s="45">
        <f>O1337+N1341-60</f>
        <v>152.12000000000006</v>
      </c>
      <c r="P1339" s="221"/>
    </row>
    <row r="1340" spans="1:16" x14ac:dyDescent="0.25">
      <c r="A1340" s="263" t="s">
        <v>31</v>
      </c>
      <c r="B1340" s="231">
        <v>14</v>
      </c>
      <c r="C1340" s="231">
        <v>14</v>
      </c>
      <c r="D1340" s="231">
        <v>50.6</v>
      </c>
      <c r="E1340" s="231">
        <v>22</v>
      </c>
      <c r="F1340" s="231">
        <v>51</v>
      </c>
      <c r="G1340" s="231">
        <v>53</v>
      </c>
      <c r="H1340" s="231">
        <v>55</v>
      </c>
      <c r="I1340" s="427">
        <v>34</v>
      </c>
      <c r="J1340" s="231">
        <v>80</v>
      </c>
      <c r="K1340" s="231">
        <v>39</v>
      </c>
      <c r="L1340" s="215">
        <v>28</v>
      </c>
      <c r="M1340" s="215">
        <v>62</v>
      </c>
      <c r="N1340" s="215">
        <v>60</v>
      </c>
      <c r="O1340" s="215"/>
      <c r="P1340" s="221"/>
    </row>
    <row r="1341" spans="1:16" x14ac:dyDescent="0.25">
      <c r="A1341" s="263" t="s">
        <v>32</v>
      </c>
      <c r="B1341" s="231">
        <f>(B1338-B1340)</f>
        <v>42</v>
      </c>
      <c r="C1341" s="231">
        <f t="shared" ref="C1341:J1341" si="38">(C1338-C1340)</f>
        <v>123</v>
      </c>
      <c r="D1341" s="231">
        <f t="shared" si="38"/>
        <v>52.9</v>
      </c>
      <c r="E1341" s="231">
        <f t="shared" si="38"/>
        <v>125.9</v>
      </c>
      <c r="F1341" s="231">
        <f t="shared" si="38"/>
        <v>52.5</v>
      </c>
      <c r="G1341" s="231">
        <f t="shared" si="38"/>
        <v>21.980000000000018</v>
      </c>
      <c r="H1341" s="231">
        <f t="shared" si="38"/>
        <v>23.980000000000047</v>
      </c>
      <c r="I1341" s="427">
        <f t="shared" si="38"/>
        <v>42.980000000000047</v>
      </c>
      <c r="J1341" s="231">
        <f t="shared" si="38"/>
        <v>17.44000000000004</v>
      </c>
      <c r="K1341" s="231">
        <f>K1338-K1340</f>
        <v>46.440000000000055</v>
      </c>
      <c r="L1341" s="215">
        <f>L1338-L1340</f>
        <v>67.440000000000055</v>
      </c>
      <c r="M1341" s="215">
        <f>M1338-M1340</f>
        <v>33.440000000000055</v>
      </c>
      <c r="N1341" s="215">
        <f>N1338-N1340</f>
        <v>62.780000000000058</v>
      </c>
      <c r="O1341" s="215"/>
      <c r="P1341" s="221"/>
    </row>
    <row r="1342" spans="1:16" x14ac:dyDescent="0.25">
      <c r="A1342" s="218" t="s">
        <v>33</v>
      </c>
      <c r="B1342" s="244">
        <v>2011</v>
      </c>
      <c r="C1342" s="244">
        <v>2012</v>
      </c>
      <c r="D1342" s="244">
        <v>2013</v>
      </c>
      <c r="E1342" s="244">
        <v>2014</v>
      </c>
      <c r="F1342" s="244">
        <v>2015</v>
      </c>
      <c r="G1342" s="244">
        <v>2016</v>
      </c>
      <c r="H1342" s="244">
        <v>2017</v>
      </c>
      <c r="I1342" s="428">
        <v>2018</v>
      </c>
      <c r="J1342" s="244">
        <v>2019</v>
      </c>
      <c r="K1342" s="244">
        <v>2020</v>
      </c>
      <c r="L1342" s="244">
        <v>2021</v>
      </c>
      <c r="M1342" s="244">
        <v>2022</v>
      </c>
      <c r="N1342" s="244">
        <v>2023</v>
      </c>
      <c r="O1342" s="244">
        <v>2024</v>
      </c>
      <c r="P1342" s="221"/>
    </row>
    <row r="1343" spans="1:16" x14ac:dyDescent="0.25">
      <c r="A1343" s="218" t="s">
        <v>34</v>
      </c>
      <c r="B1343" s="219"/>
      <c r="C1343" s="219"/>
      <c r="D1343" s="219"/>
      <c r="E1343" s="219"/>
      <c r="F1343" s="219"/>
      <c r="G1343" s="219"/>
      <c r="H1343" s="219"/>
      <c r="I1343" s="219"/>
      <c r="J1343" s="219"/>
      <c r="K1343" s="219"/>
      <c r="L1343" s="219"/>
      <c r="M1343" s="219"/>
      <c r="N1343" s="219"/>
      <c r="O1343" s="217"/>
      <c r="P1343" s="221"/>
    </row>
    <row r="1344" spans="1:16" x14ac:dyDescent="0.25">
      <c r="A1344" s="271" t="s">
        <v>35</v>
      </c>
      <c r="B1344" s="221"/>
      <c r="C1344" s="221"/>
      <c r="D1344" s="221"/>
      <c r="E1344" s="221"/>
      <c r="F1344" s="221"/>
      <c r="G1344" s="221"/>
      <c r="H1344" s="221"/>
      <c r="I1344" s="221"/>
      <c r="J1344" s="221"/>
      <c r="K1344" s="221"/>
      <c r="L1344" s="221"/>
      <c r="M1344" s="221"/>
      <c r="N1344" s="221"/>
      <c r="O1344" s="222"/>
      <c r="P1344" s="221"/>
    </row>
    <row r="1345" spans="1:16" x14ac:dyDescent="0.25">
      <c r="A1345" s="271" t="s">
        <v>738</v>
      </c>
      <c r="B1345" s="221"/>
      <c r="C1345" s="221"/>
      <c r="D1345" s="221"/>
      <c r="E1345" s="221"/>
      <c r="F1345" s="221"/>
      <c r="G1345" s="221"/>
      <c r="H1345" s="221"/>
      <c r="I1345" s="221"/>
      <c r="J1345" s="221"/>
      <c r="K1345" s="221"/>
      <c r="L1345" s="221"/>
      <c r="M1345" s="221"/>
      <c r="N1345" s="221"/>
      <c r="O1345" s="222"/>
      <c r="P1345" s="221"/>
    </row>
    <row r="1346" spans="1:16" x14ac:dyDescent="0.25">
      <c r="A1346" s="271" t="s">
        <v>739</v>
      </c>
      <c r="B1346" s="221"/>
      <c r="C1346" s="221"/>
      <c r="D1346" s="221"/>
      <c r="E1346" s="221"/>
      <c r="F1346" s="221"/>
      <c r="G1346" s="221"/>
      <c r="H1346" s="221"/>
      <c r="I1346" s="221"/>
      <c r="J1346" s="221"/>
      <c r="K1346" s="221"/>
      <c r="L1346" s="221"/>
      <c r="M1346" s="221"/>
      <c r="N1346" s="221"/>
      <c r="O1346" s="222"/>
      <c r="P1346" s="221"/>
    </row>
    <row r="1347" spans="1:16" x14ac:dyDescent="0.25">
      <c r="A1347" s="271" t="s">
        <v>740</v>
      </c>
      <c r="B1347" s="221"/>
      <c r="C1347" s="221"/>
      <c r="D1347" s="221"/>
      <c r="E1347" s="221"/>
      <c r="F1347" s="221"/>
      <c r="G1347" s="221"/>
      <c r="H1347" s="221"/>
      <c r="I1347" s="221"/>
      <c r="J1347" s="221"/>
      <c r="K1347" s="221"/>
      <c r="L1347" s="221"/>
      <c r="M1347" s="221"/>
      <c r="N1347" s="221"/>
      <c r="O1347" s="222"/>
      <c r="P1347" s="221"/>
    </row>
    <row r="1348" spans="1:16" x14ac:dyDescent="0.25">
      <c r="A1348" s="271" t="s">
        <v>741</v>
      </c>
      <c r="B1348" s="221"/>
      <c r="C1348" s="221"/>
      <c r="D1348" s="221"/>
      <c r="E1348" s="221"/>
      <c r="F1348" s="221"/>
      <c r="G1348" s="221"/>
      <c r="H1348" s="221"/>
      <c r="I1348" s="221"/>
      <c r="J1348" s="221"/>
      <c r="K1348" s="221"/>
      <c r="L1348" s="221"/>
      <c r="M1348" s="221"/>
      <c r="N1348" s="221"/>
      <c r="O1348" s="222"/>
      <c r="P1348" s="221"/>
    </row>
    <row r="1349" spans="1:16" x14ac:dyDescent="0.25">
      <c r="A1349" s="220" t="s">
        <v>742</v>
      </c>
      <c r="B1349" s="221"/>
      <c r="C1349" s="221"/>
      <c r="D1349" s="221"/>
      <c r="E1349" s="221"/>
      <c r="F1349" s="221"/>
      <c r="G1349" s="221"/>
      <c r="H1349" s="221"/>
      <c r="I1349" s="221"/>
      <c r="J1349" s="221"/>
      <c r="K1349" s="221"/>
      <c r="L1349" s="221"/>
      <c r="M1349" s="221"/>
      <c r="N1349" s="221"/>
      <c r="O1349" s="222"/>
      <c r="P1349" s="221"/>
    </row>
    <row r="1350" spans="1:16" x14ac:dyDescent="0.25">
      <c r="A1350" s="220" t="s">
        <v>743</v>
      </c>
      <c r="B1350" s="221"/>
      <c r="C1350" s="221"/>
      <c r="D1350" s="221"/>
      <c r="E1350" s="221"/>
      <c r="F1350" s="221"/>
      <c r="G1350" s="221"/>
      <c r="H1350" s="221"/>
      <c r="I1350" s="221"/>
      <c r="J1350" s="221"/>
      <c r="K1350" s="221"/>
      <c r="L1350" s="221"/>
      <c r="M1350" s="221"/>
      <c r="N1350" s="221"/>
      <c r="O1350" s="222"/>
      <c r="P1350" s="221"/>
    </row>
    <row r="1351" spans="1:16" x14ac:dyDescent="0.25">
      <c r="A1351" s="220" t="s">
        <v>744</v>
      </c>
      <c r="B1351" s="221"/>
      <c r="C1351" s="221"/>
      <c r="D1351" s="221"/>
      <c r="E1351" s="221"/>
      <c r="F1351" s="221"/>
      <c r="G1351" s="221"/>
      <c r="H1351" s="221"/>
      <c r="I1351" s="221"/>
      <c r="J1351" s="221"/>
      <c r="K1351" s="221"/>
      <c r="L1351" s="221"/>
      <c r="M1351" s="221"/>
      <c r="N1351" s="221"/>
      <c r="O1351" s="222"/>
      <c r="P1351" s="221"/>
    </row>
    <row r="1352" spans="1:16" x14ac:dyDescent="0.25">
      <c r="A1352" s="220" t="s">
        <v>745</v>
      </c>
      <c r="B1352" s="221"/>
      <c r="C1352" s="221"/>
      <c r="D1352" s="221"/>
      <c r="E1352" s="221"/>
      <c r="F1352" s="221"/>
      <c r="G1352" s="221"/>
      <c r="H1352" s="221"/>
      <c r="I1352" s="221"/>
      <c r="J1352" s="221"/>
      <c r="K1352" s="221"/>
      <c r="L1352" s="221"/>
      <c r="M1352" s="221"/>
      <c r="N1352" s="221"/>
      <c r="O1352" s="222"/>
      <c r="P1352" s="221"/>
    </row>
    <row r="1353" spans="1:16" x14ac:dyDescent="0.25">
      <c r="A1353" s="220" t="s">
        <v>746</v>
      </c>
      <c r="B1353" s="221"/>
      <c r="C1353" s="221"/>
      <c r="D1353" s="221"/>
      <c r="E1353" s="221"/>
      <c r="F1353" s="221"/>
      <c r="G1353" s="221"/>
      <c r="H1353" s="221"/>
      <c r="I1353" s="221"/>
      <c r="J1353" s="221"/>
      <c r="K1353" s="221"/>
      <c r="L1353" s="221"/>
      <c r="M1353" s="221"/>
      <c r="N1353" s="221"/>
      <c r="O1353" s="222"/>
      <c r="P1353" s="221"/>
    </row>
    <row r="1354" spans="1:16" x14ac:dyDescent="0.25">
      <c r="A1354" s="220" t="s">
        <v>747</v>
      </c>
      <c r="B1354" s="221"/>
      <c r="C1354" s="221"/>
      <c r="D1354" s="221"/>
      <c r="E1354" s="221"/>
      <c r="F1354" s="221"/>
      <c r="G1354" s="221"/>
      <c r="H1354" s="221"/>
      <c r="I1354" s="221"/>
      <c r="J1354" s="221"/>
      <c r="K1354" s="221"/>
      <c r="L1354" s="221"/>
      <c r="M1354" s="221"/>
      <c r="N1354" s="221"/>
      <c r="O1354" s="222"/>
      <c r="P1354" s="221"/>
    </row>
    <row r="1355" spans="1:16" x14ac:dyDescent="0.25">
      <c r="A1355" s="220" t="s">
        <v>748</v>
      </c>
      <c r="B1355" s="221"/>
      <c r="C1355" s="221"/>
      <c r="D1355" s="221"/>
      <c r="E1355" s="221"/>
      <c r="F1355" s="221"/>
      <c r="G1355" s="221"/>
      <c r="H1355" s="221"/>
      <c r="I1355" s="221"/>
      <c r="J1355" s="221"/>
      <c r="K1355" s="221"/>
      <c r="L1355" s="221"/>
      <c r="M1355" s="221"/>
      <c r="N1355" s="221"/>
      <c r="O1355" s="222"/>
      <c r="P1355" s="221"/>
    </row>
    <row r="1356" spans="1:16" x14ac:dyDescent="0.25">
      <c r="A1356" s="220" t="s">
        <v>844</v>
      </c>
      <c r="B1356" s="221"/>
      <c r="C1356" s="221"/>
      <c r="D1356" s="221"/>
      <c r="E1356" s="221"/>
      <c r="F1356" s="221"/>
      <c r="G1356" s="221"/>
      <c r="H1356" s="221"/>
      <c r="I1356" s="221"/>
      <c r="J1356" s="221"/>
      <c r="K1356" s="221"/>
      <c r="L1356" s="221"/>
      <c r="M1356" s="221"/>
      <c r="N1356" s="221"/>
      <c r="O1356" s="222"/>
      <c r="P1356" s="221"/>
    </row>
    <row r="1357" spans="1:16" x14ac:dyDescent="0.25">
      <c r="A1357" s="197" t="s">
        <v>935</v>
      </c>
      <c r="B1357" s="223"/>
      <c r="C1357" s="223"/>
      <c r="D1357" s="223"/>
      <c r="E1357" s="223"/>
      <c r="F1357" s="223"/>
      <c r="G1357" s="223"/>
      <c r="H1357" s="223"/>
      <c r="I1357" s="223"/>
      <c r="J1357" s="223"/>
      <c r="K1357" s="223"/>
      <c r="L1357" s="223"/>
      <c r="M1357" s="223"/>
      <c r="N1357" s="223"/>
      <c r="O1357" s="224"/>
      <c r="P1357" s="221"/>
    </row>
    <row r="1358" spans="1:16" x14ac:dyDescent="0.25">
      <c r="A1358" s="221"/>
      <c r="B1358" s="221"/>
      <c r="C1358" s="221"/>
    </row>
    <row r="1359" spans="1:16" x14ac:dyDescent="0.25">
      <c r="A1359" s="260" t="s">
        <v>14</v>
      </c>
      <c r="B1359" s="274" t="s">
        <v>74</v>
      </c>
      <c r="C1359" s="274" t="s">
        <v>26</v>
      </c>
    </row>
    <row r="1360" spans="1:16" x14ac:dyDescent="0.25">
      <c r="A1360" s="211" t="s">
        <v>27</v>
      </c>
      <c r="B1360" s="342">
        <v>2013</v>
      </c>
      <c r="C1360" s="212">
        <v>2014</v>
      </c>
      <c r="D1360" s="51">
        <v>2015</v>
      </c>
      <c r="E1360" s="64">
        <v>2016</v>
      </c>
      <c r="F1360" s="51">
        <v>2017</v>
      </c>
      <c r="G1360" s="64">
        <v>2018</v>
      </c>
      <c r="H1360" s="51">
        <v>2019</v>
      </c>
      <c r="I1360" s="51">
        <v>2020</v>
      </c>
      <c r="J1360" s="51">
        <v>2021</v>
      </c>
      <c r="K1360" s="51">
        <v>2022</v>
      </c>
      <c r="L1360" s="51">
        <v>2023</v>
      </c>
    </row>
    <row r="1361" spans="1:12" x14ac:dyDescent="0.25">
      <c r="A1361" s="263" t="s">
        <v>28</v>
      </c>
      <c r="B1361" s="215">
        <v>70</v>
      </c>
      <c r="C1361" s="215">
        <v>70</v>
      </c>
      <c r="D1361" s="23">
        <v>70</v>
      </c>
      <c r="E1361" s="23">
        <v>70</v>
      </c>
      <c r="F1361" s="47">
        <v>70</v>
      </c>
      <c r="G1361" s="47">
        <v>70</v>
      </c>
      <c r="H1361" s="47">
        <v>70</v>
      </c>
      <c r="I1361" s="23">
        <v>58.9</v>
      </c>
      <c r="J1361" s="23">
        <v>58.9</v>
      </c>
      <c r="K1361" s="23">
        <v>58.9</v>
      </c>
      <c r="L1361" s="23">
        <v>58.9</v>
      </c>
    </row>
    <row r="1362" spans="1:12" x14ac:dyDescent="0.25">
      <c r="A1362" s="46" t="s">
        <v>29</v>
      </c>
      <c r="B1362" s="23">
        <f>(B1363)</f>
        <v>-15</v>
      </c>
      <c r="C1362" s="23">
        <f t="shared" ref="C1362:H1362" si="39">(C1363)</f>
        <v>3</v>
      </c>
      <c r="D1362" s="23">
        <v>55</v>
      </c>
      <c r="E1362" s="23">
        <f t="shared" si="39"/>
        <v>56</v>
      </c>
      <c r="F1362" s="23">
        <f t="shared" si="39"/>
        <v>61</v>
      </c>
      <c r="G1362" s="47">
        <f t="shared" si="39"/>
        <v>71</v>
      </c>
      <c r="H1362" s="47">
        <f t="shared" si="39"/>
        <v>73</v>
      </c>
      <c r="I1362" s="23">
        <v>65.900000000000006</v>
      </c>
      <c r="J1362" s="23"/>
      <c r="K1362" s="23"/>
      <c r="L1362" s="23"/>
    </row>
    <row r="1363" spans="1:12" x14ac:dyDescent="0.25">
      <c r="A1363" s="46" t="s">
        <v>30</v>
      </c>
      <c r="B1363" s="47">
        <f>(B1361-B1364)</f>
        <v>-15</v>
      </c>
      <c r="C1363" s="47">
        <f>(C1361-C1364)</f>
        <v>3</v>
      </c>
      <c r="D1363" s="47">
        <f>D1361+B1365</f>
        <v>55</v>
      </c>
      <c r="E1363" s="47">
        <f>E1361+D1365+C1365</f>
        <v>56</v>
      </c>
      <c r="F1363" s="47">
        <f>F1361+E1365</f>
        <v>61</v>
      </c>
      <c r="G1363" s="47">
        <f>G1361+F1365</f>
        <v>71</v>
      </c>
      <c r="H1363" s="47">
        <f>H1361+G1365</f>
        <v>73</v>
      </c>
      <c r="I1363" s="23">
        <f>I1361+0.1*H1361</f>
        <v>65.900000000000006</v>
      </c>
      <c r="J1363" s="23"/>
      <c r="K1363" s="23"/>
      <c r="L1363" s="23"/>
    </row>
    <row r="1364" spans="1:12" x14ac:dyDescent="0.25">
      <c r="A1364" s="46" t="s">
        <v>36</v>
      </c>
      <c r="B1364" s="47">
        <v>85</v>
      </c>
      <c r="C1364" s="47">
        <v>67</v>
      </c>
      <c r="D1364" s="47">
        <v>72</v>
      </c>
      <c r="E1364" s="47">
        <v>65</v>
      </c>
      <c r="F1364" s="47">
        <v>60</v>
      </c>
      <c r="G1364" s="47">
        <v>68</v>
      </c>
      <c r="H1364" s="47">
        <v>51</v>
      </c>
      <c r="I1364" s="23">
        <v>39</v>
      </c>
      <c r="J1364" s="23">
        <v>43</v>
      </c>
      <c r="K1364" s="23">
        <v>29</v>
      </c>
      <c r="L1364" s="23"/>
    </row>
    <row r="1365" spans="1:12" x14ac:dyDescent="0.25">
      <c r="A1365" s="46" t="s">
        <v>37</v>
      </c>
      <c r="B1365" s="23">
        <f>(B1363)</f>
        <v>-15</v>
      </c>
      <c r="C1365" s="23">
        <f>(C1363)</f>
        <v>3</v>
      </c>
      <c r="D1365" s="23">
        <f t="shared" ref="D1365:I1365" si="40">D1362-D1364</f>
        <v>-17</v>
      </c>
      <c r="E1365" s="23">
        <f t="shared" si="40"/>
        <v>-9</v>
      </c>
      <c r="F1365" s="23">
        <f t="shared" si="40"/>
        <v>1</v>
      </c>
      <c r="G1365" s="47">
        <f t="shared" si="40"/>
        <v>3</v>
      </c>
      <c r="H1365" s="47">
        <f t="shared" si="40"/>
        <v>22</v>
      </c>
      <c r="I1365" s="23">
        <f t="shared" si="40"/>
        <v>26.900000000000006</v>
      </c>
      <c r="J1365" s="23">
        <f>J1361-J1364</f>
        <v>15.899999999999999</v>
      </c>
      <c r="K1365" s="23">
        <f>K1361-K1364</f>
        <v>29.9</v>
      </c>
      <c r="L1365" s="23"/>
    </row>
    <row r="1366" spans="1:12" x14ac:dyDescent="0.25">
      <c r="A1366" s="49" t="s">
        <v>33</v>
      </c>
      <c r="B1366" s="69">
        <v>2015</v>
      </c>
      <c r="C1366" s="69">
        <v>2016</v>
      </c>
      <c r="D1366" s="69">
        <v>2016</v>
      </c>
      <c r="E1366" s="69">
        <v>2017</v>
      </c>
      <c r="F1366" s="69">
        <v>2018</v>
      </c>
      <c r="G1366" s="69">
        <v>2019</v>
      </c>
      <c r="H1366" s="69">
        <v>2020</v>
      </c>
      <c r="I1366" s="57"/>
      <c r="J1366" s="57"/>
      <c r="K1366" s="57"/>
      <c r="L1366" s="57"/>
    </row>
    <row r="1367" spans="1:12" x14ac:dyDescent="0.25">
      <c r="A1367" s="49" t="s">
        <v>34</v>
      </c>
      <c r="B1367" s="30"/>
      <c r="C1367" s="30"/>
      <c r="D1367" s="30"/>
      <c r="E1367" s="30"/>
      <c r="F1367" s="30"/>
      <c r="G1367" s="30"/>
      <c r="H1367" s="30"/>
      <c r="I1367" s="30"/>
      <c r="J1367" s="30"/>
      <c r="K1367" s="31"/>
      <c r="L1367" s="31"/>
    </row>
    <row r="1368" spans="1:12" x14ac:dyDescent="0.25">
      <c r="A1368" s="1" t="s">
        <v>312</v>
      </c>
      <c r="B1368" s="30"/>
      <c r="C1368" s="30"/>
      <c r="D1368" s="30"/>
      <c r="E1368" s="30"/>
      <c r="F1368" s="30"/>
      <c r="G1368" s="30"/>
      <c r="H1368" s="30"/>
      <c r="I1368" s="30"/>
      <c r="J1368" s="30"/>
      <c r="K1368" s="30"/>
      <c r="L1368" s="31"/>
    </row>
    <row r="1369" spans="1:12" x14ac:dyDescent="0.25">
      <c r="A1369" s="20" t="s">
        <v>313</v>
      </c>
      <c r="L1369" s="21"/>
    </row>
    <row r="1370" spans="1:12" x14ac:dyDescent="0.25">
      <c r="A1370" s="5" t="s">
        <v>314</v>
      </c>
      <c r="L1370" s="21"/>
    </row>
    <row r="1371" spans="1:12" x14ac:dyDescent="0.25">
      <c r="A1371" s="5" t="s">
        <v>315</v>
      </c>
      <c r="L1371" s="21"/>
    </row>
    <row r="1372" spans="1:12" x14ac:dyDescent="0.25">
      <c r="A1372" s="20" t="s">
        <v>306</v>
      </c>
      <c r="L1372" s="21"/>
    </row>
    <row r="1373" spans="1:12" x14ac:dyDescent="0.25">
      <c r="A1373" s="32" t="s">
        <v>411</v>
      </c>
      <c r="B1373" s="33"/>
      <c r="C1373" s="33"/>
      <c r="D1373" s="33"/>
      <c r="E1373" s="33"/>
      <c r="F1373" s="33"/>
      <c r="G1373" s="33"/>
      <c r="H1373" s="33"/>
      <c r="I1373" s="33"/>
      <c r="J1373" s="33"/>
      <c r="K1373" s="33"/>
      <c r="L1373" s="34"/>
    </row>
    <row r="1375" spans="1:12" x14ac:dyDescent="0.25">
      <c r="A1375" s="91" t="s">
        <v>14</v>
      </c>
      <c r="B1375" s="55" t="s">
        <v>79</v>
      </c>
      <c r="C1375" s="55" t="s">
        <v>26</v>
      </c>
    </row>
    <row r="1376" spans="1:12" x14ac:dyDescent="0.25">
      <c r="A1376" s="52" t="s">
        <v>27</v>
      </c>
      <c r="B1376" s="101">
        <v>2013</v>
      </c>
      <c r="C1376" s="51">
        <v>2014</v>
      </c>
      <c r="D1376" s="51">
        <v>2015</v>
      </c>
      <c r="E1376" s="51">
        <v>2016</v>
      </c>
      <c r="F1376" s="51">
        <v>2017</v>
      </c>
      <c r="G1376" s="64">
        <v>2018</v>
      </c>
      <c r="H1376" s="64">
        <v>2019</v>
      </c>
      <c r="I1376" s="51">
        <v>2020</v>
      </c>
      <c r="J1376" s="51">
        <v>2021</v>
      </c>
      <c r="K1376" s="51">
        <v>2022</v>
      </c>
      <c r="L1376" s="51">
        <v>2023</v>
      </c>
    </row>
    <row r="1377" spans="1:14" x14ac:dyDescent="0.25">
      <c r="A1377" s="22" t="s">
        <v>28</v>
      </c>
      <c r="B1377" s="23">
        <v>25</v>
      </c>
      <c r="C1377" s="23">
        <v>25</v>
      </c>
      <c r="D1377" s="23">
        <v>25</v>
      </c>
      <c r="E1377" s="23">
        <v>25</v>
      </c>
      <c r="F1377" s="47">
        <v>25</v>
      </c>
      <c r="G1377" s="185">
        <v>25</v>
      </c>
      <c r="H1377" s="185">
        <v>25</v>
      </c>
      <c r="I1377" s="23">
        <v>25</v>
      </c>
      <c r="J1377" s="23">
        <v>25</v>
      </c>
      <c r="K1377" s="23">
        <v>25</v>
      </c>
      <c r="L1377" s="23">
        <v>25</v>
      </c>
    </row>
    <row r="1378" spans="1:14" x14ac:dyDescent="0.25">
      <c r="A1378" s="22" t="s">
        <v>29</v>
      </c>
      <c r="B1378" s="23">
        <f>(B1379)</f>
        <v>-5</v>
      </c>
      <c r="C1378" s="23">
        <v>25</v>
      </c>
      <c r="D1378" s="23">
        <f>(D1379)</f>
        <v>25</v>
      </c>
      <c r="E1378" s="23">
        <f>(E1379)</f>
        <v>24</v>
      </c>
      <c r="F1378" s="23">
        <f>F1377</f>
        <v>25</v>
      </c>
      <c r="G1378" s="185">
        <v>29</v>
      </c>
      <c r="H1378" s="185">
        <f>H1377+5</f>
        <v>30</v>
      </c>
      <c r="I1378" s="23">
        <f>I1379</f>
        <v>30</v>
      </c>
      <c r="J1378" s="23">
        <f>J1379</f>
        <v>30</v>
      </c>
      <c r="K1378" s="23"/>
      <c r="L1378" s="23"/>
    </row>
    <row r="1379" spans="1:14" x14ac:dyDescent="0.25">
      <c r="A1379" s="22" t="s">
        <v>30</v>
      </c>
      <c r="B1379" s="47">
        <f>(B1377-B1380)</f>
        <v>-5</v>
      </c>
      <c r="C1379" s="47">
        <v>25</v>
      </c>
      <c r="D1379" s="47">
        <f>D1377+B1381+C1381</f>
        <v>25</v>
      </c>
      <c r="E1379" s="47">
        <f>E1377+D1381</f>
        <v>24</v>
      </c>
      <c r="F1379" s="47">
        <v>25</v>
      </c>
      <c r="G1379" s="185">
        <v>29</v>
      </c>
      <c r="H1379" s="185">
        <f>H1377+5</f>
        <v>30</v>
      </c>
      <c r="I1379" s="23">
        <f>I1377+0.2*G1377</f>
        <v>30</v>
      </c>
      <c r="J1379" s="23">
        <f>J1377+0.2*H1377</f>
        <v>30</v>
      </c>
      <c r="K1379" s="23"/>
      <c r="L1379" s="23"/>
    </row>
    <row r="1380" spans="1:14" x14ac:dyDescent="0.25">
      <c r="A1380" s="22" t="s">
        <v>36</v>
      </c>
      <c r="B1380" s="47">
        <v>30</v>
      </c>
      <c r="C1380" s="47">
        <v>20</v>
      </c>
      <c r="D1380" s="47">
        <v>26</v>
      </c>
      <c r="E1380" s="47">
        <v>20</v>
      </c>
      <c r="F1380" s="47">
        <v>12</v>
      </c>
      <c r="G1380" s="185">
        <v>15.89</v>
      </c>
      <c r="H1380" s="185">
        <v>9</v>
      </c>
      <c r="I1380" s="23">
        <v>10</v>
      </c>
      <c r="J1380" s="23">
        <v>12</v>
      </c>
      <c r="K1380" s="23">
        <v>8</v>
      </c>
      <c r="L1380" s="23"/>
    </row>
    <row r="1381" spans="1:14" x14ac:dyDescent="0.25">
      <c r="A1381" s="22" t="s">
        <v>37</v>
      </c>
      <c r="B1381" s="23">
        <v>-5</v>
      </c>
      <c r="C1381" s="23">
        <v>5</v>
      </c>
      <c r="D1381" s="23">
        <f>D1378-D1380</f>
        <v>-1</v>
      </c>
      <c r="E1381" s="128">
        <f>E1378-E1380</f>
        <v>4</v>
      </c>
      <c r="F1381" s="23">
        <f>F1378-F1380</f>
        <v>13</v>
      </c>
      <c r="G1381" s="185">
        <v>13.11</v>
      </c>
      <c r="H1381" s="185">
        <f>H1378-H1380</f>
        <v>21</v>
      </c>
      <c r="I1381" s="185">
        <f>I1378-I1380</f>
        <v>20</v>
      </c>
      <c r="J1381" s="23">
        <f>J1378-J1380</f>
        <v>18</v>
      </c>
      <c r="K1381" s="23">
        <f>K1377-K1380</f>
        <v>17</v>
      </c>
      <c r="L1381" s="23"/>
    </row>
    <row r="1382" spans="1:14" x14ac:dyDescent="0.25">
      <c r="A1382" s="36" t="s">
        <v>33</v>
      </c>
      <c r="B1382" s="69">
        <v>2015</v>
      </c>
      <c r="C1382" s="69">
        <v>2016</v>
      </c>
      <c r="D1382" s="69">
        <v>2017</v>
      </c>
      <c r="E1382" s="69">
        <v>2018</v>
      </c>
      <c r="F1382" s="57">
        <v>2019</v>
      </c>
      <c r="G1382" s="57">
        <v>2020</v>
      </c>
      <c r="H1382" s="108">
        <v>2021</v>
      </c>
      <c r="I1382" s="57"/>
      <c r="J1382" s="57"/>
      <c r="K1382" s="57"/>
      <c r="L1382" s="57"/>
    </row>
    <row r="1383" spans="1:14" x14ac:dyDescent="0.25">
      <c r="A1383" s="49" t="s">
        <v>34</v>
      </c>
      <c r="B1383" s="30"/>
      <c r="C1383" s="30"/>
      <c r="D1383" s="30"/>
      <c r="E1383" s="30"/>
      <c r="F1383" s="30"/>
      <c r="G1383" s="30"/>
      <c r="H1383" s="30"/>
      <c r="I1383" s="30"/>
      <c r="J1383" s="30"/>
      <c r="K1383" s="31"/>
      <c r="L1383" s="31"/>
    </row>
    <row r="1384" spans="1:14" x14ac:dyDescent="0.25">
      <c r="A1384" s="1" t="s">
        <v>307</v>
      </c>
      <c r="B1384" s="30"/>
      <c r="C1384" s="30"/>
      <c r="D1384" s="30"/>
      <c r="E1384" s="30"/>
      <c r="F1384" s="30"/>
      <c r="G1384" s="30"/>
      <c r="H1384" s="30"/>
      <c r="I1384" s="30"/>
      <c r="J1384" s="30"/>
      <c r="K1384" s="30"/>
      <c r="L1384" s="31"/>
    </row>
    <row r="1385" spans="1:14" x14ac:dyDescent="0.25">
      <c r="A1385" s="20" t="s">
        <v>308</v>
      </c>
      <c r="L1385" s="21"/>
    </row>
    <row r="1386" spans="1:14" x14ac:dyDescent="0.25">
      <c r="A1386" s="5" t="s">
        <v>309</v>
      </c>
      <c r="L1386" s="21"/>
    </row>
    <row r="1387" spans="1:14" x14ac:dyDescent="0.25">
      <c r="A1387" s="5" t="s">
        <v>310</v>
      </c>
      <c r="L1387" s="21"/>
    </row>
    <row r="1388" spans="1:14" x14ac:dyDescent="0.25">
      <c r="A1388" s="20" t="s">
        <v>311</v>
      </c>
      <c r="L1388" s="21"/>
    </row>
    <row r="1389" spans="1:14" x14ac:dyDescent="0.25">
      <c r="A1389" s="20" t="s">
        <v>412</v>
      </c>
      <c r="L1389" s="21"/>
    </row>
    <row r="1390" spans="1:14" x14ac:dyDescent="0.25">
      <c r="A1390" s="32" t="s">
        <v>413</v>
      </c>
      <c r="B1390" s="33"/>
      <c r="C1390" s="33"/>
      <c r="D1390" s="33"/>
      <c r="E1390" s="33"/>
      <c r="F1390" s="33"/>
      <c r="G1390" s="33"/>
      <c r="H1390" s="33"/>
      <c r="I1390" s="33"/>
      <c r="J1390" s="33"/>
      <c r="K1390" s="33"/>
      <c r="L1390" s="34"/>
    </row>
    <row r="1391" spans="1:14" x14ac:dyDescent="0.25">
      <c r="A1391" s="221"/>
      <c r="B1391" s="221"/>
      <c r="C1391" s="221"/>
      <c r="D1391" s="221"/>
      <c r="E1391" s="221"/>
      <c r="F1391" s="221"/>
      <c r="G1391" s="221"/>
      <c r="H1391" s="221"/>
      <c r="I1391" s="221"/>
      <c r="J1391" s="221"/>
      <c r="K1391" s="221"/>
      <c r="L1391" s="221"/>
      <c r="M1391" s="221"/>
      <c r="N1391" s="221"/>
    </row>
    <row r="1392" spans="1:14" x14ac:dyDescent="0.25">
      <c r="A1392" s="221"/>
      <c r="B1392" s="221"/>
      <c r="C1392" s="221"/>
      <c r="D1392" s="221"/>
      <c r="E1392" s="221"/>
      <c r="F1392" s="221"/>
      <c r="G1392" s="221"/>
      <c r="H1392" s="221"/>
      <c r="I1392" s="221"/>
      <c r="J1392" s="221"/>
      <c r="K1392" s="221"/>
      <c r="L1392" s="221"/>
      <c r="M1392" s="221"/>
      <c r="N1392" s="221"/>
    </row>
    <row r="1393" spans="1:14" x14ac:dyDescent="0.25">
      <c r="A1393" s="392" t="s">
        <v>12</v>
      </c>
      <c r="B1393" s="551" t="s">
        <v>459</v>
      </c>
      <c r="C1393" s="252"/>
      <c r="D1393" s="252"/>
      <c r="E1393" s="252"/>
      <c r="F1393" s="252"/>
      <c r="G1393" s="252"/>
      <c r="H1393" s="221"/>
      <c r="I1393" s="221"/>
      <c r="J1393" s="221"/>
      <c r="K1393" s="221"/>
      <c r="L1393" s="221"/>
      <c r="M1393" s="221"/>
      <c r="N1393" s="221"/>
    </row>
    <row r="1394" spans="1:14" x14ac:dyDescent="0.25">
      <c r="A1394" s="554" t="s">
        <v>14</v>
      </c>
      <c r="B1394" s="555" t="s">
        <v>654</v>
      </c>
      <c r="C1394" s="250" t="s">
        <v>15</v>
      </c>
      <c r="D1394" s="252"/>
      <c r="E1394" s="252"/>
      <c r="F1394" s="252"/>
      <c r="G1394" s="252"/>
      <c r="H1394" s="221"/>
      <c r="I1394" s="221"/>
      <c r="J1394" s="221"/>
      <c r="K1394" s="221"/>
      <c r="L1394" s="221"/>
      <c r="M1394" s="221"/>
      <c r="N1394" s="221"/>
    </row>
    <row r="1395" spans="1:14" x14ac:dyDescent="0.25">
      <c r="A1395" s="321" t="s">
        <v>16</v>
      </c>
      <c r="B1395" s="322"/>
      <c r="C1395" s="337">
        <v>2016</v>
      </c>
      <c r="D1395" s="228">
        <v>2017</v>
      </c>
      <c r="E1395" s="228">
        <v>2018</v>
      </c>
      <c r="F1395" s="228">
        <v>2019</v>
      </c>
      <c r="G1395" s="228">
        <v>2020</v>
      </c>
      <c r="H1395" s="228">
        <v>2021</v>
      </c>
      <c r="I1395" s="228">
        <v>2022</v>
      </c>
      <c r="J1395" s="228">
        <v>2023</v>
      </c>
      <c r="K1395" s="221"/>
      <c r="L1395" s="221"/>
      <c r="M1395" s="221"/>
      <c r="N1395" s="221"/>
    </row>
    <row r="1396" spans="1:14" x14ac:dyDescent="0.25">
      <c r="A1396" s="253" t="s">
        <v>17</v>
      </c>
      <c r="B1396" s="324"/>
      <c r="C1396" s="325">
        <v>1168</v>
      </c>
      <c r="D1396" s="429">
        <v>1168</v>
      </c>
      <c r="E1396" s="429">
        <v>1168</v>
      </c>
      <c r="F1396" s="429">
        <v>1168</v>
      </c>
      <c r="G1396" s="429">
        <v>1168</v>
      </c>
      <c r="H1396" s="429">
        <v>1168</v>
      </c>
      <c r="I1396" s="429">
        <v>1168</v>
      </c>
      <c r="J1396" s="429">
        <v>1168</v>
      </c>
      <c r="K1396" s="221"/>
      <c r="L1396" s="221"/>
      <c r="M1396" s="221"/>
      <c r="N1396" s="221"/>
    </row>
    <row r="1397" spans="1:14" x14ac:dyDescent="0.25">
      <c r="A1397" s="253" t="s">
        <v>18</v>
      </c>
      <c r="B1397" s="324"/>
      <c r="C1397" s="430">
        <f>C1396+0.3*C1396+50+50+50</f>
        <v>1668.4</v>
      </c>
      <c r="D1397" s="430">
        <f>D1396+0.3*D1396+50+50+50</f>
        <v>1668.4</v>
      </c>
      <c r="E1397" s="430">
        <f>E1396+0.2*E1396+50+50+50</f>
        <v>1551.6</v>
      </c>
      <c r="F1397" s="430">
        <f>F1396+0.2*F1396+50+50+50</f>
        <v>1551.6</v>
      </c>
      <c r="G1397" s="430">
        <f>G1396+0.2*G1396+50+50+50</f>
        <v>1551.6</v>
      </c>
      <c r="H1397" s="430">
        <f>H1396+0.2*H1396+50+50</f>
        <v>1501.6</v>
      </c>
      <c r="I1397" s="430">
        <f>I1396+0.2*G1396+50</f>
        <v>1451.6</v>
      </c>
      <c r="J1397" s="430">
        <f>J1396+0.1*H1396+50</f>
        <v>1334.8</v>
      </c>
      <c r="K1397" s="221"/>
      <c r="L1397" s="221"/>
      <c r="M1397" s="221"/>
      <c r="N1397" s="221"/>
    </row>
    <row r="1398" spans="1:14" x14ac:dyDescent="0.25">
      <c r="A1398" s="253" t="s">
        <v>19</v>
      </c>
      <c r="B1398" s="431"/>
      <c r="C1398" s="430" t="s">
        <v>462</v>
      </c>
      <c r="D1398" s="430" t="s">
        <v>462</v>
      </c>
      <c r="E1398" s="430" t="s">
        <v>465</v>
      </c>
      <c r="F1398" s="430" t="s">
        <v>465</v>
      </c>
      <c r="G1398" s="430" t="s">
        <v>465</v>
      </c>
      <c r="H1398" s="430" t="s">
        <v>685</v>
      </c>
      <c r="I1398" s="430" t="s">
        <v>875</v>
      </c>
      <c r="J1398" s="430" t="s">
        <v>876</v>
      </c>
      <c r="K1398" s="221"/>
      <c r="L1398" s="221"/>
      <c r="M1398" s="221"/>
      <c r="N1398" s="221"/>
    </row>
    <row r="1399" spans="1:14" x14ac:dyDescent="0.25">
      <c r="A1399" s="253" t="s">
        <v>20</v>
      </c>
      <c r="B1399" s="324"/>
      <c r="C1399" s="325">
        <v>466</v>
      </c>
      <c r="D1399" s="429">
        <v>717</v>
      </c>
      <c r="E1399" s="429">
        <v>881</v>
      </c>
      <c r="F1399" s="429">
        <v>811.28</v>
      </c>
      <c r="G1399" s="429">
        <v>789.23699999999997</v>
      </c>
      <c r="H1399" s="429">
        <v>252.99</v>
      </c>
      <c r="I1399" s="429">
        <v>1083</v>
      </c>
      <c r="J1399" s="429"/>
      <c r="K1399" s="221"/>
      <c r="L1399" s="221"/>
      <c r="M1399" s="221"/>
      <c r="N1399" s="221"/>
    </row>
    <row r="1400" spans="1:14" x14ac:dyDescent="0.25">
      <c r="A1400" s="253" t="s">
        <v>21</v>
      </c>
      <c r="B1400" s="324"/>
      <c r="C1400" s="325">
        <f>C1397-C1399</f>
        <v>1202.4000000000001</v>
      </c>
      <c r="D1400" s="325">
        <f t="shared" ref="D1400:I1400" si="41">D1397-D1399</f>
        <v>951.40000000000009</v>
      </c>
      <c r="E1400" s="325">
        <f t="shared" si="41"/>
        <v>670.59999999999991</v>
      </c>
      <c r="F1400" s="325">
        <f t="shared" si="41"/>
        <v>740.31999999999994</v>
      </c>
      <c r="G1400" s="325">
        <f t="shared" si="41"/>
        <v>762.36299999999994</v>
      </c>
      <c r="H1400" s="325">
        <f t="shared" si="41"/>
        <v>1248.6099999999999</v>
      </c>
      <c r="I1400" s="325">
        <f t="shared" si="41"/>
        <v>368.59999999999991</v>
      </c>
      <c r="J1400" s="325"/>
      <c r="K1400" s="221"/>
      <c r="L1400" s="221"/>
      <c r="M1400" s="221"/>
      <c r="N1400" s="221"/>
    </row>
    <row r="1401" spans="1:14" x14ac:dyDescent="0.25">
      <c r="A1401" s="253" t="s">
        <v>22</v>
      </c>
      <c r="B1401" s="324"/>
      <c r="C1401" s="323">
        <v>2018</v>
      </c>
      <c r="D1401" s="323">
        <v>2019</v>
      </c>
      <c r="E1401" s="323">
        <v>2020</v>
      </c>
      <c r="F1401" s="323">
        <v>2021</v>
      </c>
      <c r="G1401" s="323">
        <v>2022</v>
      </c>
      <c r="H1401" s="323">
        <v>2023</v>
      </c>
      <c r="I1401" s="323">
        <v>2023</v>
      </c>
      <c r="J1401" s="323">
        <v>2025</v>
      </c>
      <c r="K1401" s="221"/>
      <c r="L1401" s="221"/>
      <c r="M1401" s="221"/>
      <c r="N1401" s="221"/>
    </row>
    <row r="1402" spans="1:14" x14ac:dyDescent="0.25">
      <c r="A1402" s="728" t="s">
        <v>23</v>
      </c>
      <c r="B1402" s="729"/>
      <c r="C1402" s="729"/>
      <c r="D1402" s="729"/>
      <c r="E1402" s="729"/>
      <c r="F1402" s="258"/>
      <c r="G1402" s="259"/>
      <c r="H1402" s="259"/>
      <c r="I1402" s="259"/>
      <c r="J1402" s="259"/>
      <c r="K1402" s="221"/>
      <c r="L1402" s="221"/>
      <c r="M1402" s="221"/>
      <c r="N1402" s="221"/>
    </row>
    <row r="1403" spans="1:14" x14ac:dyDescent="0.25">
      <c r="A1403" s="432" t="s">
        <v>461</v>
      </c>
      <c r="B1403" s="433"/>
      <c r="C1403" s="433"/>
      <c r="D1403" s="433"/>
      <c r="E1403" s="433"/>
      <c r="F1403" s="258"/>
      <c r="G1403" s="258"/>
      <c r="H1403" s="217"/>
      <c r="I1403" s="217"/>
      <c r="J1403" s="217"/>
      <c r="K1403" s="221"/>
      <c r="L1403" s="221"/>
      <c r="M1403" s="221"/>
      <c r="N1403" s="221"/>
    </row>
    <row r="1404" spans="1:14" x14ac:dyDescent="0.25">
      <c r="A1404" s="220" t="s">
        <v>460</v>
      </c>
      <c r="B1404" s="221"/>
      <c r="C1404" s="221"/>
      <c r="D1404" s="221"/>
      <c r="E1404" s="221"/>
      <c r="F1404" s="221"/>
      <c r="G1404" s="221"/>
      <c r="H1404" s="222"/>
      <c r="I1404" s="222"/>
      <c r="J1404" s="222"/>
      <c r="K1404" s="221"/>
      <c r="L1404" s="221"/>
      <c r="M1404" s="221"/>
      <c r="N1404" s="221"/>
    </row>
    <row r="1405" spans="1:14" x14ac:dyDescent="0.25">
      <c r="A1405" s="220" t="s">
        <v>877</v>
      </c>
      <c r="B1405" s="221"/>
      <c r="C1405" s="221"/>
      <c r="D1405" s="221"/>
      <c r="E1405" s="221"/>
      <c r="F1405" s="221"/>
      <c r="G1405" s="221"/>
      <c r="H1405" s="222"/>
      <c r="I1405" s="222"/>
      <c r="J1405" s="222"/>
      <c r="K1405" s="221"/>
      <c r="L1405" s="221"/>
      <c r="M1405" s="221"/>
      <c r="N1405" s="221"/>
    </row>
    <row r="1406" spans="1:14" x14ac:dyDescent="0.25">
      <c r="A1406" s="220" t="s">
        <v>874</v>
      </c>
      <c r="B1406" s="221"/>
      <c r="C1406" s="221"/>
      <c r="D1406" s="221"/>
      <c r="E1406" s="221"/>
      <c r="F1406" s="221"/>
      <c r="G1406" s="221"/>
      <c r="H1406" s="222"/>
      <c r="I1406" s="222"/>
      <c r="J1406" s="222"/>
      <c r="K1406" s="221"/>
      <c r="L1406" s="221"/>
      <c r="M1406" s="221"/>
      <c r="N1406" s="221"/>
    </row>
    <row r="1407" spans="1:14" x14ac:dyDescent="0.25">
      <c r="A1407" s="220" t="s">
        <v>463</v>
      </c>
      <c r="B1407" s="221"/>
      <c r="C1407" s="221"/>
      <c r="D1407" s="221"/>
      <c r="E1407" s="221"/>
      <c r="F1407" s="221"/>
      <c r="G1407" s="221"/>
      <c r="H1407" s="222"/>
      <c r="I1407" s="222"/>
      <c r="J1407" s="222"/>
      <c r="K1407" s="221"/>
      <c r="L1407" s="221"/>
      <c r="M1407" s="221"/>
      <c r="N1407" s="221"/>
    </row>
    <row r="1408" spans="1:14" x14ac:dyDescent="0.25">
      <c r="A1408" s="211" t="s">
        <v>464</v>
      </c>
      <c r="B1408" s="223"/>
      <c r="C1408" s="223"/>
      <c r="D1408" s="223"/>
      <c r="E1408" s="223"/>
      <c r="F1408" s="223"/>
      <c r="G1408" s="223"/>
      <c r="H1408" s="224"/>
      <c r="I1408" s="224"/>
      <c r="J1408" s="224"/>
      <c r="K1408" s="221"/>
      <c r="L1408" s="221"/>
      <c r="M1408" s="221"/>
      <c r="N1408" s="221"/>
    </row>
    <row r="1409" spans="1:14" x14ac:dyDescent="0.25">
      <c r="A1409" s="221"/>
      <c r="B1409" s="221"/>
      <c r="C1409" s="221"/>
      <c r="D1409" s="221"/>
      <c r="E1409" s="221"/>
      <c r="F1409" s="221"/>
      <c r="G1409" s="221"/>
      <c r="H1409" s="221"/>
      <c r="I1409" s="221"/>
      <c r="J1409" s="221"/>
      <c r="K1409" s="221"/>
      <c r="L1409" s="221"/>
      <c r="M1409" s="221"/>
      <c r="N1409" s="221"/>
    </row>
    <row r="1410" spans="1:14" x14ac:dyDescent="0.25">
      <c r="A1410" s="249" t="s">
        <v>14</v>
      </c>
      <c r="B1410" s="250" t="s">
        <v>651</v>
      </c>
      <c r="C1410" s="250" t="s">
        <v>15</v>
      </c>
      <c r="D1410" s="252"/>
      <c r="E1410" s="252"/>
      <c r="F1410" s="252"/>
      <c r="G1410" s="252"/>
      <c r="H1410" s="221"/>
      <c r="I1410" s="221"/>
      <c r="J1410" s="221"/>
      <c r="K1410" s="221"/>
      <c r="L1410" s="221"/>
      <c r="M1410" s="221"/>
      <c r="N1410" s="221"/>
    </row>
    <row r="1411" spans="1:14" x14ac:dyDescent="0.25">
      <c r="A1411" s="321" t="s">
        <v>16</v>
      </c>
      <c r="B1411" s="322"/>
      <c r="C1411" s="337">
        <v>2016</v>
      </c>
      <c r="D1411" s="228">
        <v>2017</v>
      </c>
      <c r="E1411" s="228">
        <v>2018</v>
      </c>
      <c r="F1411" s="228">
        <v>2019</v>
      </c>
      <c r="G1411" s="228">
        <v>2020</v>
      </c>
      <c r="H1411" s="228">
        <v>2021</v>
      </c>
      <c r="I1411" s="228">
        <v>2022</v>
      </c>
      <c r="J1411" s="228" t="s">
        <v>880</v>
      </c>
      <c r="K1411" s="228" t="s">
        <v>881</v>
      </c>
      <c r="L1411" s="228" t="s">
        <v>882</v>
      </c>
      <c r="M1411" s="221"/>
      <c r="N1411" s="221"/>
    </row>
    <row r="1412" spans="1:14" x14ac:dyDescent="0.25">
      <c r="A1412" s="253" t="s">
        <v>17</v>
      </c>
      <c r="B1412" s="324"/>
      <c r="C1412" s="325">
        <v>3600</v>
      </c>
      <c r="D1412" s="429">
        <v>3600</v>
      </c>
      <c r="E1412" s="429">
        <v>3600</v>
      </c>
      <c r="F1412" s="429">
        <v>3600</v>
      </c>
      <c r="G1412" s="429">
        <v>3600</v>
      </c>
      <c r="H1412" s="429">
        <v>3600</v>
      </c>
      <c r="I1412" s="429">
        <v>3600</v>
      </c>
      <c r="J1412" s="429">
        <v>4320</v>
      </c>
      <c r="K1412" s="429">
        <v>4320</v>
      </c>
      <c r="L1412" s="429">
        <v>4320</v>
      </c>
      <c r="M1412" s="221"/>
      <c r="N1412" s="221"/>
    </row>
    <row r="1413" spans="1:14" x14ac:dyDescent="0.25">
      <c r="A1413" s="253" t="s">
        <v>18</v>
      </c>
      <c r="B1413" s="324"/>
      <c r="C1413" s="430">
        <f>C1412+0.25*C1412</f>
        <v>4500</v>
      </c>
      <c r="D1413" s="430">
        <v>4477</v>
      </c>
      <c r="E1413" s="430">
        <f>E1412+0.25*E1412</f>
        <v>4500</v>
      </c>
      <c r="F1413" s="430">
        <f>F1412+0.25*F1412</f>
        <v>4500</v>
      </c>
      <c r="G1413" s="430">
        <f>G1412+0.25*G1412</f>
        <v>4500</v>
      </c>
      <c r="H1413" s="430">
        <f>H1412+0.25*H1412</f>
        <v>4500</v>
      </c>
      <c r="I1413" s="430">
        <f>I1412+0.25*I1412</f>
        <v>4500</v>
      </c>
      <c r="J1413" s="430">
        <f>J1412+0.25*H1412</f>
        <v>5220</v>
      </c>
      <c r="K1413" s="430">
        <f>K1412+I1416</f>
        <v>2075</v>
      </c>
      <c r="L1413" s="430">
        <f>L1412</f>
        <v>4320</v>
      </c>
      <c r="M1413" s="221"/>
      <c r="N1413" s="221"/>
    </row>
    <row r="1414" spans="1:14" ht="39.6" x14ac:dyDescent="0.25">
      <c r="A1414" s="253" t="s">
        <v>19</v>
      </c>
      <c r="B1414" s="431"/>
      <c r="C1414" s="430" t="s">
        <v>878</v>
      </c>
      <c r="D1414" s="430" t="s">
        <v>878</v>
      </c>
      <c r="E1414" s="430" t="s">
        <v>878</v>
      </c>
      <c r="F1414" s="430" t="s">
        <v>878</v>
      </c>
      <c r="G1414" s="430" t="s">
        <v>878</v>
      </c>
      <c r="H1414" s="430" t="s">
        <v>878</v>
      </c>
      <c r="I1414" s="430" t="s">
        <v>878</v>
      </c>
      <c r="J1414" s="430" t="s">
        <v>879</v>
      </c>
      <c r="K1414" s="625" t="s">
        <v>884</v>
      </c>
      <c r="L1414" s="625" t="s">
        <v>885</v>
      </c>
      <c r="M1414" s="221"/>
      <c r="N1414" s="221"/>
    </row>
    <row r="1415" spans="1:14" x14ac:dyDescent="0.25">
      <c r="A1415" s="253" t="s">
        <v>20</v>
      </c>
      <c r="B1415" s="324"/>
      <c r="C1415" s="325">
        <v>994</v>
      </c>
      <c r="D1415" s="429">
        <v>365.62</v>
      </c>
      <c r="E1415" s="429">
        <v>888.8</v>
      </c>
      <c r="F1415" s="429">
        <v>966.50400000000002</v>
      </c>
      <c r="G1415" s="429">
        <v>2165.75</v>
      </c>
      <c r="H1415" s="429">
        <v>3412.63</v>
      </c>
      <c r="I1415" s="429">
        <v>6745</v>
      </c>
      <c r="J1415" s="429"/>
      <c r="K1415" s="429"/>
      <c r="L1415" s="429"/>
      <c r="M1415" s="221"/>
      <c r="N1415" s="221"/>
    </row>
    <row r="1416" spans="1:14" x14ac:dyDescent="0.25">
      <c r="A1416" s="253" t="s">
        <v>21</v>
      </c>
      <c r="B1416" s="324"/>
      <c r="C1416" s="325">
        <f>C1413-C1415</f>
        <v>3506</v>
      </c>
      <c r="D1416" s="325">
        <f t="shared" ref="D1416:I1416" si="42">D1413-D1415</f>
        <v>4111.38</v>
      </c>
      <c r="E1416" s="325">
        <f t="shared" si="42"/>
        <v>3611.2</v>
      </c>
      <c r="F1416" s="325">
        <f t="shared" si="42"/>
        <v>3533.4960000000001</v>
      </c>
      <c r="G1416" s="325">
        <f t="shared" si="42"/>
        <v>2334.25</v>
      </c>
      <c r="H1416" s="325">
        <f t="shared" si="42"/>
        <v>1087.3699999999999</v>
      </c>
      <c r="I1416" s="325">
        <f t="shared" si="42"/>
        <v>-2245</v>
      </c>
      <c r="J1416" s="325"/>
      <c r="K1416" s="325"/>
      <c r="L1416" s="325"/>
      <c r="M1416" s="221"/>
      <c r="N1416" s="221"/>
    </row>
    <row r="1417" spans="1:14" x14ac:dyDescent="0.25">
      <c r="A1417" s="253" t="s">
        <v>22</v>
      </c>
      <c r="B1417" s="324"/>
      <c r="C1417" s="323">
        <v>2018</v>
      </c>
      <c r="D1417" s="323">
        <v>2019</v>
      </c>
      <c r="E1417" s="323">
        <v>2020</v>
      </c>
      <c r="F1417" s="323">
        <v>2021</v>
      </c>
      <c r="G1417" s="323">
        <v>2022</v>
      </c>
      <c r="H1417" s="323">
        <v>2023</v>
      </c>
      <c r="I1417" s="323">
        <v>2024</v>
      </c>
      <c r="J1417" s="323">
        <v>2025</v>
      </c>
      <c r="K1417" s="323">
        <v>2026</v>
      </c>
      <c r="L1417" s="323">
        <v>2027</v>
      </c>
      <c r="M1417" s="221"/>
      <c r="N1417" s="221"/>
    </row>
    <row r="1418" spans="1:14" x14ac:dyDescent="0.25">
      <c r="A1418" s="728" t="s">
        <v>23</v>
      </c>
      <c r="B1418" s="729"/>
      <c r="C1418" s="729"/>
      <c r="D1418" s="729"/>
      <c r="E1418" s="729"/>
      <c r="F1418" s="258"/>
      <c r="G1418" s="259"/>
      <c r="H1418" s="259"/>
      <c r="I1418" s="259"/>
      <c r="J1418" s="259"/>
      <c r="K1418" s="259"/>
      <c r="L1418" s="259"/>
      <c r="M1418" s="221"/>
      <c r="N1418" s="221"/>
    </row>
    <row r="1419" spans="1:14" x14ac:dyDescent="0.25">
      <c r="A1419" s="513" t="s">
        <v>883</v>
      </c>
      <c r="B1419" s="514"/>
      <c r="C1419" s="514"/>
      <c r="D1419" s="514"/>
      <c r="E1419" s="514"/>
      <c r="F1419" s="582"/>
      <c r="G1419" s="582"/>
      <c r="H1419" s="232"/>
      <c r="I1419" s="232"/>
      <c r="J1419" s="232"/>
      <c r="K1419" s="232"/>
      <c r="L1419" s="232"/>
      <c r="M1419" s="221"/>
      <c r="N1419" s="221"/>
    </row>
    <row r="1420" spans="1:14" x14ac:dyDescent="0.25">
      <c r="A1420" s="221"/>
      <c r="B1420" s="221"/>
      <c r="C1420" s="221"/>
      <c r="D1420" s="221"/>
      <c r="E1420" s="221"/>
      <c r="F1420" s="221"/>
      <c r="G1420" s="221"/>
      <c r="H1420" s="221"/>
      <c r="I1420" s="221"/>
      <c r="J1420" s="221"/>
      <c r="K1420" s="221"/>
      <c r="L1420" s="221"/>
      <c r="M1420" s="221"/>
      <c r="N1420" s="221"/>
    </row>
    <row r="1421" spans="1:14" x14ac:dyDescent="0.25">
      <c r="A1421" s="631" t="s">
        <v>14</v>
      </c>
      <c r="B1421" s="632" t="s">
        <v>74</v>
      </c>
      <c r="C1421" s="632" t="s">
        <v>152</v>
      </c>
      <c r="D1421" s="634"/>
      <c r="E1421" s="634"/>
      <c r="F1421" s="634"/>
      <c r="G1421" s="634"/>
      <c r="H1421" s="634"/>
      <c r="I1421" s="634"/>
    </row>
    <row r="1422" spans="1:14" x14ac:dyDescent="0.25">
      <c r="A1422" s="197" t="s">
        <v>16</v>
      </c>
      <c r="B1422" s="655">
        <v>2016</v>
      </c>
      <c r="C1422" s="198">
        <v>2017</v>
      </c>
      <c r="D1422" s="198">
        <v>2018</v>
      </c>
      <c r="E1422" s="198">
        <v>2019</v>
      </c>
      <c r="F1422" s="198">
        <v>2020</v>
      </c>
      <c r="G1422" s="198">
        <v>2021</v>
      </c>
      <c r="H1422" s="198">
        <v>2022</v>
      </c>
      <c r="I1422" s="198">
        <v>2023</v>
      </c>
    </row>
    <row r="1423" spans="1:14" x14ac:dyDescent="0.25">
      <c r="A1423" s="635" t="s">
        <v>17</v>
      </c>
      <c r="B1423" s="45">
        <v>10</v>
      </c>
      <c r="C1423" s="45">
        <v>10</v>
      </c>
      <c r="D1423" s="45">
        <v>10</v>
      </c>
      <c r="E1423" s="45">
        <v>10</v>
      </c>
      <c r="F1423" s="45">
        <v>10</v>
      </c>
      <c r="G1423" s="45">
        <v>10</v>
      </c>
      <c r="H1423" s="45">
        <v>10</v>
      </c>
      <c r="I1423" s="45">
        <v>10</v>
      </c>
    </row>
    <row r="1424" spans="1:14" x14ac:dyDescent="0.25">
      <c r="A1424" s="635" t="s">
        <v>18</v>
      </c>
      <c r="B1424" s="45">
        <v>10</v>
      </c>
      <c r="C1424" s="45">
        <f>C1423+B1427</f>
        <v>-12</v>
      </c>
      <c r="D1424" s="45">
        <f>D1423+C1427</f>
        <v>-59</v>
      </c>
      <c r="E1424" s="45">
        <f>E1423+D1427</f>
        <v>-133</v>
      </c>
      <c r="F1424" s="45">
        <f>F1423+E1427</f>
        <v>-175.72</v>
      </c>
      <c r="G1424" s="45">
        <f>F1427+G1423</f>
        <v>-217.13</v>
      </c>
      <c r="H1424" s="45">
        <f xml:space="preserve"> 1.25*G1427+H1423</f>
        <v>-273.72499999999997</v>
      </c>
      <c r="I1424" s="45">
        <f xml:space="preserve"> 1.25*H1427+I1423</f>
        <v>-342.58124999999995</v>
      </c>
    </row>
    <row r="1425" spans="1:14" x14ac:dyDescent="0.25">
      <c r="A1425" s="635" t="s">
        <v>19</v>
      </c>
      <c r="B1425" s="199"/>
      <c r="C1425" s="199" t="s">
        <v>403</v>
      </c>
      <c r="D1425" s="199" t="s">
        <v>404</v>
      </c>
      <c r="E1425" s="199" t="s">
        <v>405</v>
      </c>
      <c r="F1425" s="199" t="s">
        <v>406</v>
      </c>
      <c r="G1425" s="199" t="s">
        <v>574</v>
      </c>
      <c r="H1425" s="199" t="s">
        <v>617</v>
      </c>
      <c r="I1425" s="199" t="s">
        <v>638</v>
      </c>
    </row>
    <row r="1426" spans="1:14" x14ac:dyDescent="0.25">
      <c r="A1426" s="635" t="s">
        <v>20</v>
      </c>
      <c r="B1426" s="199">
        <v>32</v>
      </c>
      <c r="C1426" s="199">
        <v>57</v>
      </c>
      <c r="D1426" s="199">
        <v>84</v>
      </c>
      <c r="E1426" s="199">
        <v>52.72</v>
      </c>
      <c r="F1426" s="199">
        <v>51.41</v>
      </c>
      <c r="G1426" s="199">
        <v>9.85</v>
      </c>
      <c r="H1426" s="199">
        <v>8.34</v>
      </c>
      <c r="I1426" s="199"/>
    </row>
    <row r="1427" spans="1:14" x14ac:dyDescent="0.25">
      <c r="A1427" s="635" t="s">
        <v>21</v>
      </c>
      <c r="B1427" s="45">
        <f t="shared" ref="B1427:H1427" si="43">B1424-B1426</f>
        <v>-22</v>
      </c>
      <c r="C1427" s="45">
        <f t="shared" si="43"/>
        <v>-69</v>
      </c>
      <c r="D1427" s="45">
        <f t="shared" si="43"/>
        <v>-143</v>
      </c>
      <c r="E1427" s="45">
        <f t="shared" si="43"/>
        <v>-185.72</v>
      </c>
      <c r="F1427" s="45">
        <f t="shared" si="43"/>
        <v>-227.13</v>
      </c>
      <c r="G1427" s="45">
        <f t="shared" si="43"/>
        <v>-226.98</v>
      </c>
      <c r="H1427" s="45">
        <f t="shared" si="43"/>
        <v>-282.06499999999994</v>
      </c>
      <c r="I1427" s="45"/>
    </row>
    <row r="1428" spans="1:14" x14ac:dyDescent="0.25">
      <c r="A1428" s="639" t="s">
        <v>22</v>
      </c>
      <c r="B1428" s="656">
        <v>2017</v>
      </c>
      <c r="C1428" s="656">
        <v>2018</v>
      </c>
      <c r="D1428" s="656">
        <v>2019</v>
      </c>
      <c r="E1428" s="656">
        <v>2020</v>
      </c>
      <c r="F1428" s="656">
        <v>2021</v>
      </c>
      <c r="G1428" s="656">
        <v>2022</v>
      </c>
      <c r="H1428" s="656">
        <v>2023</v>
      </c>
      <c r="I1428" s="656">
        <v>2023</v>
      </c>
    </row>
    <row r="1429" spans="1:14" x14ac:dyDescent="0.25">
      <c r="A1429" s="639" t="s">
        <v>179</v>
      </c>
      <c r="B1429" s="641"/>
      <c r="C1429" s="641"/>
      <c r="D1429" s="641"/>
      <c r="E1429" s="641"/>
      <c r="F1429" s="641"/>
      <c r="G1429" s="641"/>
      <c r="H1429" s="641"/>
      <c r="I1429" s="613"/>
    </row>
    <row r="1430" spans="1:14" x14ac:dyDescent="0.25">
      <c r="A1430" s="653" t="s">
        <v>407</v>
      </c>
      <c r="B1430" s="634"/>
      <c r="C1430" s="634"/>
      <c r="D1430" s="634"/>
      <c r="E1430" s="634"/>
      <c r="F1430" s="634"/>
      <c r="G1430" s="634"/>
      <c r="H1430" s="634"/>
      <c r="I1430" s="611"/>
    </row>
    <row r="1431" spans="1:14" x14ac:dyDescent="0.25">
      <c r="A1431" s="653" t="s">
        <v>408</v>
      </c>
      <c r="B1431" s="634"/>
      <c r="C1431" s="634"/>
      <c r="D1431" s="634"/>
      <c r="E1431" s="634"/>
      <c r="F1431" s="634"/>
      <c r="G1431" s="634"/>
      <c r="H1431" s="634"/>
      <c r="I1431" s="611"/>
    </row>
    <row r="1432" spans="1:14" x14ac:dyDescent="0.25">
      <c r="A1432" s="653" t="s">
        <v>409</v>
      </c>
      <c r="B1432" s="634"/>
      <c r="C1432" s="634"/>
      <c r="D1432" s="634"/>
      <c r="E1432" s="634"/>
      <c r="F1432" s="634"/>
      <c r="G1432" s="634"/>
      <c r="H1432" s="634"/>
      <c r="I1432" s="611"/>
    </row>
    <row r="1433" spans="1:14" x14ac:dyDescent="0.25">
      <c r="A1433" s="653" t="s">
        <v>573</v>
      </c>
      <c r="B1433" s="634"/>
      <c r="C1433" s="657"/>
      <c r="D1433" s="634"/>
      <c r="E1433" s="634"/>
      <c r="F1433" s="634"/>
      <c r="G1433" s="634"/>
      <c r="H1433" s="634"/>
      <c r="I1433" s="611"/>
    </row>
    <row r="1434" spans="1:14" x14ac:dyDescent="0.25">
      <c r="A1434" s="653" t="s">
        <v>575</v>
      </c>
      <c r="B1434" s="634"/>
      <c r="C1434" s="657"/>
      <c r="D1434" s="634"/>
      <c r="E1434" s="634"/>
      <c r="F1434" s="634"/>
      <c r="G1434" s="634"/>
      <c r="H1434" s="634"/>
      <c r="I1434" s="611"/>
    </row>
    <row r="1435" spans="1:14" x14ac:dyDescent="0.25">
      <c r="A1435" s="653" t="s">
        <v>953</v>
      </c>
      <c r="B1435" s="634"/>
      <c r="C1435" s="657"/>
      <c r="D1435" s="634"/>
      <c r="E1435" s="634"/>
      <c r="F1435" s="634"/>
      <c r="G1435" s="634"/>
      <c r="H1435" s="634"/>
      <c r="I1435" s="611"/>
    </row>
    <row r="1436" spans="1:14" x14ac:dyDescent="0.25">
      <c r="A1436" s="654" t="s">
        <v>954</v>
      </c>
      <c r="B1436" s="645"/>
      <c r="C1436" s="658"/>
      <c r="D1436" s="645"/>
      <c r="E1436" s="645"/>
      <c r="F1436" s="645"/>
      <c r="G1436" s="645"/>
      <c r="H1436" s="645"/>
      <c r="I1436" s="659"/>
    </row>
    <row r="1437" spans="1:14" x14ac:dyDescent="0.25">
      <c r="A1437" s="4"/>
      <c r="C1437" s="133"/>
    </row>
    <row r="1438" spans="1:14" x14ac:dyDescent="0.25">
      <c r="A1438" s="221"/>
      <c r="B1438" s="221"/>
      <c r="C1438" s="221"/>
      <c r="D1438" s="221"/>
      <c r="E1438" s="221"/>
      <c r="F1438" s="221"/>
      <c r="G1438" s="221"/>
      <c r="H1438" s="221"/>
      <c r="I1438" s="221"/>
      <c r="J1438" s="221"/>
      <c r="K1438" s="221"/>
      <c r="L1438" s="221"/>
      <c r="M1438" s="221"/>
      <c r="N1438" s="221"/>
    </row>
    <row r="1439" spans="1:14" x14ac:dyDescent="0.25">
      <c r="A1439" s="392" t="s">
        <v>12</v>
      </c>
      <c r="B1439" s="551" t="s">
        <v>261</v>
      </c>
      <c r="C1439" s="252"/>
      <c r="D1439" s="252"/>
      <c r="E1439" s="252"/>
      <c r="F1439" s="252"/>
      <c r="G1439" s="252"/>
      <c r="H1439" s="221"/>
      <c r="I1439" s="221"/>
      <c r="J1439" s="221"/>
      <c r="K1439" s="221"/>
      <c r="L1439" s="221"/>
      <c r="M1439" s="221"/>
      <c r="N1439" s="221"/>
    </row>
    <row r="1440" spans="1:14" x14ac:dyDescent="0.25">
      <c r="A1440" s="554" t="s">
        <v>14</v>
      </c>
      <c r="B1440" s="555" t="s">
        <v>655</v>
      </c>
      <c r="C1440" s="250" t="s">
        <v>15</v>
      </c>
      <c r="D1440" s="252"/>
      <c r="E1440" s="252"/>
      <c r="F1440" s="252"/>
      <c r="G1440" s="252"/>
      <c r="H1440" s="221"/>
      <c r="I1440" s="221"/>
      <c r="J1440" s="221"/>
      <c r="K1440" s="221"/>
      <c r="L1440" s="221"/>
      <c r="M1440" s="221"/>
      <c r="N1440" s="221"/>
    </row>
    <row r="1441" spans="1:14" x14ac:dyDescent="0.25">
      <c r="A1441" s="321" t="s">
        <v>16</v>
      </c>
      <c r="B1441" s="322"/>
      <c r="C1441" s="324"/>
      <c r="D1441" s="228">
        <v>2019</v>
      </c>
      <c r="E1441" s="228">
        <v>2020</v>
      </c>
      <c r="F1441" s="228">
        <v>2021</v>
      </c>
      <c r="G1441" s="228">
        <v>2022</v>
      </c>
      <c r="H1441" s="228">
        <v>2023</v>
      </c>
      <c r="I1441" s="221"/>
      <c r="J1441" s="221"/>
      <c r="K1441" s="221"/>
      <c r="L1441" s="221"/>
      <c r="M1441" s="221"/>
      <c r="N1441" s="221"/>
    </row>
    <row r="1442" spans="1:14" x14ac:dyDescent="0.25">
      <c r="A1442" s="253" t="s">
        <v>17</v>
      </c>
      <c r="B1442" s="324"/>
      <c r="C1442" s="324"/>
      <c r="D1442" s="429">
        <v>239</v>
      </c>
      <c r="E1442" s="429">
        <v>300</v>
      </c>
      <c r="F1442" s="429">
        <v>300</v>
      </c>
      <c r="G1442" s="429">
        <v>300</v>
      </c>
      <c r="H1442" s="429">
        <v>368</v>
      </c>
      <c r="I1442" s="221"/>
      <c r="J1442" s="221"/>
      <c r="K1442" s="221"/>
      <c r="L1442" s="221"/>
      <c r="M1442" s="221"/>
      <c r="N1442" s="221"/>
    </row>
    <row r="1443" spans="1:14" x14ac:dyDescent="0.25">
      <c r="A1443" s="253" t="s">
        <v>18</v>
      </c>
      <c r="B1443" s="324"/>
      <c r="C1443" s="324"/>
      <c r="D1443" s="429">
        <v>239</v>
      </c>
      <c r="E1443" s="429">
        <f>E1442+0.05*D1442</f>
        <v>311.95</v>
      </c>
      <c r="F1443" s="429">
        <f>F1442+0.05*E1442</f>
        <v>315</v>
      </c>
      <c r="G1443" s="429">
        <f>G1442+0.05*F1442</f>
        <v>315</v>
      </c>
      <c r="H1443" s="429">
        <f>H1442+0.05*G1442</f>
        <v>383</v>
      </c>
      <c r="I1443" s="221"/>
      <c r="J1443" s="221"/>
      <c r="K1443" s="221"/>
      <c r="L1443" s="221"/>
      <c r="M1443" s="221"/>
      <c r="N1443" s="221"/>
    </row>
    <row r="1444" spans="1:14" x14ac:dyDescent="0.25">
      <c r="A1444" s="253" t="s">
        <v>19</v>
      </c>
      <c r="B1444" s="431"/>
      <c r="C1444" s="329"/>
      <c r="D1444" s="253" t="s">
        <v>262</v>
      </c>
      <c r="E1444" s="590"/>
      <c r="F1444" s="590"/>
      <c r="G1444" s="590"/>
      <c r="H1444" s="590"/>
      <c r="I1444" s="221"/>
      <c r="J1444" s="221"/>
      <c r="K1444" s="221"/>
      <c r="L1444" s="221"/>
      <c r="M1444" s="221"/>
      <c r="N1444" s="221"/>
    </row>
    <row r="1445" spans="1:14" x14ac:dyDescent="0.25">
      <c r="A1445" s="253" t="s">
        <v>20</v>
      </c>
      <c r="B1445" s="324"/>
      <c r="C1445" s="324"/>
      <c r="D1445" s="590">
        <v>49.3</v>
      </c>
      <c r="E1445" s="590">
        <v>194.39</v>
      </c>
      <c r="F1445" s="590">
        <v>157.68</v>
      </c>
      <c r="G1445" s="590">
        <v>123.17</v>
      </c>
      <c r="H1445" s="590"/>
      <c r="I1445" s="221"/>
      <c r="J1445" s="221"/>
      <c r="K1445" s="221"/>
      <c r="L1445" s="221"/>
      <c r="M1445" s="221"/>
      <c r="N1445" s="221"/>
    </row>
    <row r="1446" spans="1:14" x14ac:dyDescent="0.25">
      <c r="A1446" s="253" t="s">
        <v>21</v>
      </c>
      <c r="B1446" s="324"/>
      <c r="C1446" s="324"/>
      <c r="D1446" s="590">
        <f>D1443-D1445</f>
        <v>189.7</v>
      </c>
      <c r="E1446" s="590">
        <f>E1443-E1445</f>
        <v>117.56</v>
      </c>
      <c r="F1446" s="590">
        <f>F1443-F1445</f>
        <v>157.32</v>
      </c>
      <c r="G1446" s="590">
        <f>G1443-G1445</f>
        <v>191.82999999999998</v>
      </c>
      <c r="H1446" s="590"/>
      <c r="I1446" s="221"/>
      <c r="J1446" s="221"/>
      <c r="K1446" s="221"/>
      <c r="L1446" s="221"/>
      <c r="M1446" s="221"/>
      <c r="N1446" s="221"/>
    </row>
    <row r="1447" spans="1:14" x14ac:dyDescent="0.25">
      <c r="A1447" s="256" t="s">
        <v>22</v>
      </c>
      <c r="B1447" s="257"/>
      <c r="C1447" s="257"/>
      <c r="D1447" s="259">
        <v>2020</v>
      </c>
      <c r="E1447" s="259">
        <v>2021</v>
      </c>
      <c r="F1447" s="259">
        <v>2022</v>
      </c>
      <c r="G1447" s="259">
        <v>2023</v>
      </c>
      <c r="H1447" s="259">
        <v>2024</v>
      </c>
      <c r="I1447" s="221"/>
      <c r="J1447" s="221"/>
      <c r="K1447" s="221"/>
      <c r="L1447" s="221"/>
      <c r="M1447" s="221"/>
      <c r="N1447" s="221"/>
    </row>
    <row r="1448" spans="1:14" x14ac:dyDescent="0.25">
      <c r="A1448" s="513" t="s">
        <v>23</v>
      </c>
      <c r="B1448" s="513"/>
      <c r="C1448" s="514"/>
      <c r="D1448" s="514"/>
      <c r="E1448" s="514"/>
      <c r="F1448" s="514"/>
      <c r="G1448" s="514"/>
      <c r="H1448" s="626"/>
      <c r="I1448" s="221"/>
      <c r="J1448" s="221"/>
      <c r="K1448" s="221"/>
      <c r="L1448" s="221"/>
      <c r="M1448" s="221"/>
      <c r="N1448" s="221"/>
    </row>
    <row r="1449" spans="1:14" ht="39.6" customHeight="1" x14ac:dyDescent="0.25">
      <c r="A1449" s="741" t="s">
        <v>263</v>
      </c>
      <c r="B1449" s="742"/>
      <c r="C1449" s="742"/>
      <c r="D1449" s="742"/>
      <c r="E1449" s="742"/>
      <c r="F1449" s="742"/>
      <c r="G1449" s="742"/>
      <c r="H1449" s="742"/>
      <c r="I1449" s="221"/>
      <c r="J1449" s="221"/>
      <c r="K1449" s="221"/>
      <c r="L1449" s="221"/>
      <c r="M1449" s="221"/>
      <c r="N1449" s="221"/>
    </row>
    <row r="1450" spans="1:14" ht="49.2" customHeight="1" x14ac:dyDescent="0.25">
      <c r="A1450" s="741" t="s">
        <v>784</v>
      </c>
      <c r="B1450" s="741"/>
      <c r="C1450" s="741"/>
      <c r="D1450" s="741"/>
      <c r="E1450" s="741"/>
      <c r="F1450" s="741"/>
      <c r="G1450" s="741"/>
      <c r="H1450" s="741"/>
      <c r="I1450" s="221"/>
      <c r="J1450" s="221"/>
      <c r="K1450" s="221"/>
      <c r="L1450" s="221"/>
      <c r="M1450" s="221"/>
      <c r="N1450" s="221"/>
    </row>
    <row r="1451" spans="1:14" ht="49.2" customHeight="1" x14ac:dyDescent="0.25">
      <c r="A1451" s="741" t="s">
        <v>783</v>
      </c>
      <c r="B1451" s="741"/>
      <c r="C1451" s="741"/>
      <c r="D1451" s="741"/>
      <c r="E1451" s="741"/>
      <c r="F1451" s="741"/>
      <c r="G1451" s="741"/>
      <c r="H1451" s="741"/>
      <c r="I1451" s="221"/>
      <c r="J1451" s="221"/>
      <c r="K1451" s="221"/>
      <c r="L1451" s="221"/>
      <c r="M1451" s="221"/>
      <c r="N1451" s="221"/>
    </row>
    <row r="1452" spans="1:14" x14ac:dyDescent="0.25">
      <c r="A1452" s="221"/>
      <c r="B1452" s="221"/>
      <c r="C1452" s="221"/>
      <c r="D1452" s="221"/>
      <c r="E1452" s="221"/>
    </row>
    <row r="1453" spans="1:14" x14ac:dyDescent="0.25">
      <c r="A1453" s="556" t="s">
        <v>24</v>
      </c>
      <c r="B1453" s="550" t="s">
        <v>602</v>
      </c>
      <c r="C1453" s="221"/>
      <c r="D1453" s="221"/>
      <c r="E1453" s="221"/>
    </row>
    <row r="1454" spans="1:14" x14ac:dyDescent="0.25">
      <c r="A1454" s="361" t="s">
        <v>14</v>
      </c>
      <c r="B1454" s="362" t="s">
        <v>651</v>
      </c>
      <c r="C1454" s="434" t="s">
        <v>26</v>
      </c>
      <c r="D1454" s="221"/>
      <c r="E1454" s="221"/>
    </row>
    <row r="1455" spans="1:14" x14ac:dyDescent="0.25">
      <c r="A1455" s="435" t="s">
        <v>27</v>
      </c>
      <c r="B1455" s="212">
        <v>2020</v>
      </c>
      <c r="C1455" s="212">
        <v>2021</v>
      </c>
      <c r="D1455" s="212">
        <v>2022</v>
      </c>
      <c r="E1455" s="221"/>
    </row>
    <row r="1456" spans="1:14" x14ac:dyDescent="0.25">
      <c r="A1456" s="226" t="s">
        <v>28</v>
      </c>
      <c r="B1456" s="325">
        <v>25</v>
      </c>
      <c r="C1456" s="215">
        <v>25</v>
      </c>
      <c r="D1456" s="215">
        <v>25</v>
      </c>
      <c r="E1456" s="221"/>
    </row>
    <row r="1457" spans="1:8" x14ac:dyDescent="0.25">
      <c r="A1457" s="226" t="s">
        <v>29</v>
      </c>
      <c r="B1457" s="325"/>
      <c r="C1457" s="325">
        <v>18.66</v>
      </c>
      <c r="D1457" s="325"/>
      <c r="E1457" s="221"/>
    </row>
    <row r="1458" spans="1:8" x14ac:dyDescent="0.25">
      <c r="A1458" s="226" t="s">
        <v>30</v>
      </c>
      <c r="B1458" s="436"/>
      <c r="C1458" s="436" t="s">
        <v>551</v>
      </c>
      <c r="D1458" s="436"/>
      <c r="E1458" s="221"/>
    </row>
    <row r="1459" spans="1:8" x14ac:dyDescent="0.25">
      <c r="A1459" s="226" t="s">
        <v>31</v>
      </c>
      <c r="B1459" s="325">
        <v>31.341000000000001</v>
      </c>
      <c r="C1459" s="215">
        <v>17.22</v>
      </c>
      <c r="D1459" s="215">
        <v>12.476000000000001</v>
      </c>
      <c r="E1459" s="221"/>
    </row>
    <row r="1460" spans="1:8" x14ac:dyDescent="0.25">
      <c r="A1460" s="226" t="s">
        <v>32</v>
      </c>
      <c r="B1460" s="325">
        <v>-6.3410000000000011</v>
      </c>
      <c r="C1460" s="325">
        <f>C1457-C1459</f>
        <v>1.4400000000000013</v>
      </c>
      <c r="D1460" s="325">
        <f>D1456-D1459</f>
        <v>12.523999999999999</v>
      </c>
      <c r="E1460" s="221"/>
    </row>
    <row r="1461" spans="1:8" x14ac:dyDescent="0.25">
      <c r="A1461" s="218" t="s">
        <v>33</v>
      </c>
      <c r="B1461" s="244">
        <v>2021</v>
      </c>
      <c r="C1461" s="244"/>
      <c r="D1461" s="244"/>
      <c r="E1461" s="221"/>
    </row>
    <row r="1462" spans="1:8" x14ac:dyDescent="0.25">
      <c r="A1462" s="218" t="s">
        <v>603</v>
      </c>
      <c r="B1462" s="280"/>
      <c r="C1462" s="280"/>
      <c r="D1462" s="245"/>
      <c r="E1462" s="437"/>
      <c r="F1462" s="105"/>
    </row>
    <row r="1463" spans="1:8" x14ac:dyDescent="0.25">
      <c r="A1463" s="220"/>
      <c r="B1463" s="437"/>
      <c r="C1463" s="437"/>
      <c r="D1463" s="438"/>
      <c r="E1463" s="437"/>
      <c r="F1463" s="105"/>
    </row>
    <row r="1464" spans="1:8" ht="63" customHeight="1" x14ac:dyDescent="0.25">
      <c r="A1464" s="717" t="s">
        <v>737</v>
      </c>
      <c r="B1464" s="718"/>
      <c r="C1464" s="718"/>
      <c r="D1464" s="740"/>
      <c r="E1464" s="437"/>
      <c r="F1464" s="105"/>
    </row>
    <row r="1465" spans="1:8" x14ac:dyDescent="0.25">
      <c r="A1465" s="220"/>
      <c r="B1465" s="437"/>
      <c r="C1465" s="437"/>
      <c r="D1465" s="438"/>
      <c r="E1465" s="437"/>
      <c r="F1465" s="105"/>
    </row>
    <row r="1466" spans="1:8" x14ac:dyDescent="0.25">
      <c r="A1466" s="203"/>
      <c r="B1466" s="204"/>
      <c r="C1466" s="204"/>
      <c r="D1466" s="205"/>
      <c r="E1466" s="105"/>
      <c r="F1466" s="105"/>
    </row>
    <row r="1467" spans="1:8" x14ac:dyDescent="0.25">
      <c r="A1467" s="197"/>
      <c r="B1467" s="206"/>
      <c r="C1467" s="206"/>
      <c r="D1467" s="207"/>
      <c r="E1467" s="105"/>
      <c r="F1467" s="105"/>
    </row>
    <row r="1470" spans="1:8" x14ac:dyDescent="0.25">
      <c r="A1470" s="114" t="s">
        <v>12</v>
      </c>
      <c r="B1470" s="548" t="s">
        <v>378</v>
      </c>
    </row>
    <row r="1471" spans="1:8" x14ac:dyDescent="0.25">
      <c r="A1471" s="91" t="s">
        <v>14</v>
      </c>
      <c r="B1471" s="55" t="s">
        <v>66</v>
      </c>
      <c r="C1471" s="186" t="s">
        <v>15</v>
      </c>
    </row>
    <row r="1472" spans="1:8" x14ac:dyDescent="0.25">
      <c r="A1472" s="46" t="s">
        <v>16</v>
      </c>
      <c r="B1472" s="22"/>
      <c r="C1472" s="85">
        <v>2015</v>
      </c>
      <c r="D1472" s="51">
        <v>2016</v>
      </c>
      <c r="E1472" s="102">
        <v>2017</v>
      </c>
      <c r="F1472" s="102">
        <v>2018</v>
      </c>
      <c r="G1472" s="102">
        <v>2019</v>
      </c>
      <c r="H1472" s="102">
        <v>2020</v>
      </c>
    </row>
    <row r="1473" spans="1:10" x14ac:dyDescent="0.25">
      <c r="A1473" s="46" t="s">
        <v>17</v>
      </c>
      <c r="B1473" s="22"/>
      <c r="C1473" s="23">
        <v>2100</v>
      </c>
      <c r="D1473" s="187">
        <v>1575</v>
      </c>
      <c r="E1473" s="187">
        <v>1575</v>
      </c>
      <c r="F1473" s="187">
        <v>1575</v>
      </c>
      <c r="G1473" s="187">
        <v>1575</v>
      </c>
      <c r="H1473" s="187">
        <v>0</v>
      </c>
    </row>
    <row r="1474" spans="1:10" x14ac:dyDescent="0.25">
      <c r="A1474" s="46" t="s">
        <v>18</v>
      </c>
      <c r="B1474" s="22"/>
      <c r="C1474" s="89">
        <v>2100</v>
      </c>
      <c r="D1474" s="187">
        <v>1575</v>
      </c>
      <c r="E1474" s="187">
        <v>1575</v>
      </c>
      <c r="F1474" s="187">
        <v>1575</v>
      </c>
      <c r="G1474" s="187">
        <v>1575</v>
      </c>
      <c r="H1474" s="187"/>
    </row>
    <row r="1475" spans="1:10" x14ac:dyDescent="0.25">
      <c r="A1475" s="46" t="s">
        <v>19</v>
      </c>
      <c r="B1475" s="22"/>
      <c r="C1475" s="92"/>
      <c r="D1475" s="23"/>
      <c r="E1475" s="93"/>
      <c r="F1475" s="93"/>
      <c r="G1475" s="93"/>
      <c r="H1475" s="93"/>
    </row>
    <row r="1476" spans="1:10" x14ac:dyDescent="0.25">
      <c r="A1476" s="46" t="s">
        <v>20</v>
      </c>
      <c r="B1476" s="22"/>
      <c r="C1476" s="187">
        <v>0</v>
      </c>
      <c r="D1476" s="187">
        <v>0</v>
      </c>
      <c r="E1476" s="187">
        <v>0</v>
      </c>
      <c r="F1476" s="187">
        <v>0</v>
      </c>
      <c r="G1476" s="187">
        <v>0</v>
      </c>
      <c r="H1476" s="187">
        <v>0</v>
      </c>
    </row>
    <row r="1477" spans="1:10" ht="27.75" customHeight="1" x14ac:dyDescent="0.25">
      <c r="A1477" s="46" t="s">
        <v>21</v>
      </c>
      <c r="B1477" s="22"/>
      <c r="C1477" s="89">
        <v>2100</v>
      </c>
      <c r="D1477" s="187">
        <v>1575</v>
      </c>
      <c r="E1477" s="187">
        <v>1575</v>
      </c>
      <c r="F1477" s="187">
        <v>1575</v>
      </c>
      <c r="G1477" s="187">
        <v>1575</v>
      </c>
      <c r="H1477" s="187">
        <v>1575</v>
      </c>
    </row>
    <row r="1478" spans="1:10" x14ac:dyDescent="0.25">
      <c r="A1478" s="49" t="s">
        <v>22</v>
      </c>
      <c r="B1478" s="36"/>
      <c r="C1478" s="57">
        <v>2016</v>
      </c>
      <c r="D1478" s="57">
        <v>2017</v>
      </c>
      <c r="E1478" s="80">
        <v>2018</v>
      </c>
      <c r="F1478" s="80">
        <v>2019</v>
      </c>
      <c r="G1478" s="80">
        <v>2020</v>
      </c>
      <c r="H1478" s="80">
        <v>2021</v>
      </c>
    </row>
    <row r="1479" spans="1:10" x14ac:dyDescent="0.25">
      <c r="A1479" s="46" t="s">
        <v>23</v>
      </c>
      <c r="B1479" s="58"/>
      <c r="C1479" s="58"/>
      <c r="D1479" s="58"/>
      <c r="E1479" s="58"/>
      <c r="F1479" s="58"/>
      <c r="G1479" s="58"/>
      <c r="H1479" s="56"/>
    </row>
    <row r="1482" spans="1:10" ht="26.4" x14ac:dyDescent="0.25">
      <c r="A1482" s="114" t="s">
        <v>12</v>
      </c>
      <c r="B1482" s="552" t="s">
        <v>383</v>
      </c>
    </row>
    <row r="1483" spans="1:10" x14ac:dyDescent="0.25">
      <c r="A1483" s="91" t="s">
        <v>14</v>
      </c>
      <c r="B1483" s="55" t="s">
        <v>637</v>
      </c>
      <c r="C1483" s="40" t="s">
        <v>15</v>
      </c>
    </row>
    <row r="1484" spans="1:10" x14ac:dyDescent="0.25">
      <c r="A1484" s="46" t="s">
        <v>16</v>
      </c>
      <c r="B1484" s="51">
        <v>2015</v>
      </c>
      <c r="C1484" s="88">
        <v>2016</v>
      </c>
      <c r="D1484" s="51">
        <v>2017</v>
      </c>
      <c r="E1484" s="102">
        <v>2018</v>
      </c>
      <c r="F1484" s="102">
        <v>2019</v>
      </c>
      <c r="G1484" s="51">
        <v>2020</v>
      </c>
      <c r="H1484" s="51">
        <v>2021</v>
      </c>
      <c r="I1484" s="51">
        <v>2022</v>
      </c>
      <c r="J1484" s="51">
        <v>2023</v>
      </c>
    </row>
    <row r="1485" spans="1:10" x14ac:dyDescent="0.25">
      <c r="A1485" s="46" t="s">
        <v>17</v>
      </c>
      <c r="B1485" s="47">
        <v>200</v>
      </c>
      <c r="C1485" s="89">
        <v>200</v>
      </c>
      <c r="D1485" s="47">
        <v>200</v>
      </c>
      <c r="E1485" s="90">
        <v>200</v>
      </c>
      <c r="F1485" s="90">
        <v>215</v>
      </c>
      <c r="G1485" s="47">
        <v>215</v>
      </c>
      <c r="H1485" s="23">
        <v>242</v>
      </c>
      <c r="I1485" s="23">
        <v>242</v>
      </c>
      <c r="J1485" s="23">
        <v>242</v>
      </c>
    </row>
    <row r="1486" spans="1:10" x14ac:dyDescent="0.25">
      <c r="A1486" s="46" t="s">
        <v>18</v>
      </c>
      <c r="B1486" s="47">
        <v>303.49</v>
      </c>
      <c r="C1486" s="89">
        <f>C1485+B1489+100</f>
        <v>298.49</v>
      </c>
      <c r="D1486" s="47">
        <f>D1485+100</f>
        <v>300</v>
      </c>
      <c r="E1486" s="90">
        <f>E1485+C1489+100</f>
        <v>306.89</v>
      </c>
      <c r="F1486" s="90">
        <v>218.8</v>
      </c>
      <c r="G1486" s="90">
        <v>265</v>
      </c>
      <c r="H1486" s="23">
        <f>H1485+F1489</f>
        <v>280.35000000000002</v>
      </c>
      <c r="I1486" s="23">
        <f>I1485+G1489</f>
        <v>255.27</v>
      </c>
      <c r="J1486" s="23">
        <f>J1485+0.25*H1485</f>
        <v>302.5</v>
      </c>
    </row>
    <row r="1487" spans="1:10" ht="26.4" x14ac:dyDescent="0.25">
      <c r="A1487" s="46" t="s">
        <v>19</v>
      </c>
      <c r="B1487" s="122"/>
      <c r="C1487" s="122" t="s">
        <v>384</v>
      </c>
      <c r="D1487" s="122" t="s">
        <v>385</v>
      </c>
      <c r="E1487" s="122" t="s">
        <v>386</v>
      </c>
      <c r="F1487" s="122" t="s">
        <v>399</v>
      </c>
      <c r="G1487" s="122" t="s">
        <v>400</v>
      </c>
      <c r="H1487" s="67" t="s">
        <v>717</v>
      </c>
      <c r="I1487" s="67" t="s">
        <v>716</v>
      </c>
      <c r="J1487" s="67" t="s">
        <v>827</v>
      </c>
    </row>
    <row r="1488" spans="1:10" x14ac:dyDescent="0.25">
      <c r="A1488" s="46" t="s">
        <v>20</v>
      </c>
      <c r="B1488" s="47">
        <v>305</v>
      </c>
      <c r="C1488" s="89">
        <v>291.60000000000002</v>
      </c>
      <c r="D1488" s="47">
        <v>296.2</v>
      </c>
      <c r="E1488" s="47">
        <v>173.26</v>
      </c>
      <c r="F1488" s="90">
        <v>180.45</v>
      </c>
      <c r="G1488" s="47">
        <v>251.73</v>
      </c>
      <c r="H1488" s="23">
        <v>0</v>
      </c>
      <c r="I1488" s="23">
        <v>0.97</v>
      </c>
      <c r="J1488" s="23"/>
    </row>
    <row r="1489" spans="1:10" x14ac:dyDescent="0.25">
      <c r="A1489" s="46" t="s">
        <v>21</v>
      </c>
      <c r="B1489" s="47">
        <v>-1.5099999999999909</v>
      </c>
      <c r="C1489" s="47">
        <f>C1486-C1488</f>
        <v>6.8899999999999864</v>
      </c>
      <c r="D1489" s="47">
        <f>D1486-D1488</f>
        <v>3.8000000000000114</v>
      </c>
      <c r="E1489" s="47">
        <f>E1486-E1488</f>
        <v>133.63</v>
      </c>
      <c r="F1489" s="47">
        <v>38.350000000000023</v>
      </c>
      <c r="G1489" s="47">
        <f>G1486-G1488</f>
        <v>13.27000000000001</v>
      </c>
      <c r="H1489" s="23">
        <f>H1486-H1488</f>
        <v>280.35000000000002</v>
      </c>
      <c r="I1489" s="23">
        <f>I1486-I1488</f>
        <v>254.3</v>
      </c>
      <c r="J1489" s="23"/>
    </row>
    <row r="1490" spans="1:10" x14ac:dyDescent="0.25">
      <c r="A1490" s="49" t="s">
        <v>22</v>
      </c>
      <c r="B1490" s="57">
        <v>2016</v>
      </c>
      <c r="C1490" s="79">
        <v>2018</v>
      </c>
      <c r="D1490" s="57">
        <v>2019</v>
      </c>
      <c r="E1490" s="80">
        <v>2020</v>
      </c>
      <c r="F1490" s="80">
        <v>2021</v>
      </c>
      <c r="G1490" s="57">
        <v>2022</v>
      </c>
      <c r="H1490" s="57">
        <v>2023</v>
      </c>
      <c r="I1490" s="57">
        <v>2024</v>
      </c>
      <c r="J1490" s="57">
        <v>2024</v>
      </c>
    </row>
    <row r="1491" spans="1:10" x14ac:dyDescent="0.25">
      <c r="A1491" s="49" t="s">
        <v>23</v>
      </c>
      <c r="B1491" s="30"/>
      <c r="C1491" s="30"/>
      <c r="D1491" s="30"/>
      <c r="E1491" s="30"/>
      <c r="F1491" s="30"/>
      <c r="G1491" s="30"/>
      <c r="H1491" s="31"/>
      <c r="I1491" s="31"/>
      <c r="J1491" s="31"/>
    </row>
    <row r="1492" spans="1:10" x14ac:dyDescent="0.25">
      <c r="A1492" s="20" t="s">
        <v>387</v>
      </c>
      <c r="H1492" s="21"/>
      <c r="I1492" s="21"/>
      <c r="J1492" s="21"/>
    </row>
    <row r="1493" spans="1:10" ht="13.2" customHeight="1" x14ac:dyDescent="0.25">
      <c r="A1493" s="738" t="s">
        <v>401</v>
      </c>
      <c r="B1493" s="739"/>
      <c r="C1493" s="739"/>
      <c r="D1493" s="739"/>
      <c r="E1493" s="739"/>
      <c r="F1493" s="739"/>
      <c r="G1493" s="739"/>
      <c r="H1493" s="34"/>
      <c r="I1493" s="34"/>
      <c r="J1493" s="34"/>
    </row>
    <row r="1494" spans="1:10" ht="13.2" customHeight="1" x14ac:dyDescent="0.25">
      <c r="A1494" s="107"/>
      <c r="B1494" s="107"/>
      <c r="C1494" s="107"/>
      <c r="D1494" s="107"/>
      <c r="E1494" s="107"/>
      <c r="F1494" s="107"/>
      <c r="G1494" s="107"/>
    </row>
    <row r="1495" spans="1:10" x14ac:dyDescent="0.25">
      <c r="A1495" s="631" t="s">
        <v>14</v>
      </c>
      <c r="B1495" s="632" t="s">
        <v>651</v>
      </c>
      <c r="C1495" s="633" t="s">
        <v>15</v>
      </c>
      <c r="D1495" s="634"/>
    </row>
    <row r="1496" spans="1:10" x14ac:dyDescent="0.25">
      <c r="A1496" s="635" t="s">
        <v>16</v>
      </c>
      <c r="B1496" s="198">
        <v>2022</v>
      </c>
      <c r="C1496" s="636">
        <v>2023</v>
      </c>
      <c r="D1496" s="198">
        <v>2024</v>
      </c>
    </row>
    <row r="1497" spans="1:10" x14ac:dyDescent="0.25">
      <c r="A1497" s="635" t="s">
        <v>17</v>
      </c>
      <c r="B1497" s="199">
        <v>140</v>
      </c>
      <c r="C1497" s="637">
        <v>170</v>
      </c>
      <c r="D1497" s="644">
        <v>170</v>
      </c>
    </row>
    <row r="1498" spans="1:10" x14ac:dyDescent="0.25">
      <c r="A1498" s="635" t="s">
        <v>18</v>
      </c>
      <c r="B1498" s="199">
        <f>B1497+0.25*140</f>
        <v>175</v>
      </c>
      <c r="C1498" s="199">
        <f>C1497+0.25*140</f>
        <v>205</v>
      </c>
      <c r="D1498" s="199">
        <f>D1497+2.08</f>
        <v>172.08</v>
      </c>
    </row>
    <row r="1499" spans="1:10" x14ac:dyDescent="0.25">
      <c r="A1499" s="635" t="s">
        <v>19</v>
      </c>
      <c r="B1499" s="638" t="s">
        <v>943</v>
      </c>
      <c r="C1499" s="638" t="s">
        <v>944</v>
      </c>
      <c r="D1499" s="638" t="s">
        <v>989</v>
      </c>
    </row>
    <row r="1500" spans="1:10" x14ac:dyDescent="0.25">
      <c r="A1500" s="635" t="s">
        <v>20</v>
      </c>
      <c r="B1500" s="199">
        <v>21.678999999999998</v>
      </c>
      <c r="C1500" s="637"/>
      <c r="D1500" s="199"/>
    </row>
    <row r="1501" spans="1:10" x14ac:dyDescent="0.25">
      <c r="A1501" s="635" t="s">
        <v>21</v>
      </c>
      <c r="B1501" s="199">
        <f>B1498-B1500</f>
        <v>153.321</v>
      </c>
      <c r="C1501" s="199"/>
      <c r="D1501" s="199"/>
    </row>
    <row r="1502" spans="1:10" x14ac:dyDescent="0.25">
      <c r="A1502" s="639" t="s">
        <v>22</v>
      </c>
      <c r="B1502" s="200">
        <v>2024</v>
      </c>
      <c r="C1502" s="640">
        <v>2025</v>
      </c>
      <c r="D1502" s="200">
        <v>2026</v>
      </c>
    </row>
    <row r="1503" spans="1:10" x14ac:dyDescent="0.25">
      <c r="A1503" s="639" t="s">
        <v>23</v>
      </c>
      <c r="B1503" s="641"/>
      <c r="C1503" s="641"/>
      <c r="D1503" s="613"/>
    </row>
    <row r="1504" spans="1:10" x14ac:dyDescent="0.25">
      <c r="A1504" s="203" t="s">
        <v>387</v>
      </c>
      <c r="B1504" s="634"/>
      <c r="C1504" s="634"/>
      <c r="D1504" s="611"/>
    </row>
    <row r="1505" spans="1:14" ht="13.2" customHeight="1" x14ac:dyDescent="0.25">
      <c r="A1505" s="197" t="s">
        <v>988</v>
      </c>
      <c r="B1505" s="642"/>
      <c r="C1505" s="642"/>
      <c r="D1505" s="643"/>
    </row>
    <row r="1506" spans="1:14" ht="13.2" customHeight="1" x14ac:dyDescent="0.25">
      <c r="A1506" s="107"/>
      <c r="B1506" s="107"/>
      <c r="C1506" s="107"/>
      <c r="D1506" s="107"/>
      <c r="E1506" s="107"/>
      <c r="F1506" s="107"/>
      <c r="G1506" s="107"/>
    </row>
    <row r="1507" spans="1:14" x14ac:dyDescent="0.25">
      <c r="A1507" s="660" t="s">
        <v>12</v>
      </c>
      <c r="B1507" s="661" t="s">
        <v>955</v>
      </c>
      <c r="C1507" s="252"/>
      <c r="D1507" s="252"/>
      <c r="E1507" s="252"/>
      <c r="F1507" s="252"/>
      <c r="G1507" s="252"/>
      <c r="H1507" s="221"/>
      <c r="I1507" s="221"/>
      <c r="J1507" s="221"/>
      <c r="K1507" s="221"/>
      <c r="L1507" s="221"/>
      <c r="M1507" s="221"/>
      <c r="N1507" s="221"/>
    </row>
    <row r="1508" spans="1:14" x14ac:dyDescent="0.25">
      <c r="A1508" s="631" t="s">
        <v>14</v>
      </c>
      <c r="B1508" s="632" t="s">
        <v>74</v>
      </c>
      <c r="C1508" s="632" t="s">
        <v>152</v>
      </c>
      <c r="D1508" s="634"/>
      <c r="E1508" s="634"/>
      <c r="F1508" s="634"/>
      <c r="G1508" s="634"/>
      <c r="H1508" s="634"/>
      <c r="I1508" s="634"/>
    </row>
    <row r="1509" spans="1:14" x14ac:dyDescent="0.25">
      <c r="A1509" s="197" t="s">
        <v>16</v>
      </c>
      <c r="B1509" s="655">
        <v>2016</v>
      </c>
      <c r="C1509" s="198">
        <v>2017</v>
      </c>
      <c r="D1509" s="198">
        <v>2018</v>
      </c>
      <c r="E1509" s="198">
        <v>2019</v>
      </c>
      <c r="F1509" s="198">
        <v>2020</v>
      </c>
      <c r="G1509" s="198">
        <v>2021</v>
      </c>
      <c r="H1509" s="198">
        <v>2022</v>
      </c>
      <c r="I1509" s="198">
        <v>2023</v>
      </c>
    </row>
    <row r="1510" spans="1:14" x14ac:dyDescent="0.25">
      <c r="A1510" s="635" t="s">
        <v>17</v>
      </c>
      <c r="B1510" s="45">
        <v>45</v>
      </c>
      <c r="C1510" s="45">
        <v>45</v>
      </c>
      <c r="D1510" s="45">
        <v>45</v>
      </c>
      <c r="E1510" s="45">
        <v>45</v>
      </c>
      <c r="F1510" s="45">
        <v>37.9</v>
      </c>
      <c r="G1510" s="45">
        <v>37.9</v>
      </c>
      <c r="H1510" s="45">
        <v>37.9</v>
      </c>
      <c r="I1510" s="45">
        <v>37.9</v>
      </c>
    </row>
    <row r="1511" spans="1:14" ht="15" x14ac:dyDescent="0.25">
      <c r="A1511" s="635" t="s">
        <v>18</v>
      </c>
      <c r="B1511" s="45">
        <v>16.39</v>
      </c>
      <c r="C1511" s="45">
        <f>C1510+B1514</f>
        <v>51.59</v>
      </c>
      <c r="D1511" s="45">
        <f>D1510+0.2*C1510</f>
        <v>54</v>
      </c>
      <c r="E1511" s="45">
        <f>E1510+0.2*D1510</f>
        <v>54</v>
      </c>
      <c r="F1511" s="664">
        <f>F1510+E1514</f>
        <v>4.3999999999999986</v>
      </c>
      <c r="G1511" s="664">
        <f>G1510+F1514</f>
        <v>8.3489999999999966</v>
      </c>
      <c r="H1511" s="664">
        <f>1.25*G1514+H1510</f>
        <v>-87.29249999999999</v>
      </c>
      <c r="I1511" s="664">
        <f xml:space="preserve"> 1.25*H1514+I1510</f>
        <v>-165.110625</v>
      </c>
    </row>
    <row r="1512" spans="1:14" x14ac:dyDescent="0.25">
      <c r="A1512" s="635" t="s">
        <v>19</v>
      </c>
      <c r="B1512" s="199"/>
      <c r="C1512" s="199" t="s">
        <v>403</v>
      </c>
      <c r="D1512" s="199" t="s">
        <v>404</v>
      </c>
      <c r="E1512" s="199" t="s">
        <v>405</v>
      </c>
      <c r="F1512" s="199" t="s">
        <v>406</v>
      </c>
      <c r="G1512" s="199" t="s">
        <v>574</v>
      </c>
      <c r="H1512" s="199" t="s">
        <v>617</v>
      </c>
      <c r="I1512" s="199" t="s">
        <v>638</v>
      </c>
    </row>
    <row r="1513" spans="1:14" ht="15" x14ac:dyDescent="0.25">
      <c r="A1513" s="635" t="s">
        <v>20</v>
      </c>
      <c r="B1513" s="199">
        <v>9.8000000000000007</v>
      </c>
      <c r="C1513" s="199">
        <v>12.6</v>
      </c>
      <c r="D1513" s="662">
        <v>5</v>
      </c>
      <c r="E1513" s="662">
        <v>87.5</v>
      </c>
      <c r="F1513" s="662">
        <v>33.951000000000001</v>
      </c>
      <c r="G1513" s="662">
        <v>108.503</v>
      </c>
      <c r="H1513" s="662">
        <v>75.116</v>
      </c>
      <c r="I1513" s="199"/>
    </row>
    <row r="1514" spans="1:14" ht="15" x14ac:dyDescent="0.25">
      <c r="A1514" s="635" t="s">
        <v>21</v>
      </c>
      <c r="B1514" s="45">
        <f t="shared" ref="B1514:H1514" si="44">B1511-B1513</f>
        <v>6.59</v>
      </c>
      <c r="C1514" s="45">
        <f t="shared" si="44"/>
        <v>38.99</v>
      </c>
      <c r="D1514" s="45">
        <f t="shared" si="44"/>
        <v>49</v>
      </c>
      <c r="E1514" s="664">
        <f t="shared" si="44"/>
        <v>-33.5</v>
      </c>
      <c r="F1514" s="664">
        <f t="shared" si="44"/>
        <v>-29.551000000000002</v>
      </c>
      <c r="G1514" s="664">
        <f t="shared" si="44"/>
        <v>-100.154</v>
      </c>
      <c r="H1514" s="664">
        <f t="shared" si="44"/>
        <v>-162.4085</v>
      </c>
      <c r="I1514" s="45"/>
    </row>
    <row r="1515" spans="1:14" x14ac:dyDescent="0.25">
      <c r="A1515" s="639" t="s">
        <v>22</v>
      </c>
      <c r="B1515" s="656">
        <v>2017</v>
      </c>
      <c r="C1515" s="656">
        <v>2018</v>
      </c>
      <c r="D1515" s="656">
        <v>2019</v>
      </c>
      <c r="E1515" s="656">
        <v>2020</v>
      </c>
      <c r="F1515" s="656">
        <v>2021</v>
      </c>
      <c r="G1515" s="656">
        <v>2022</v>
      </c>
      <c r="H1515" s="656">
        <v>2023</v>
      </c>
      <c r="I1515" s="656">
        <v>2023</v>
      </c>
    </row>
    <row r="1516" spans="1:14" x14ac:dyDescent="0.25">
      <c r="A1516" s="639" t="s">
        <v>179</v>
      </c>
      <c r="B1516" s="641"/>
      <c r="C1516" s="641"/>
      <c r="D1516" s="641"/>
      <c r="E1516" s="641"/>
      <c r="F1516" s="641"/>
      <c r="G1516" s="641"/>
      <c r="H1516" s="641"/>
      <c r="I1516" s="613"/>
    </row>
    <row r="1517" spans="1:14" x14ac:dyDescent="0.25">
      <c r="A1517" s="653" t="s">
        <v>407</v>
      </c>
      <c r="B1517" s="634"/>
      <c r="C1517" s="634"/>
      <c r="D1517" s="634"/>
      <c r="E1517" s="634"/>
      <c r="F1517" s="665">
        <f>E1514+F1510</f>
        <v>4.3999999999999986</v>
      </c>
      <c r="G1517" s="634"/>
      <c r="H1517" s="634"/>
      <c r="I1517" s="611"/>
    </row>
    <row r="1518" spans="1:14" x14ac:dyDescent="0.25">
      <c r="A1518" s="653" t="s">
        <v>958</v>
      </c>
      <c r="B1518" s="634"/>
      <c r="C1518" s="634"/>
      <c r="D1518" s="634"/>
      <c r="E1518" s="634"/>
      <c r="F1518" s="634"/>
      <c r="G1518" s="634"/>
      <c r="H1518" s="634"/>
      <c r="I1518" s="611"/>
    </row>
    <row r="1519" spans="1:14" x14ac:dyDescent="0.25">
      <c r="A1519" s="653" t="s">
        <v>959</v>
      </c>
      <c r="B1519" s="634"/>
      <c r="C1519" s="634"/>
      <c r="D1519" s="634"/>
      <c r="E1519" s="634"/>
      <c r="F1519" s="634"/>
      <c r="G1519" s="634"/>
      <c r="H1519" s="634"/>
      <c r="I1519" s="611"/>
    </row>
    <row r="1520" spans="1:14" x14ac:dyDescent="0.25">
      <c r="A1520" s="653" t="s">
        <v>573</v>
      </c>
      <c r="B1520" s="634"/>
      <c r="C1520" s="657"/>
      <c r="D1520" s="634"/>
      <c r="E1520" s="634"/>
      <c r="F1520" s="634"/>
      <c r="G1520" s="634"/>
      <c r="H1520" s="634"/>
      <c r="I1520" s="611"/>
    </row>
    <row r="1521" spans="1:9" x14ac:dyDescent="0.25">
      <c r="A1521" s="653" t="s">
        <v>575</v>
      </c>
      <c r="B1521" s="634"/>
      <c r="C1521" s="657"/>
      <c r="D1521" s="634"/>
      <c r="E1521" s="634"/>
      <c r="F1521" s="634"/>
      <c r="G1521" s="634"/>
      <c r="H1521" s="634"/>
      <c r="I1521" s="611"/>
    </row>
    <row r="1522" spans="1:9" x14ac:dyDescent="0.25">
      <c r="A1522" s="653" t="s">
        <v>953</v>
      </c>
      <c r="B1522" s="634"/>
      <c r="C1522" s="657"/>
      <c r="D1522" s="634"/>
      <c r="E1522" s="634"/>
      <c r="F1522" s="634"/>
      <c r="G1522" s="634"/>
      <c r="H1522" s="634"/>
      <c r="I1522" s="611"/>
    </row>
    <row r="1523" spans="1:9" x14ac:dyDescent="0.25">
      <c r="A1523" s="654" t="s">
        <v>954</v>
      </c>
      <c r="B1523" s="645"/>
      <c r="C1523" s="658"/>
      <c r="D1523" s="645"/>
      <c r="E1523" s="645"/>
      <c r="F1523" s="645"/>
      <c r="G1523" s="645"/>
      <c r="H1523" s="645"/>
      <c r="I1523" s="659"/>
    </row>
    <row r="1524" spans="1:9" x14ac:dyDescent="0.25">
      <c r="A1524" s="4"/>
      <c r="C1524" s="133"/>
    </row>
    <row r="1525" spans="1:9" x14ac:dyDescent="0.25">
      <c r="A1525" s="631" t="s">
        <v>14</v>
      </c>
      <c r="B1525" s="632" t="s">
        <v>79</v>
      </c>
      <c r="C1525" s="632" t="s">
        <v>152</v>
      </c>
      <c r="D1525" s="634"/>
      <c r="E1525" s="634"/>
      <c r="F1525" s="634"/>
      <c r="G1525" s="634"/>
      <c r="H1525" s="634"/>
      <c r="I1525" s="634"/>
    </row>
    <row r="1526" spans="1:9" x14ac:dyDescent="0.25">
      <c r="A1526" s="197" t="s">
        <v>16</v>
      </c>
      <c r="B1526" s="655">
        <v>2016</v>
      </c>
      <c r="C1526" s="198">
        <v>2017</v>
      </c>
      <c r="D1526" s="198">
        <v>2018</v>
      </c>
      <c r="E1526" s="198">
        <v>2019</v>
      </c>
      <c r="F1526" s="198">
        <v>2020</v>
      </c>
      <c r="G1526" s="198">
        <v>2021</v>
      </c>
      <c r="H1526" s="198">
        <v>2022</v>
      </c>
      <c r="I1526" s="198">
        <v>2023</v>
      </c>
    </row>
    <row r="1527" spans="1:9" x14ac:dyDescent="0.25">
      <c r="A1527" s="635" t="s">
        <v>17</v>
      </c>
      <c r="B1527" s="45">
        <v>20</v>
      </c>
      <c r="C1527" s="45">
        <v>20</v>
      </c>
      <c r="D1527" s="45">
        <v>20</v>
      </c>
      <c r="E1527" s="45">
        <v>20</v>
      </c>
      <c r="F1527" s="45">
        <v>20</v>
      </c>
      <c r="G1527" s="45">
        <v>20</v>
      </c>
      <c r="H1527" s="45">
        <v>20</v>
      </c>
      <c r="I1527" s="45">
        <v>20</v>
      </c>
    </row>
    <row r="1528" spans="1:9" ht="15" x14ac:dyDescent="0.25">
      <c r="A1528" s="635" t="s">
        <v>18</v>
      </c>
      <c r="B1528" s="45">
        <v>24</v>
      </c>
      <c r="C1528" s="45">
        <f>C1527+0.2*B1527</f>
        <v>24</v>
      </c>
      <c r="D1528" s="45">
        <f>D1527+0.2*C1527</f>
        <v>24</v>
      </c>
      <c r="E1528" s="664">
        <f>E1527+0.2*D1527</f>
        <v>24</v>
      </c>
      <c r="F1528" s="664">
        <f>F1527+0.2*E1527</f>
        <v>24</v>
      </c>
      <c r="G1528" s="664"/>
      <c r="H1528" s="664">
        <f>H1527+G1531</f>
        <v>19.587</v>
      </c>
      <c r="I1528" s="664">
        <f xml:space="preserve"> 1.25*H1531+I1527</f>
        <v>11.083750000000002</v>
      </c>
    </row>
    <row r="1529" spans="1:9" x14ac:dyDescent="0.25">
      <c r="A1529" s="635" t="s">
        <v>19</v>
      </c>
      <c r="B1529" s="199"/>
      <c r="C1529" s="199" t="s">
        <v>403</v>
      </c>
      <c r="D1529" s="199" t="s">
        <v>404</v>
      </c>
      <c r="E1529" s="199" t="s">
        <v>405</v>
      </c>
      <c r="F1529" s="199" t="s">
        <v>406</v>
      </c>
      <c r="G1529" s="199" t="s">
        <v>574</v>
      </c>
      <c r="H1529" s="199" t="s">
        <v>617</v>
      </c>
      <c r="I1529" s="199" t="s">
        <v>638</v>
      </c>
    </row>
    <row r="1530" spans="1:9" ht="15" x14ac:dyDescent="0.25">
      <c r="A1530" s="635" t="s">
        <v>20</v>
      </c>
      <c r="B1530" s="199">
        <v>15</v>
      </c>
      <c r="C1530" s="199">
        <v>13</v>
      </c>
      <c r="D1530" s="662">
        <v>1.125</v>
      </c>
      <c r="E1530" s="662">
        <v>9.5559999999999992</v>
      </c>
      <c r="F1530" s="662">
        <v>10.503</v>
      </c>
      <c r="G1530" s="662">
        <v>20.413</v>
      </c>
      <c r="H1530" s="662">
        <v>26.72</v>
      </c>
      <c r="I1530" s="199"/>
    </row>
    <row r="1531" spans="1:9" ht="15" x14ac:dyDescent="0.25">
      <c r="A1531" s="635" t="s">
        <v>21</v>
      </c>
      <c r="B1531" s="45">
        <f>B1528-B1530</f>
        <v>9</v>
      </c>
      <c r="C1531" s="45">
        <f>C1528-C1530</f>
        <v>11</v>
      </c>
      <c r="D1531" s="664">
        <f>D1528-D1530</f>
        <v>22.875</v>
      </c>
      <c r="E1531" s="664">
        <f>E1528-E1530</f>
        <v>14.444000000000001</v>
      </c>
      <c r="F1531" s="664">
        <f>F1528-F1530</f>
        <v>13.497</v>
      </c>
      <c r="G1531" s="664">
        <f>G1527-G1530</f>
        <v>-0.41300000000000026</v>
      </c>
      <c r="H1531" s="664">
        <f>H1528-H1530</f>
        <v>-7.1329999999999991</v>
      </c>
      <c r="I1531" s="45"/>
    </row>
    <row r="1532" spans="1:9" x14ac:dyDescent="0.25">
      <c r="A1532" s="639" t="s">
        <v>22</v>
      </c>
      <c r="B1532" s="656">
        <v>2017</v>
      </c>
      <c r="C1532" s="656">
        <v>2018</v>
      </c>
      <c r="D1532" s="656">
        <v>2019</v>
      </c>
      <c r="E1532" s="656">
        <v>2020</v>
      </c>
      <c r="F1532" s="656">
        <v>2021</v>
      </c>
      <c r="G1532" s="656">
        <v>2022</v>
      </c>
      <c r="H1532" s="656">
        <v>2023</v>
      </c>
      <c r="I1532" s="656">
        <v>2023</v>
      </c>
    </row>
    <row r="1533" spans="1:9" x14ac:dyDescent="0.25">
      <c r="A1533" s="639" t="s">
        <v>179</v>
      </c>
      <c r="B1533" s="641"/>
      <c r="C1533" s="641"/>
      <c r="D1533" s="641"/>
      <c r="E1533" s="641"/>
      <c r="F1533" s="641"/>
      <c r="G1533" s="641"/>
      <c r="H1533" s="641"/>
      <c r="I1533" s="613"/>
    </row>
    <row r="1534" spans="1:9" x14ac:dyDescent="0.25">
      <c r="A1534" s="653" t="s">
        <v>960</v>
      </c>
      <c r="B1534" s="634"/>
      <c r="C1534" s="634"/>
      <c r="D1534" s="634"/>
      <c r="E1534" s="634"/>
      <c r="F1534" s="665">
        <f>E1531+F1527</f>
        <v>34.444000000000003</v>
      </c>
      <c r="G1534" s="634"/>
      <c r="H1534" s="634"/>
      <c r="I1534" s="611"/>
    </row>
    <row r="1535" spans="1:9" x14ac:dyDescent="0.25">
      <c r="A1535" s="653" t="s">
        <v>958</v>
      </c>
      <c r="B1535" s="634"/>
      <c r="C1535" s="634"/>
      <c r="D1535" s="634"/>
      <c r="E1535" s="634"/>
      <c r="F1535" s="634"/>
      <c r="G1535" s="634"/>
      <c r="H1535" s="634"/>
      <c r="I1535" s="611"/>
    </row>
    <row r="1536" spans="1:9" x14ac:dyDescent="0.25">
      <c r="A1536" s="653" t="s">
        <v>959</v>
      </c>
      <c r="B1536" s="634"/>
      <c r="C1536" s="634"/>
      <c r="D1536" s="634"/>
      <c r="E1536" s="634"/>
      <c r="F1536" s="634"/>
      <c r="G1536" s="634"/>
      <c r="H1536" s="634"/>
      <c r="I1536" s="611"/>
    </row>
    <row r="1537" spans="1:17" x14ac:dyDescent="0.25">
      <c r="A1537" s="653" t="s">
        <v>961</v>
      </c>
      <c r="B1537" s="634"/>
      <c r="C1537" s="657"/>
      <c r="D1537" s="634"/>
      <c r="E1537" s="634"/>
      <c r="F1537" s="634"/>
      <c r="G1537" s="634"/>
      <c r="H1537" s="634"/>
      <c r="I1537" s="611"/>
    </row>
    <row r="1538" spans="1:17" x14ac:dyDescent="0.25">
      <c r="A1538" s="653" t="s">
        <v>962</v>
      </c>
      <c r="B1538" s="634"/>
      <c r="C1538" s="657"/>
      <c r="D1538" s="634"/>
      <c r="E1538" s="634"/>
      <c r="F1538" s="634"/>
      <c r="G1538" s="634"/>
      <c r="H1538" s="634"/>
      <c r="I1538" s="611"/>
    </row>
    <row r="1539" spans="1:17" x14ac:dyDescent="0.25">
      <c r="A1539" s="653" t="s">
        <v>618</v>
      </c>
      <c r="B1539" s="634"/>
      <c r="C1539" s="657"/>
      <c r="D1539" s="634"/>
      <c r="E1539" s="634"/>
      <c r="F1539" s="634"/>
      <c r="G1539" s="634"/>
      <c r="H1539" s="634"/>
      <c r="I1539" s="611"/>
    </row>
    <row r="1540" spans="1:17" x14ac:dyDescent="0.25">
      <c r="A1540" s="654" t="s">
        <v>954</v>
      </c>
      <c r="B1540" s="645"/>
      <c r="C1540" s="658"/>
      <c r="D1540" s="645"/>
      <c r="E1540" s="645"/>
      <c r="F1540" s="645"/>
      <c r="G1540" s="645"/>
      <c r="H1540" s="645"/>
      <c r="I1540" s="659"/>
    </row>
    <row r="1541" spans="1:17" x14ac:dyDescent="0.25">
      <c r="A1541" s="666"/>
      <c r="B1541" s="634"/>
      <c r="C1541" s="657"/>
      <c r="D1541" s="634"/>
      <c r="E1541" s="634"/>
      <c r="F1541" s="634"/>
      <c r="G1541" s="634"/>
      <c r="H1541" s="634"/>
      <c r="I1541" s="634"/>
    </row>
    <row r="1543" spans="1:17" x14ac:dyDescent="0.25">
      <c r="A1543" s="114" t="s">
        <v>11</v>
      </c>
      <c r="B1543" s="548" t="s">
        <v>217</v>
      </c>
      <c r="C1543" s="7"/>
    </row>
    <row r="1544" spans="1:17" x14ac:dyDescent="0.25">
      <c r="A1544" s="260" t="s">
        <v>1</v>
      </c>
      <c r="B1544" s="274" t="s">
        <v>636</v>
      </c>
      <c r="C1544" s="450" t="s">
        <v>2</v>
      </c>
      <c r="D1544" s="221"/>
      <c r="E1544" s="221"/>
      <c r="F1544" s="221"/>
      <c r="G1544" s="221"/>
      <c r="H1544" s="221"/>
      <c r="I1544" s="221"/>
      <c r="J1544" s="221"/>
      <c r="K1544" s="221"/>
      <c r="L1544" s="221"/>
      <c r="M1544" s="221"/>
      <c r="N1544" s="221"/>
      <c r="O1544" s="221"/>
      <c r="P1544" s="221"/>
      <c r="Q1544" s="221"/>
    </row>
    <row r="1545" spans="1:17" x14ac:dyDescent="0.25">
      <c r="A1545" s="263" t="s">
        <v>3</v>
      </c>
      <c r="B1545" s="226"/>
      <c r="C1545" s="212">
        <v>2018</v>
      </c>
      <c r="D1545" s="275">
        <v>2019</v>
      </c>
      <c r="E1545" s="212">
        <v>2020</v>
      </c>
      <c r="F1545" s="212">
        <v>2021</v>
      </c>
      <c r="G1545" s="212">
        <v>2022</v>
      </c>
      <c r="H1545" s="212">
        <v>2023</v>
      </c>
      <c r="I1545" s="221"/>
      <c r="J1545" s="221"/>
      <c r="K1545" s="221"/>
      <c r="L1545" s="221"/>
      <c r="M1545" s="221"/>
      <c r="N1545" s="221"/>
      <c r="O1545" s="221"/>
      <c r="P1545" s="221"/>
      <c r="Q1545" s="221"/>
    </row>
    <row r="1546" spans="1:17" x14ac:dyDescent="0.25">
      <c r="A1546" s="263" t="s">
        <v>4</v>
      </c>
      <c r="B1546" s="226"/>
      <c r="C1546" s="215">
        <v>250</v>
      </c>
      <c r="D1546" s="283">
        <v>250</v>
      </c>
      <c r="E1546" s="215">
        <v>250</v>
      </c>
      <c r="F1546" s="284">
        <v>250</v>
      </c>
      <c r="G1546" s="284">
        <v>250</v>
      </c>
      <c r="H1546" s="284">
        <v>250</v>
      </c>
      <c r="I1546" s="221"/>
      <c r="J1546" s="221"/>
      <c r="K1546" s="221"/>
      <c r="L1546" s="221"/>
      <c r="M1546" s="221"/>
      <c r="N1546" s="221"/>
      <c r="O1546" s="221"/>
      <c r="P1546" s="221"/>
      <c r="Q1546" s="221"/>
    </row>
    <row r="1547" spans="1:17" x14ac:dyDescent="0.25">
      <c r="A1547" s="263" t="s">
        <v>5</v>
      </c>
      <c r="B1547" s="226"/>
      <c r="C1547" s="215">
        <v>200</v>
      </c>
      <c r="D1547" s="215">
        <v>225</v>
      </c>
      <c r="E1547" s="215">
        <f>E1548</f>
        <v>225</v>
      </c>
      <c r="F1547" s="284">
        <f>F1548</f>
        <v>200</v>
      </c>
      <c r="G1547" s="284">
        <f>G1548</f>
        <v>200</v>
      </c>
      <c r="H1547" s="284">
        <f>H1548</f>
        <v>225</v>
      </c>
      <c r="I1547" s="221"/>
      <c r="J1547" s="221"/>
      <c r="K1547" s="221"/>
      <c r="L1547" s="221"/>
      <c r="M1547" s="221"/>
      <c r="N1547" s="221"/>
      <c r="O1547" s="221"/>
      <c r="P1547" s="221"/>
      <c r="Q1547" s="221"/>
    </row>
    <row r="1548" spans="1:17" x14ac:dyDescent="0.25">
      <c r="A1548" s="263" t="s">
        <v>6</v>
      </c>
      <c r="B1548" s="226"/>
      <c r="C1548" s="215">
        <v>200</v>
      </c>
      <c r="D1548" s="215">
        <v>225</v>
      </c>
      <c r="E1548" s="215">
        <f>1.4*E1546-125</f>
        <v>225</v>
      </c>
      <c r="F1548" s="284">
        <f>F1546+0.4*E1546-150</f>
        <v>200</v>
      </c>
      <c r="G1548" s="284">
        <f>G1546+0.4*F1546-150</f>
        <v>200</v>
      </c>
      <c r="H1548" s="284">
        <f>H1546+0.4*G1546-125</f>
        <v>225</v>
      </c>
      <c r="I1548" s="221"/>
      <c r="J1548" s="221"/>
      <c r="K1548" s="221"/>
      <c r="L1548" s="221"/>
      <c r="M1548" s="221"/>
      <c r="N1548" s="221"/>
      <c r="O1548" s="221"/>
      <c r="P1548" s="221"/>
      <c r="Q1548" s="221"/>
    </row>
    <row r="1549" spans="1:17" x14ac:dyDescent="0.25">
      <c r="A1549" s="263" t="s">
        <v>7</v>
      </c>
      <c r="B1549" s="226"/>
      <c r="C1549" s="215">
        <v>43.54</v>
      </c>
      <c r="D1549" s="215">
        <v>13.63</v>
      </c>
      <c r="E1549" s="215">
        <v>10</v>
      </c>
      <c r="F1549" s="284">
        <v>20</v>
      </c>
      <c r="G1549" s="284">
        <v>0</v>
      </c>
      <c r="H1549" s="284"/>
      <c r="I1549" s="221"/>
      <c r="J1549" s="221"/>
      <c r="K1549" s="221"/>
      <c r="L1549" s="221"/>
      <c r="M1549" s="221"/>
      <c r="N1549" s="221"/>
      <c r="O1549" s="221"/>
      <c r="P1549" s="221"/>
      <c r="Q1549" s="221"/>
    </row>
    <row r="1550" spans="1:17" x14ac:dyDescent="0.25">
      <c r="A1550" s="263" t="s">
        <v>8</v>
      </c>
      <c r="B1550" s="226"/>
      <c r="C1550" s="215">
        <v>156.46</v>
      </c>
      <c r="D1550" s="283">
        <v>211.37</v>
      </c>
      <c r="E1550" s="215">
        <f>E1547-E1549</f>
        <v>215</v>
      </c>
      <c r="F1550" s="284">
        <f>F1547-F1549</f>
        <v>180</v>
      </c>
      <c r="G1550" s="284">
        <f>G1547-G1549</f>
        <v>200</v>
      </c>
      <c r="H1550" s="284"/>
      <c r="I1550" s="221"/>
      <c r="J1550" s="221"/>
      <c r="K1550" s="221"/>
      <c r="L1550" s="221"/>
      <c r="M1550" s="221"/>
      <c r="N1550" s="221"/>
      <c r="O1550" s="221"/>
      <c r="P1550" s="221"/>
      <c r="Q1550" s="221"/>
    </row>
    <row r="1551" spans="1:17" x14ac:dyDescent="0.25">
      <c r="A1551" s="218" t="s">
        <v>9</v>
      </c>
      <c r="B1551" s="227"/>
      <c r="C1551" s="244">
        <v>2019</v>
      </c>
      <c r="D1551" s="280">
        <v>2020</v>
      </c>
      <c r="E1551" s="244">
        <v>2021</v>
      </c>
      <c r="F1551" s="217">
        <v>2022</v>
      </c>
      <c r="G1551" s="217">
        <v>2023</v>
      </c>
      <c r="H1551" s="217">
        <v>2024</v>
      </c>
      <c r="I1551" s="221"/>
      <c r="J1551" s="221"/>
      <c r="K1551" s="221"/>
      <c r="L1551" s="221"/>
      <c r="M1551" s="221"/>
      <c r="N1551" s="221"/>
      <c r="O1551" s="221"/>
      <c r="P1551" s="221"/>
      <c r="Q1551" s="221"/>
    </row>
    <row r="1552" spans="1:17" x14ac:dyDescent="0.25">
      <c r="A1552" s="218" t="s">
        <v>164</v>
      </c>
      <c r="B1552" s="219"/>
      <c r="C1552" s="219"/>
      <c r="D1552" s="219"/>
      <c r="E1552" s="219"/>
      <c r="F1552" s="219"/>
      <c r="G1552" s="219"/>
      <c r="H1552" s="217"/>
      <c r="I1552" s="221"/>
      <c r="J1552" s="221"/>
      <c r="K1552" s="221"/>
      <c r="L1552" s="221"/>
      <c r="M1552" s="221"/>
      <c r="N1552" s="221"/>
      <c r="O1552" s="221"/>
      <c r="P1552" s="221"/>
      <c r="Q1552" s="221"/>
    </row>
    <row r="1553" spans="1:17" x14ac:dyDescent="0.25">
      <c r="A1553" s="220" t="s">
        <v>218</v>
      </c>
      <c r="B1553" s="221"/>
      <c r="C1553" s="221"/>
      <c r="D1553" s="221"/>
      <c r="E1553" s="221"/>
      <c r="F1553" s="221"/>
      <c r="G1553" s="221"/>
      <c r="H1553" s="222"/>
      <c r="I1553" s="221"/>
      <c r="J1553" s="221"/>
      <c r="K1553" s="221"/>
      <c r="L1553" s="221"/>
      <c r="M1553" s="221"/>
      <c r="N1553" s="221"/>
      <c r="O1553" s="221"/>
      <c r="P1553" s="221"/>
      <c r="Q1553" s="221"/>
    </row>
    <row r="1554" spans="1:17" x14ac:dyDescent="0.25">
      <c r="A1554" s="220" t="s">
        <v>520</v>
      </c>
      <c r="B1554" s="221"/>
      <c r="C1554" s="221"/>
      <c r="D1554" s="221"/>
      <c r="E1554" s="221"/>
      <c r="F1554" s="221"/>
      <c r="G1554" s="221"/>
      <c r="H1554" s="222"/>
      <c r="I1554" s="221"/>
      <c r="J1554" s="221"/>
      <c r="K1554" s="221"/>
      <c r="L1554" s="221"/>
      <c r="M1554" s="221"/>
      <c r="N1554" s="221"/>
      <c r="O1554" s="221"/>
      <c r="P1554" s="221"/>
      <c r="Q1554" s="221"/>
    </row>
    <row r="1555" spans="1:17" ht="13.2" customHeight="1" x14ac:dyDescent="0.25">
      <c r="A1555" s="273" t="s">
        <v>521</v>
      </c>
      <c r="B1555" s="445"/>
      <c r="C1555" s="445"/>
      <c r="D1555" s="445"/>
      <c r="E1555" s="445"/>
      <c r="F1555" s="445"/>
      <c r="G1555" s="445"/>
      <c r="H1555" s="622"/>
      <c r="I1555" s="221"/>
      <c r="J1555" s="221"/>
      <c r="K1555" s="221"/>
      <c r="L1555" s="221"/>
      <c r="M1555" s="221"/>
      <c r="N1555" s="221"/>
      <c r="O1555" s="221"/>
      <c r="P1555" s="221"/>
      <c r="Q1555" s="221"/>
    </row>
    <row r="1556" spans="1:17" x14ac:dyDescent="0.25">
      <c r="A1556" s="273" t="s">
        <v>522</v>
      </c>
      <c r="B1556" s="509"/>
      <c r="C1556" s="509"/>
      <c r="D1556" s="509"/>
      <c r="E1556" s="509"/>
      <c r="F1556" s="509"/>
      <c r="G1556" s="509"/>
      <c r="H1556" s="567"/>
      <c r="I1556" s="221"/>
      <c r="J1556" s="221"/>
      <c r="K1556" s="221"/>
      <c r="L1556" s="221"/>
      <c r="M1556" s="221"/>
      <c r="N1556" s="221"/>
      <c r="O1556" s="221"/>
      <c r="P1556" s="221"/>
      <c r="Q1556" s="221"/>
    </row>
    <row r="1557" spans="1:17" x14ac:dyDescent="0.25">
      <c r="A1557" s="220" t="s">
        <v>523</v>
      </c>
      <c r="B1557" s="509"/>
      <c r="C1557" s="509"/>
      <c r="D1557" s="509"/>
      <c r="E1557" s="509"/>
      <c r="F1557" s="509"/>
      <c r="G1557" s="509"/>
      <c r="H1557" s="567"/>
      <c r="I1557" s="221"/>
      <c r="J1557" s="221"/>
      <c r="K1557" s="221"/>
      <c r="L1557" s="221"/>
      <c r="M1557" s="221"/>
      <c r="N1557" s="221"/>
      <c r="O1557" s="221"/>
      <c r="P1557" s="221"/>
      <c r="Q1557" s="221"/>
    </row>
    <row r="1558" spans="1:17" x14ac:dyDescent="0.25">
      <c r="A1558" s="220" t="s">
        <v>887</v>
      </c>
      <c r="B1558" s="509"/>
      <c r="C1558" s="509"/>
      <c r="D1558" s="509"/>
      <c r="E1558" s="509"/>
      <c r="F1558" s="509"/>
      <c r="G1558" s="509"/>
      <c r="H1558" s="567"/>
      <c r="I1558" s="221"/>
      <c r="J1558" s="221"/>
      <c r="K1558" s="221"/>
      <c r="L1558" s="221"/>
      <c r="M1558" s="221"/>
      <c r="N1558" s="221"/>
      <c r="O1558" s="221"/>
      <c r="P1558" s="221"/>
      <c r="Q1558" s="221"/>
    </row>
    <row r="1559" spans="1:17" ht="13.2" customHeight="1" x14ac:dyDescent="0.25">
      <c r="A1559" s="211" t="s">
        <v>888</v>
      </c>
      <c r="B1559" s="223"/>
      <c r="C1559" s="223"/>
      <c r="D1559" s="223"/>
      <c r="E1559" s="223"/>
      <c r="F1559" s="223"/>
      <c r="G1559" s="223"/>
      <c r="H1559" s="224"/>
      <c r="I1559" s="221"/>
      <c r="J1559" s="221"/>
      <c r="K1559" s="221"/>
      <c r="L1559" s="221"/>
      <c r="M1559" s="221"/>
      <c r="N1559" s="221"/>
      <c r="O1559" s="221"/>
      <c r="P1559" s="221"/>
      <c r="Q1559" s="221"/>
    </row>
    <row r="1560" spans="1:17" x14ac:dyDescent="0.25">
      <c r="A1560" s="221"/>
      <c r="B1560" s="221"/>
      <c r="C1560" s="221"/>
      <c r="D1560" s="221"/>
      <c r="E1560" s="221"/>
      <c r="F1560" s="221"/>
      <c r="G1560" s="221"/>
      <c r="H1560" s="221"/>
      <c r="I1560" s="221"/>
      <c r="J1560" s="221"/>
      <c r="K1560" s="221"/>
      <c r="L1560" s="221"/>
      <c r="M1560" s="221"/>
      <c r="N1560" s="221"/>
      <c r="O1560" s="221"/>
      <c r="P1560" s="221"/>
      <c r="Q1560" s="221"/>
    </row>
    <row r="1561" spans="1:17" x14ac:dyDescent="0.25">
      <c r="A1561" s="260" t="s">
        <v>1</v>
      </c>
      <c r="B1561" s="274" t="s">
        <v>654</v>
      </c>
      <c r="C1561" s="450" t="s">
        <v>2</v>
      </c>
      <c r="D1561" s="221"/>
      <c r="E1561" s="221"/>
      <c r="F1561" s="221"/>
      <c r="G1561" s="221"/>
      <c r="H1561" s="221"/>
      <c r="I1561" s="221"/>
      <c r="J1561" s="221"/>
      <c r="K1561" s="221"/>
      <c r="L1561" s="221"/>
      <c r="M1561" s="221"/>
      <c r="N1561" s="221"/>
      <c r="O1561" s="221"/>
      <c r="P1561" s="221"/>
      <c r="Q1561" s="221"/>
    </row>
    <row r="1562" spans="1:17" x14ac:dyDescent="0.25">
      <c r="A1562" s="263" t="s">
        <v>3</v>
      </c>
      <c r="B1562" s="226"/>
      <c r="C1562" s="212">
        <v>2018</v>
      </c>
      <c r="D1562" s="275">
        <v>2019</v>
      </c>
      <c r="E1562" s="212">
        <v>2020</v>
      </c>
      <c r="F1562" s="212">
        <v>2021</v>
      </c>
      <c r="G1562" s="212">
        <v>2022</v>
      </c>
      <c r="H1562" s="212">
        <v>2023</v>
      </c>
      <c r="I1562" s="221"/>
      <c r="J1562" s="221"/>
      <c r="K1562" s="221"/>
      <c r="L1562" s="221"/>
      <c r="M1562" s="221"/>
      <c r="N1562" s="221"/>
      <c r="O1562" s="221"/>
      <c r="P1562" s="221"/>
      <c r="Q1562" s="221"/>
    </row>
    <row r="1563" spans="1:17" x14ac:dyDescent="0.25">
      <c r="A1563" s="263" t="s">
        <v>4</v>
      </c>
      <c r="B1563" s="226"/>
      <c r="C1563" s="215">
        <v>417</v>
      </c>
      <c r="D1563" s="215">
        <v>417</v>
      </c>
      <c r="E1563" s="215">
        <v>417</v>
      </c>
      <c r="F1563" s="215">
        <v>417</v>
      </c>
      <c r="G1563" s="215">
        <v>417</v>
      </c>
      <c r="H1563" s="215">
        <v>417</v>
      </c>
      <c r="I1563" s="221"/>
      <c r="J1563" s="221"/>
      <c r="K1563" s="221"/>
      <c r="L1563" s="221"/>
      <c r="M1563" s="221"/>
      <c r="N1563" s="221"/>
      <c r="O1563" s="221"/>
      <c r="P1563" s="221"/>
      <c r="Q1563" s="221"/>
    </row>
    <row r="1564" spans="1:17" x14ac:dyDescent="0.25">
      <c r="A1564" s="263" t="s">
        <v>5</v>
      </c>
      <c r="B1564" s="226"/>
      <c r="C1564" s="215">
        <v>500.4</v>
      </c>
      <c r="D1564" s="215">
        <v>500.4</v>
      </c>
      <c r="E1564" s="215">
        <f>E1565</f>
        <v>500.4</v>
      </c>
      <c r="F1564" s="215">
        <v>500.4</v>
      </c>
      <c r="G1564" s="215">
        <v>500.4</v>
      </c>
      <c r="H1564" s="215">
        <v>500.4</v>
      </c>
      <c r="I1564" s="221"/>
      <c r="J1564" s="221"/>
      <c r="K1564" s="221"/>
      <c r="L1564" s="221"/>
      <c r="M1564" s="221"/>
      <c r="N1564" s="221"/>
      <c r="O1564" s="221"/>
      <c r="P1564" s="221"/>
      <c r="Q1564" s="221"/>
    </row>
    <row r="1565" spans="1:17" x14ac:dyDescent="0.25">
      <c r="A1565" s="263" t="s">
        <v>6</v>
      </c>
      <c r="B1565" s="226"/>
      <c r="C1565" s="215">
        <v>500.4</v>
      </c>
      <c r="D1565" s="215">
        <v>500.4</v>
      </c>
      <c r="E1565" s="215">
        <f>1.2*E1563</f>
        <v>500.4</v>
      </c>
      <c r="F1565" s="215">
        <v>500.4</v>
      </c>
      <c r="G1565" s="215">
        <v>500.4</v>
      </c>
      <c r="H1565" s="215">
        <f>H1563+0.1*G1563</f>
        <v>458.7</v>
      </c>
      <c r="I1565" s="221"/>
      <c r="J1565" s="221"/>
      <c r="K1565" s="221"/>
      <c r="L1565" s="221"/>
      <c r="M1565" s="221"/>
      <c r="N1565" s="221"/>
      <c r="O1565" s="221"/>
      <c r="P1565" s="221"/>
      <c r="Q1565" s="221"/>
    </row>
    <row r="1566" spans="1:17" x14ac:dyDescent="0.25">
      <c r="A1566" s="263" t="s">
        <v>7</v>
      </c>
      <c r="B1566" s="226"/>
      <c r="C1566" s="215">
        <v>92.8</v>
      </c>
      <c r="D1566" s="215">
        <v>166.9</v>
      </c>
      <c r="E1566" s="215">
        <v>0</v>
      </c>
      <c r="F1566" s="215">
        <v>0</v>
      </c>
      <c r="G1566" s="215">
        <v>0</v>
      </c>
      <c r="H1566" s="215"/>
      <c r="I1566" s="221"/>
      <c r="J1566" s="221"/>
      <c r="K1566" s="221"/>
      <c r="L1566" s="221"/>
      <c r="M1566" s="221"/>
      <c r="N1566" s="221"/>
      <c r="O1566" s="221"/>
      <c r="P1566" s="221"/>
      <c r="Q1566" s="221"/>
    </row>
    <row r="1567" spans="1:17" x14ac:dyDescent="0.25">
      <c r="A1567" s="263" t="s">
        <v>8</v>
      </c>
      <c r="B1567" s="226"/>
      <c r="C1567" s="215">
        <v>407.59999999999997</v>
      </c>
      <c r="D1567" s="215">
        <f>D1564-D1566</f>
        <v>333.5</v>
      </c>
      <c r="E1567" s="215">
        <f>E1564-E1566</f>
        <v>500.4</v>
      </c>
      <c r="F1567" s="215">
        <f>F1564-F1566</f>
        <v>500.4</v>
      </c>
      <c r="G1567" s="215">
        <f>G1564-G1566</f>
        <v>500.4</v>
      </c>
      <c r="H1567" s="215"/>
      <c r="I1567" s="221"/>
      <c r="J1567" s="221"/>
      <c r="K1567" s="221"/>
      <c r="L1567" s="221"/>
      <c r="M1567" s="221"/>
      <c r="N1567" s="221"/>
      <c r="O1567" s="221"/>
      <c r="P1567" s="221"/>
      <c r="Q1567" s="221"/>
    </row>
    <row r="1568" spans="1:17" x14ac:dyDescent="0.25">
      <c r="A1568" s="218" t="s">
        <v>9</v>
      </c>
      <c r="B1568" s="227"/>
      <c r="C1568" s="244">
        <v>2019</v>
      </c>
      <c r="D1568" s="280">
        <v>2020</v>
      </c>
      <c r="E1568" s="244">
        <v>2021</v>
      </c>
      <c r="F1568" s="245">
        <v>2022</v>
      </c>
      <c r="G1568" s="245">
        <v>2023</v>
      </c>
      <c r="H1568" s="245">
        <v>2024</v>
      </c>
      <c r="I1568" s="221"/>
      <c r="J1568" s="221"/>
      <c r="K1568" s="221"/>
      <c r="L1568" s="221"/>
      <c r="M1568" s="221"/>
      <c r="N1568" s="221"/>
      <c r="O1568" s="221"/>
      <c r="P1568" s="221"/>
      <c r="Q1568" s="221"/>
    </row>
    <row r="1569" spans="1:17" x14ac:dyDescent="0.25">
      <c r="A1569" s="218" t="s">
        <v>164</v>
      </c>
      <c r="B1569" s="219"/>
      <c r="C1569" s="219"/>
      <c r="D1569" s="219"/>
      <c r="E1569" s="219"/>
      <c r="F1569" s="219"/>
      <c r="G1569" s="219"/>
      <c r="H1569" s="217"/>
      <c r="I1569" s="221"/>
      <c r="J1569" s="221"/>
      <c r="K1569" s="221"/>
      <c r="L1569" s="221"/>
      <c r="M1569" s="221"/>
      <c r="N1569" s="221"/>
      <c r="O1569" s="221"/>
      <c r="P1569" s="221"/>
      <c r="Q1569" s="221"/>
    </row>
    <row r="1570" spans="1:17" x14ac:dyDescent="0.25">
      <c r="A1570" s="220" t="s">
        <v>218</v>
      </c>
      <c r="B1570" s="221"/>
      <c r="C1570" s="221"/>
      <c r="D1570" s="221"/>
      <c r="E1570" s="221"/>
      <c r="F1570" s="221"/>
      <c r="G1570" s="221"/>
      <c r="H1570" s="222"/>
      <c r="I1570" s="221"/>
      <c r="J1570" s="221"/>
      <c r="K1570" s="221"/>
      <c r="L1570" s="221"/>
      <c r="M1570" s="221"/>
      <c r="N1570" s="221"/>
      <c r="O1570" s="221"/>
      <c r="P1570" s="221"/>
      <c r="Q1570" s="221"/>
    </row>
    <row r="1571" spans="1:17" s="50" customFormat="1" x14ac:dyDescent="0.25">
      <c r="A1571" s="717" t="s">
        <v>219</v>
      </c>
      <c r="B1571" s="718"/>
      <c r="C1571" s="718"/>
      <c r="D1571" s="718"/>
      <c r="E1571" s="718"/>
      <c r="F1571" s="718"/>
      <c r="G1571" s="445"/>
      <c r="H1571" s="622"/>
      <c r="I1571" s="445"/>
      <c r="J1571" s="445"/>
      <c r="K1571" s="445"/>
      <c r="L1571" s="445"/>
      <c r="M1571" s="445"/>
      <c r="N1571" s="445"/>
      <c r="O1571" s="445"/>
      <c r="P1571" s="445"/>
      <c r="Q1571" s="445"/>
    </row>
    <row r="1572" spans="1:17" s="50" customFormat="1" x14ac:dyDescent="0.25">
      <c r="A1572" s="717" t="s">
        <v>316</v>
      </c>
      <c r="B1572" s="718"/>
      <c r="C1572" s="718"/>
      <c r="D1572" s="718"/>
      <c r="E1572" s="718"/>
      <c r="F1572" s="718"/>
      <c r="G1572" s="445"/>
      <c r="H1572" s="622"/>
      <c r="I1572" s="445"/>
      <c r="J1572" s="445"/>
      <c r="K1572" s="445"/>
      <c r="L1572" s="445"/>
      <c r="M1572" s="445"/>
      <c r="N1572" s="445"/>
      <c r="O1572" s="445"/>
      <c r="P1572" s="445"/>
      <c r="Q1572" s="445"/>
    </row>
    <row r="1573" spans="1:17" s="50" customFormat="1" x14ac:dyDescent="0.25">
      <c r="A1573" s="717" t="s">
        <v>719</v>
      </c>
      <c r="B1573" s="718"/>
      <c r="C1573" s="718"/>
      <c r="D1573" s="718"/>
      <c r="E1573" s="718"/>
      <c r="F1573" s="718"/>
      <c r="G1573" s="445"/>
      <c r="H1573" s="622"/>
      <c r="I1573" s="445"/>
      <c r="J1573" s="445"/>
      <c r="K1573" s="445"/>
      <c r="L1573" s="445"/>
      <c r="M1573" s="445"/>
      <c r="N1573" s="445"/>
      <c r="O1573" s="445"/>
      <c r="P1573" s="445"/>
      <c r="Q1573" s="445"/>
    </row>
    <row r="1574" spans="1:17" s="50" customFormat="1" x14ac:dyDescent="0.25">
      <c r="A1574" s="717" t="s">
        <v>718</v>
      </c>
      <c r="B1574" s="718"/>
      <c r="C1574" s="718"/>
      <c r="D1574" s="718"/>
      <c r="E1574" s="718"/>
      <c r="F1574" s="718"/>
      <c r="G1574" s="445"/>
      <c r="H1574" s="622"/>
      <c r="I1574" s="445"/>
      <c r="J1574" s="445"/>
      <c r="K1574" s="445"/>
      <c r="L1574" s="445"/>
      <c r="M1574" s="445"/>
      <c r="N1574" s="445"/>
      <c r="O1574" s="445"/>
      <c r="P1574" s="445"/>
      <c r="Q1574" s="445"/>
    </row>
    <row r="1575" spans="1:17" s="50" customFormat="1" x14ac:dyDescent="0.25">
      <c r="A1575" s="724" t="s">
        <v>889</v>
      </c>
      <c r="B1575" s="725"/>
      <c r="C1575" s="725"/>
      <c r="D1575" s="725"/>
      <c r="E1575" s="725"/>
      <c r="F1575" s="725"/>
      <c r="G1575" s="623"/>
      <c r="H1575" s="624"/>
      <c r="I1575" s="445"/>
      <c r="J1575" s="445"/>
      <c r="K1575" s="445"/>
      <c r="L1575" s="445"/>
      <c r="M1575" s="445"/>
      <c r="N1575" s="445"/>
      <c r="O1575" s="445"/>
      <c r="P1575" s="445"/>
      <c r="Q1575" s="445"/>
    </row>
    <row r="1576" spans="1:17" x14ac:dyDescent="0.25">
      <c r="A1576" s="221"/>
      <c r="B1576" s="221"/>
      <c r="C1576" s="221"/>
      <c r="D1576" s="221"/>
      <c r="E1576" s="221"/>
      <c r="F1576" s="221"/>
      <c r="G1576" s="221"/>
      <c r="H1576" s="221"/>
      <c r="I1576" s="221"/>
      <c r="J1576" s="221"/>
      <c r="K1576" s="221"/>
      <c r="L1576" s="221"/>
      <c r="M1576" s="221"/>
      <c r="N1576" s="221"/>
      <c r="O1576" s="221"/>
      <c r="P1576" s="221"/>
      <c r="Q1576" s="221"/>
    </row>
    <row r="1577" spans="1:17" x14ac:dyDescent="0.25">
      <c r="A1577" s="249" t="s">
        <v>14</v>
      </c>
      <c r="B1577" s="250" t="s">
        <v>66</v>
      </c>
      <c r="C1577" s="251" t="s">
        <v>15</v>
      </c>
      <c r="D1577" s="252"/>
      <c r="E1577" s="252"/>
      <c r="F1577" s="252"/>
      <c r="G1577" s="221"/>
      <c r="H1577" s="221"/>
      <c r="I1577" s="221"/>
      <c r="J1577" s="221"/>
      <c r="K1577" s="221"/>
      <c r="L1577" s="221"/>
      <c r="M1577" s="221"/>
      <c r="N1577" s="221"/>
      <c r="O1577" s="221"/>
      <c r="P1577" s="221"/>
      <c r="Q1577" s="221"/>
    </row>
    <row r="1578" spans="1:17" x14ac:dyDescent="0.25">
      <c r="A1578" s="253" t="s">
        <v>16</v>
      </c>
      <c r="B1578" s="324"/>
      <c r="C1578" s="212">
        <v>2020</v>
      </c>
      <c r="D1578" s="212">
        <v>2021</v>
      </c>
      <c r="E1578" s="212">
        <v>2022</v>
      </c>
      <c r="F1578" s="212">
        <v>2023</v>
      </c>
      <c r="G1578" s="212">
        <v>2024</v>
      </c>
      <c r="H1578" s="212">
        <v>2025</v>
      </c>
      <c r="I1578" s="212">
        <v>2026</v>
      </c>
      <c r="J1578" s="212">
        <v>2027</v>
      </c>
      <c r="K1578" s="212">
        <v>2028</v>
      </c>
      <c r="L1578" s="212">
        <v>2029</v>
      </c>
      <c r="M1578" s="212">
        <v>2030</v>
      </c>
      <c r="N1578" s="212">
        <v>2031</v>
      </c>
      <c r="O1578" s="212">
        <v>2032</v>
      </c>
      <c r="P1578" s="221"/>
      <c r="Q1578" s="221"/>
    </row>
    <row r="1579" spans="1:17" x14ac:dyDescent="0.25">
      <c r="A1579" s="253" t="s">
        <v>17</v>
      </c>
      <c r="B1579" s="325"/>
      <c r="C1579" s="215">
        <v>1322.73</v>
      </c>
      <c r="D1579" s="215">
        <v>1301.5663200000001</v>
      </c>
      <c r="E1579" s="215">
        <v>1312.14816</v>
      </c>
      <c r="F1579" s="215">
        <v>1312.14816</v>
      </c>
      <c r="G1579" s="215">
        <v>1312.14816</v>
      </c>
      <c r="H1579" s="215">
        <v>1312.14816</v>
      </c>
      <c r="I1579" s="215">
        <v>1312.14816</v>
      </c>
      <c r="J1579" s="215">
        <v>1312.14816</v>
      </c>
      <c r="K1579" s="215">
        <v>1312.14816</v>
      </c>
      <c r="L1579" s="215">
        <v>1312.14816</v>
      </c>
      <c r="M1579" s="215">
        <v>1312.14816</v>
      </c>
      <c r="N1579" s="215">
        <v>1312.14816</v>
      </c>
      <c r="O1579" s="215">
        <v>1312.14816</v>
      </c>
      <c r="P1579" s="221"/>
      <c r="Q1579" s="221"/>
    </row>
    <row r="1580" spans="1:17" x14ac:dyDescent="0.25">
      <c r="A1580" s="253" t="s">
        <v>18</v>
      </c>
      <c r="B1580" s="325"/>
      <c r="C1580" s="215"/>
      <c r="D1580" s="215"/>
      <c r="E1580" s="215"/>
      <c r="F1580" s="215">
        <f>F1579-137.77</f>
        <v>1174.37816</v>
      </c>
      <c r="G1580" s="215">
        <f t="shared" ref="G1580:O1580" si="45">G1579-137.77</f>
        <v>1174.37816</v>
      </c>
      <c r="H1580" s="215">
        <f t="shared" si="45"/>
        <v>1174.37816</v>
      </c>
      <c r="I1580" s="215">
        <f t="shared" si="45"/>
        <v>1174.37816</v>
      </c>
      <c r="J1580" s="215">
        <f t="shared" si="45"/>
        <v>1174.37816</v>
      </c>
      <c r="K1580" s="215">
        <f t="shared" si="45"/>
        <v>1174.37816</v>
      </c>
      <c r="L1580" s="215">
        <f t="shared" si="45"/>
        <v>1174.37816</v>
      </c>
      <c r="M1580" s="215">
        <f t="shared" si="45"/>
        <v>1174.37816</v>
      </c>
      <c r="N1580" s="215">
        <f t="shared" si="45"/>
        <v>1174.37816</v>
      </c>
      <c r="O1580" s="215">
        <f t="shared" si="45"/>
        <v>1174.37816</v>
      </c>
      <c r="P1580" s="221"/>
      <c r="Q1580" s="221"/>
    </row>
    <row r="1581" spans="1:17" x14ac:dyDescent="0.25">
      <c r="A1581" s="253" t="s">
        <v>19</v>
      </c>
      <c r="B1581" s="325"/>
      <c r="C1581" s="215"/>
      <c r="D1581" s="439"/>
      <c r="E1581" s="439" t="s">
        <v>539</v>
      </c>
      <c r="F1581" s="439" t="s">
        <v>539</v>
      </c>
      <c r="G1581" s="439" t="s">
        <v>539</v>
      </c>
      <c r="H1581" s="439" t="s">
        <v>539</v>
      </c>
      <c r="I1581" s="439" t="s">
        <v>539</v>
      </c>
      <c r="J1581" s="439" t="s">
        <v>539</v>
      </c>
      <c r="K1581" s="439" t="s">
        <v>539</v>
      </c>
      <c r="L1581" s="439" t="s">
        <v>539</v>
      </c>
      <c r="M1581" s="439" t="s">
        <v>539</v>
      </c>
      <c r="N1581" s="439" t="s">
        <v>539</v>
      </c>
      <c r="O1581" s="439" t="s">
        <v>539</v>
      </c>
      <c r="P1581" s="221"/>
      <c r="Q1581" s="221"/>
    </row>
    <row r="1582" spans="1:17" x14ac:dyDescent="0.25">
      <c r="A1582" s="253" t="s">
        <v>20</v>
      </c>
      <c r="B1582" s="325"/>
      <c r="C1582" s="215">
        <v>2700.5</v>
      </c>
      <c r="D1582" s="215">
        <v>702.1</v>
      </c>
      <c r="E1582" s="215">
        <v>764.67</v>
      </c>
      <c r="F1582" s="215"/>
      <c r="G1582" s="215"/>
      <c r="H1582" s="215"/>
      <c r="I1582" s="215"/>
      <c r="J1582" s="215"/>
      <c r="K1582" s="215"/>
      <c r="L1582" s="215"/>
      <c r="M1582" s="215"/>
      <c r="N1582" s="215"/>
      <c r="O1582" s="215"/>
      <c r="P1582" s="221"/>
      <c r="Q1582" s="221"/>
    </row>
    <row r="1583" spans="1:17" x14ac:dyDescent="0.25">
      <c r="A1583" s="253" t="s">
        <v>21</v>
      </c>
      <c r="B1583" s="440"/>
      <c r="C1583" s="215">
        <f>C1579-C1582</f>
        <v>-1377.77</v>
      </c>
      <c r="D1583" s="215">
        <f>D1579-D1582</f>
        <v>599.46632000000011</v>
      </c>
      <c r="E1583" s="215">
        <f>E1579-E1582</f>
        <v>547.47816</v>
      </c>
      <c r="F1583" s="215"/>
      <c r="G1583" s="215"/>
      <c r="H1583" s="215"/>
      <c r="I1583" s="215"/>
      <c r="J1583" s="215"/>
      <c r="K1583" s="215"/>
      <c r="L1583" s="215"/>
      <c r="M1583" s="215"/>
      <c r="N1583" s="215"/>
      <c r="O1583" s="215"/>
      <c r="P1583" s="221"/>
      <c r="Q1583" s="221"/>
    </row>
    <row r="1584" spans="1:17" x14ac:dyDescent="0.25">
      <c r="A1584" s="256" t="s">
        <v>22</v>
      </c>
      <c r="B1584" s="441"/>
      <c r="C1584" s="227">
        <v>2022</v>
      </c>
      <c r="D1584" s="227">
        <v>2023</v>
      </c>
      <c r="E1584" s="227"/>
      <c r="F1584" s="227"/>
      <c r="G1584" s="227"/>
      <c r="H1584" s="227"/>
      <c r="I1584" s="227"/>
      <c r="J1584" s="227"/>
      <c r="K1584" s="227"/>
      <c r="L1584" s="227"/>
      <c r="M1584" s="227"/>
      <c r="N1584" s="227"/>
      <c r="O1584" s="227"/>
      <c r="P1584" s="221"/>
      <c r="Q1584" s="221"/>
    </row>
    <row r="1585" spans="1:17" ht="12.75" customHeight="1" x14ac:dyDescent="0.25">
      <c r="A1585" s="442" t="s">
        <v>572</v>
      </c>
      <c r="B1585" s="443"/>
      <c r="C1585" s="443"/>
      <c r="D1585" s="443"/>
      <c r="E1585" s="443"/>
      <c r="F1585" s="443"/>
      <c r="G1585" s="443"/>
      <c r="H1585" s="443"/>
      <c r="I1585" s="443"/>
      <c r="J1585" s="443"/>
      <c r="K1585" s="443"/>
      <c r="L1585" s="443"/>
      <c r="M1585" s="443"/>
      <c r="N1585" s="443"/>
      <c r="O1585" s="444"/>
      <c r="P1585" s="221"/>
      <c r="Q1585" s="221"/>
    </row>
    <row r="1586" spans="1:17" x14ac:dyDescent="0.25">
      <c r="A1586" s="197" t="s">
        <v>994</v>
      </c>
      <c r="B1586" s="223"/>
      <c r="C1586" s="223"/>
      <c r="D1586" s="223"/>
      <c r="E1586" s="223"/>
      <c r="F1586" s="223"/>
      <c r="G1586" s="223"/>
      <c r="H1586" s="223"/>
      <c r="I1586" s="223"/>
      <c r="J1586" s="223"/>
      <c r="K1586" s="223"/>
      <c r="L1586" s="223"/>
      <c r="M1586" s="223"/>
      <c r="N1586" s="223"/>
      <c r="O1586" s="224"/>
      <c r="P1586" s="221"/>
      <c r="Q1586" s="221"/>
    </row>
    <row r="1587" spans="1:17" x14ac:dyDescent="0.25">
      <c r="A1587" s="221"/>
      <c r="B1587" s="221"/>
      <c r="C1587" s="445"/>
      <c r="D1587" s="221"/>
      <c r="E1587" s="221"/>
      <c r="F1587" s="221"/>
      <c r="G1587" s="221"/>
      <c r="H1587" s="221"/>
      <c r="I1587" s="221"/>
      <c r="J1587" s="221"/>
      <c r="K1587" s="221"/>
      <c r="L1587" s="221"/>
      <c r="M1587" s="221"/>
      <c r="N1587" s="221"/>
      <c r="O1587" s="221"/>
      <c r="P1587" s="221"/>
      <c r="Q1587" s="221"/>
    </row>
    <row r="1588" spans="1:17" x14ac:dyDescent="0.25">
      <c r="A1588" s="221"/>
      <c r="B1588" s="221"/>
      <c r="C1588" s="221"/>
      <c r="D1588" s="221"/>
      <c r="E1588" s="221"/>
      <c r="F1588" s="221"/>
      <c r="G1588" s="221"/>
      <c r="H1588" s="221"/>
      <c r="I1588" s="221"/>
      <c r="J1588" s="221"/>
      <c r="K1588" s="221"/>
      <c r="L1588" s="221"/>
      <c r="M1588" s="221"/>
      <c r="N1588" s="221"/>
      <c r="O1588" s="221"/>
      <c r="P1588" s="221"/>
      <c r="Q1588" s="221"/>
    </row>
    <row r="1589" spans="1:17" x14ac:dyDescent="0.25">
      <c r="A1589" s="556" t="s">
        <v>204</v>
      </c>
      <c r="B1589" s="550" t="s">
        <v>205</v>
      </c>
      <c r="C1589" s="221"/>
      <c r="D1589" s="221"/>
      <c r="E1589" s="221"/>
      <c r="F1589" s="221"/>
      <c r="G1589" s="221"/>
      <c r="H1589" s="221"/>
      <c r="I1589" s="221"/>
      <c r="J1589" s="221"/>
      <c r="K1589" s="221"/>
      <c r="L1589" s="221"/>
      <c r="M1589" s="221"/>
      <c r="N1589" s="221"/>
      <c r="O1589" s="221"/>
      <c r="P1589" s="221"/>
      <c r="Q1589" s="221"/>
    </row>
    <row r="1590" spans="1:17" x14ac:dyDescent="0.25">
      <c r="A1590" s="260" t="s">
        <v>203</v>
      </c>
      <c r="B1590" s="274" t="s">
        <v>651</v>
      </c>
      <c r="C1590" s="262" t="s">
        <v>15</v>
      </c>
      <c r="D1590" s="221"/>
      <c r="E1590" s="221"/>
      <c r="F1590" s="221"/>
      <c r="G1590" s="221"/>
      <c r="H1590" s="221"/>
      <c r="I1590" s="221"/>
      <c r="J1590" s="221"/>
      <c r="K1590" s="221"/>
      <c r="L1590" s="221"/>
      <c r="M1590" s="221"/>
      <c r="N1590" s="221"/>
      <c r="O1590" s="221"/>
      <c r="P1590" s="221"/>
      <c r="Q1590" s="221"/>
    </row>
    <row r="1591" spans="1:17" x14ac:dyDescent="0.25">
      <c r="A1591" s="226" t="s">
        <v>16</v>
      </c>
      <c r="B1591" s="226"/>
      <c r="C1591" s="226"/>
      <c r="D1591" s="212">
        <v>2018</v>
      </c>
      <c r="E1591" s="212">
        <v>2019</v>
      </c>
      <c r="F1591" s="212">
        <v>2020</v>
      </c>
      <c r="G1591" s="212">
        <v>2021</v>
      </c>
      <c r="H1591" s="212">
        <v>2022</v>
      </c>
      <c r="I1591" s="212">
        <v>2023</v>
      </c>
      <c r="J1591" s="349"/>
      <c r="K1591" s="221"/>
      <c r="L1591" s="221"/>
      <c r="M1591" s="221"/>
      <c r="N1591" s="221"/>
      <c r="O1591" s="221"/>
      <c r="P1591" s="221"/>
      <c r="Q1591" s="221"/>
    </row>
    <row r="1592" spans="1:17" x14ac:dyDescent="0.25">
      <c r="A1592" s="226" t="s">
        <v>17</v>
      </c>
      <c r="B1592" s="215"/>
      <c r="C1592" s="215"/>
      <c r="D1592" s="215">
        <v>4400</v>
      </c>
      <c r="E1592" s="215">
        <v>4400</v>
      </c>
      <c r="F1592" s="215">
        <v>4400</v>
      </c>
      <c r="G1592" s="215">
        <v>4400</v>
      </c>
      <c r="H1592" s="215">
        <v>4400</v>
      </c>
      <c r="I1592" s="215">
        <v>5280</v>
      </c>
      <c r="J1592" s="395"/>
      <c r="K1592" s="221"/>
      <c r="L1592" s="221"/>
      <c r="M1592" s="221"/>
      <c r="N1592" s="221"/>
      <c r="O1592" s="221"/>
      <c r="P1592" s="221"/>
      <c r="Q1592" s="221"/>
    </row>
    <row r="1593" spans="1:17" x14ac:dyDescent="0.25">
      <c r="A1593" s="226" t="s">
        <v>18</v>
      </c>
      <c r="B1593" s="215"/>
      <c r="C1593" s="215"/>
      <c r="D1593" s="215">
        <v>5500</v>
      </c>
      <c r="E1593" s="215">
        <f>E1592*1.25-900</f>
        <v>4600</v>
      </c>
      <c r="F1593" s="215">
        <f>F1592*1.25-600</f>
        <v>4900</v>
      </c>
      <c r="G1593" s="215">
        <f>G1592+E1596</f>
        <v>4597.134</v>
      </c>
      <c r="H1593" s="215">
        <f>H1592+F1596</f>
        <v>5274.0761000000002</v>
      </c>
      <c r="I1593" s="215">
        <f>I1592+G1596-100</f>
        <v>5854.6139999999996</v>
      </c>
      <c r="J1593" s="395"/>
      <c r="K1593" s="221"/>
      <c r="L1593" s="221"/>
      <c r="M1593" s="221"/>
      <c r="N1593" s="221"/>
      <c r="O1593" s="221"/>
      <c r="P1593" s="221"/>
      <c r="Q1593" s="221"/>
    </row>
    <row r="1594" spans="1:17" x14ac:dyDescent="0.25">
      <c r="A1594" s="263" t="s">
        <v>19</v>
      </c>
      <c r="B1594" s="372"/>
      <c r="C1594" s="215"/>
      <c r="D1594" s="215"/>
      <c r="E1594" s="215"/>
      <c r="F1594" s="215"/>
      <c r="G1594" s="215"/>
      <c r="H1594" s="215"/>
      <c r="I1594" s="215"/>
      <c r="J1594" s="395"/>
      <c r="K1594" s="221"/>
      <c r="L1594" s="221"/>
      <c r="M1594" s="221"/>
      <c r="N1594" s="221"/>
      <c r="O1594" s="221"/>
      <c r="P1594" s="221"/>
      <c r="Q1594" s="221"/>
    </row>
    <row r="1595" spans="1:17" x14ac:dyDescent="0.25">
      <c r="A1595" s="263" t="s">
        <v>20</v>
      </c>
      <c r="B1595" s="215"/>
      <c r="C1595" s="215"/>
      <c r="D1595" s="215">
        <v>2572.5</v>
      </c>
      <c r="E1595" s="215">
        <v>4402.866</v>
      </c>
      <c r="F1595" s="215">
        <v>4025.9238999999998</v>
      </c>
      <c r="G1595" s="215">
        <v>3922.52</v>
      </c>
      <c r="H1595" s="45">
        <v>5586.99</v>
      </c>
      <c r="I1595" s="215"/>
      <c r="J1595" s="395"/>
      <c r="K1595" s="221"/>
      <c r="L1595" s="221"/>
      <c r="M1595" s="221"/>
      <c r="N1595" s="221"/>
      <c r="O1595" s="221"/>
      <c r="P1595" s="221"/>
      <c r="Q1595" s="221"/>
    </row>
    <row r="1596" spans="1:17" x14ac:dyDescent="0.25">
      <c r="A1596" s="263" t="s">
        <v>21</v>
      </c>
      <c r="B1596" s="215"/>
      <c r="C1596" s="215"/>
      <c r="D1596" s="215">
        <f>D1593-D1595</f>
        <v>2927.5</v>
      </c>
      <c r="E1596" s="215">
        <f>E1593-E1595</f>
        <v>197.13400000000001</v>
      </c>
      <c r="F1596" s="215">
        <f>F1593-F1595</f>
        <v>874.07610000000022</v>
      </c>
      <c r="G1596" s="215">
        <f>G1593-G1595</f>
        <v>674.61400000000003</v>
      </c>
      <c r="H1596" s="45">
        <f>H1593-H1595</f>
        <v>-312.91389999999956</v>
      </c>
      <c r="I1596" s="215"/>
      <c r="J1596" s="395"/>
      <c r="K1596" s="221"/>
      <c r="L1596" s="221"/>
      <c r="M1596" s="221"/>
      <c r="N1596" s="221"/>
      <c r="O1596" s="221"/>
      <c r="P1596" s="221"/>
      <c r="Q1596" s="221"/>
    </row>
    <row r="1597" spans="1:17" x14ac:dyDescent="0.25">
      <c r="A1597" s="218" t="s">
        <v>22</v>
      </c>
      <c r="B1597" s="227"/>
      <c r="C1597" s="227"/>
      <c r="D1597" s="244">
        <v>2020</v>
      </c>
      <c r="E1597" s="244">
        <v>2021</v>
      </c>
      <c r="F1597" s="244">
        <v>2022</v>
      </c>
      <c r="G1597" s="244">
        <v>2023</v>
      </c>
      <c r="H1597" s="244">
        <v>2024</v>
      </c>
      <c r="I1597" s="244">
        <v>2025</v>
      </c>
      <c r="J1597" s="395"/>
      <c r="K1597" s="221"/>
      <c r="L1597" s="221"/>
      <c r="M1597" s="221"/>
      <c r="N1597" s="221"/>
      <c r="O1597" s="221"/>
      <c r="P1597" s="221"/>
      <c r="Q1597" s="221"/>
    </row>
    <row r="1598" spans="1:17" x14ac:dyDescent="0.25">
      <c r="A1598" s="218" t="s">
        <v>23</v>
      </c>
      <c r="B1598" s="219"/>
      <c r="C1598" s="219"/>
      <c r="D1598" s="280"/>
      <c r="E1598" s="280"/>
      <c r="F1598" s="280"/>
      <c r="G1598" s="245"/>
      <c r="H1598" s="245"/>
      <c r="I1598" s="245"/>
      <c r="J1598" s="395"/>
      <c r="K1598" s="221"/>
      <c r="L1598" s="221"/>
      <c r="M1598" s="221"/>
      <c r="N1598" s="221"/>
      <c r="O1598" s="221"/>
      <c r="P1598" s="221"/>
      <c r="Q1598" s="221"/>
    </row>
    <row r="1599" spans="1:17" x14ac:dyDescent="0.25">
      <c r="A1599" s="218" t="s">
        <v>115</v>
      </c>
      <c r="B1599" s="219"/>
      <c r="C1599" s="219"/>
      <c r="D1599" s="219"/>
      <c r="E1599" s="219"/>
      <c r="F1599" s="219"/>
      <c r="G1599" s="219"/>
      <c r="H1599" s="219"/>
      <c r="I1599" s="217"/>
      <c r="J1599" s="221"/>
      <c r="K1599" s="221"/>
      <c r="L1599" s="221"/>
      <c r="M1599" s="221"/>
      <c r="N1599" s="221"/>
      <c r="O1599" s="221"/>
      <c r="P1599" s="221"/>
      <c r="Q1599" s="221"/>
    </row>
    <row r="1600" spans="1:17" x14ac:dyDescent="0.25">
      <c r="A1600" s="220" t="s">
        <v>327</v>
      </c>
      <c r="B1600" s="221"/>
      <c r="C1600" s="221"/>
      <c r="D1600" s="221"/>
      <c r="E1600" s="221"/>
      <c r="F1600" s="221"/>
      <c r="G1600" s="221"/>
      <c r="H1600" s="221"/>
      <c r="I1600" s="222"/>
      <c r="J1600" s="221"/>
      <c r="K1600" s="221"/>
      <c r="L1600" s="221"/>
      <c r="M1600" s="221"/>
      <c r="N1600" s="221"/>
      <c r="O1600" s="221"/>
      <c r="P1600" s="221"/>
      <c r="Q1600" s="221"/>
    </row>
    <row r="1601" spans="1:17" x14ac:dyDescent="0.25">
      <c r="A1601" s="220" t="s">
        <v>328</v>
      </c>
      <c r="B1601" s="221"/>
      <c r="C1601" s="221"/>
      <c r="D1601" s="221"/>
      <c r="E1601" s="221"/>
      <c r="F1601" s="221"/>
      <c r="G1601" s="221"/>
      <c r="H1601" s="221"/>
      <c r="I1601" s="222"/>
      <c r="J1601" s="221"/>
      <c r="K1601" s="221"/>
      <c r="L1601" s="221"/>
      <c r="M1601" s="221"/>
      <c r="N1601" s="221"/>
      <c r="O1601" s="221"/>
      <c r="P1601" s="221"/>
      <c r="Q1601" s="221"/>
    </row>
    <row r="1602" spans="1:17" x14ac:dyDescent="0.25">
      <c r="A1602" s="220" t="s">
        <v>472</v>
      </c>
      <c r="B1602" s="221"/>
      <c r="C1602" s="221"/>
      <c r="D1602" s="221"/>
      <c r="E1602" s="221"/>
      <c r="F1602" s="221"/>
      <c r="G1602" s="221"/>
      <c r="H1602" s="221"/>
      <c r="I1602" s="222"/>
      <c r="J1602" s="221"/>
      <c r="K1602" s="221"/>
      <c r="L1602" s="221"/>
      <c r="M1602" s="221"/>
      <c r="N1602" s="221"/>
      <c r="O1602" s="221"/>
      <c r="P1602" s="221"/>
      <c r="Q1602" s="221"/>
    </row>
    <row r="1603" spans="1:17" x14ac:dyDescent="0.25">
      <c r="A1603" s="203" t="s">
        <v>965</v>
      </c>
      <c r="B1603" s="634"/>
      <c r="C1603" s="221"/>
      <c r="D1603" s="221"/>
      <c r="E1603" s="221"/>
      <c r="F1603" s="221"/>
      <c r="G1603" s="221"/>
      <c r="H1603" s="221"/>
      <c r="I1603" s="222"/>
      <c r="J1603" s="221"/>
      <c r="K1603" s="221"/>
      <c r="L1603" s="221"/>
    </row>
    <row r="1604" spans="1:17" x14ac:dyDescent="0.25">
      <c r="A1604" s="211" t="s">
        <v>858</v>
      </c>
      <c r="B1604" s="223"/>
      <c r="C1604" s="223"/>
      <c r="D1604" s="223"/>
      <c r="E1604" s="223"/>
      <c r="F1604" s="223"/>
      <c r="G1604" s="223"/>
      <c r="H1604" s="223"/>
      <c r="I1604" s="224"/>
      <c r="J1604" s="221"/>
      <c r="K1604" s="221"/>
      <c r="L1604" s="221"/>
    </row>
    <row r="1605" spans="1:17" x14ac:dyDescent="0.25">
      <c r="A1605" s="221"/>
      <c r="B1605" s="221"/>
      <c r="C1605" s="221"/>
      <c r="D1605" s="221"/>
      <c r="E1605" s="221"/>
      <c r="F1605" s="221"/>
      <c r="G1605" s="221"/>
      <c r="H1605" s="221"/>
      <c r="I1605" s="221"/>
      <c r="J1605" s="221"/>
      <c r="K1605" s="221"/>
      <c r="L1605" s="221"/>
    </row>
    <row r="1606" spans="1:17" x14ac:dyDescent="0.25">
      <c r="A1606" s="260" t="s">
        <v>203</v>
      </c>
      <c r="B1606" s="274" t="s">
        <v>654</v>
      </c>
      <c r="C1606" s="262" t="s">
        <v>15</v>
      </c>
      <c r="D1606" s="221"/>
      <c r="E1606" s="221"/>
      <c r="F1606" s="221"/>
      <c r="G1606" s="221"/>
      <c r="H1606" s="221"/>
      <c r="I1606" s="221"/>
      <c r="J1606" s="221"/>
      <c r="K1606" s="221"/>
      <c r="L1606" s="221"/>
    </row>
    <row r="1607" spans="1:17" x14ac:dyDescent="0.25">
      <c r="A1607" s="226" t="s">
        <v>16</v>
      </c>
      <c r="B1607" s="226"/>
      <c r="C1607" s="212">
        <v>2016</v>
      </c>
      <c r="D1607" s="212">
        <v>2017</v>
      </c>
      <c r="E1607" s="212">
        <v>2018</v>
      </c>
      <c r="F1607" s="212">
        <v>2019</v>
      </c>
      <c r="G1607" s="212">
        <v>2020</v>
      </c>
      <c r="H1607" s="212">
        <v>2021</v>
      </c>
      <c r="I1607" s="212">
        <v>2022</v>
      </c>
      <c r="J1607" s="212">
        <v>2023</v>
      </c>
      <c r="K1607" s="221"/>
      <c r="L1607" s="221"/>
    </row>
    <row r="1608" spans="1:17" x14ac:dyDescent="0.25">
      <c r="A1608" s="226" t="s">
        <v>17</v>
      </c>
      <c r="B1608" s="215"/>
      <c r="C1608" s="215">
        <v>1001</v>
      </c>
      <c r="D1608" s="215">
        <v>1001</v>
      </c>
      <c r="E1608" s="215">
        <v>1001</v>
      </c>
      <c r="F1608" s="215">
        <v>1001</v>
      </c>
      <c r="G1608" s="215">
        <v>1001</v>
      </c>
      <c r="H1608" s="215">
        <v>1001</v>
      </c>
      <c r="I1608" s="215">
        <v>1001</v>
      </c>
      <c r="J1608" s="215">
        <v>1001</v>
      </c>
      <c r="K1608" s="221"/>
      <c r="L1608" s="221"/>
    </row>
    <row r="1609" spans="1:17" x14ac:dyDescent="0.25">
      <c r="A1609" s="226" t="s">
        <v>18</v>
      </c>
      <c r="B1609" s="215"/>
      <c r="C1609" s="215">
        <f>C1608*1.3-50</f>
        <v>1251.3</v>
      </c>
      <c r="D1609" s="215">
        <f>D1608*1.3-50</f>
        <v>1251.3</v>
      </c>
      <c r="E1609" s="215">
        <f>E1608*1.2-50</f>
        <v>1151.2</v>
      </c>
      <c r="F1609" s="215">
        <f>F1608*1.2-50</f>
        <v>1151.2</v>
      </c>
      <c r="G1609" s="215">
        <f>G1608*1.2-50</f>
        <v>1151.2</v>
      </c>
      <c r="H1609" s="215">
        <f>H1608*1.2</f>
        <v>1201.2</v>
      </c>
      <c r="I1609" s="215">
        <f>I1608*1.2</f>
        <v>1201.2</v>
      </c>
      <c r="J1609" s="215">
        <f>J1608*1.2</f>
        <v>1201.2</v>
      </c>
      <c r="K1609" s="221"/>
      <c r="L1609" s="221"/>
    </row>
    <row r="1610" spans="1:17" x14ac:dyDescent="0.25">
      <c r="A1610" s="263" t="s">
        <v>19</v>
      </c>
      <c r="B1610" s="372"/>
      <c r="C1610" s="430" t="s">
        <v>473</v>
      </c>
      <c r="D1610" s="430" t="s">
        <v>473</v>
      </c>
      <c r="E1610" s="430" t="s">
        <v>474</v>
      </c>
      <c r="F1610" s="430" t="s">
        <v>474</v>
      </c>
      <c r="G1610" s="430" t="s">
        <v>474</v>
      </c>
      <c r="H1610" s="430" t="s">
        <v>677</v>
      </c>
      <c r="I1610" s="430" t="s">
        <v>677</v>
      </c>
      <c r="J1610" s="430" t="s">
        <v>677</v>
      </c>
      <c r="K1610" s="221"/>
      <c r="L1610" s="221"/>
    </row>
    <row r="1611" spans="1:17" x14ac:dyDescent="0.25">
      <c r="A1611" s="263" t="s">
        <v>20</v>
      </c>
      <c r="B1611" s="215"/>
      <c r="C1611" s="215">
        <v>124.4</v>
      </c>
      <c r="D1611" s="215">
        <v>159</v>
      </c>
      <c r="E1611" s="215">
        <v>188.7</v>
      </c>
      <c r="F1611" s="215">
        <v>288.56359999999995</v>
      </c>
      <c r="G1611" s="215">
        <v>149.46553</v>
      </c>
      <c r="H1611" s="226">
        <v>228.99</v>
      </c>
      <c r="I1611" s="226">
        <v>160.58000000000001</v>
      </c>
      <c r="J1611" s="226"/>
      <c r="K1611" s="221"/>
      <c r="L1611" s="221"/>
    </row>
    <row r="1612" spans="1:17" x14ac:dyDescent="0.25">
      <c r="A1612" s="263" t="s">
        <v>21</v>
      </c>
      <c r="B1612" s="215"/>
      <c r="C1612" s="215">
        <f t="shared" ref="C1612:I1612" si="46">C1609-C1611</f>
        <v>1126.8999999999999</v>
      </c>
      <c r="D1612" s="215">
        <f t="shared" si="46"/>
        <v>1092.3</v>
      </c>
      <c r="E1612" s="215">
        <f t="shared" si="46"/>
        <v>962.5</v>
      </c>
      <c r="F1612" s="215">
        <f t="shared" si="46"/>
        <v>862.63640000000009</v>
      </c>
      <c r="G1612" s="215">
        <f t="shared" si="46"/>
        <v>1001.7344700000001</v>
      </c>
      <c r="H1612" s="215">
        <f t="shared" si="46"/>
        <v>972.21</v>
      </c>
      <c r="I1612" s="215">
        <f t="shared" si="46"/>
        <v>1040.6200000000001</v>
      </c>
      <c r="J1612" s="215"/>
      <c r="K1612" s="221"/>
      <c r="L1612" s="221"/>
    </row>
    <row r="1613" spans="1:17" x14ac:dyDescent="0.25">
      <c r="A1613" s="218" t="s">
        <v>22</v>
      </c>
      <c r="B1613" s="227"/>
      <c r="C1613" s="244">
        <v>2018</v>
      </c>
      <c r="D1613" s="244">
        <v>2019</v>
      </c>
      <c r="E1613" s="244">
        <v>2020</v>
      </c>
      <c r="F1613" s="244">
        <v>2021</v>
      </c>
      <c r="G1613" s="244">
        <v>2022</v>
      </c>
      <c r="H1613" s="244">
        <v>2023</v>
      </c>
      <c r="I1613" s="244">
        <v>2024</v>
      </c>
      <c r="J1613" s="244">
        <v>2025</v>
      </c>
      <c r="K1613" s="221"/>
      <c r="L1613" s="221"/>
    </row>
    <row r="1614" spans="1:17" x14ac:dyDescent="0.25">
      <c r="A1614" s="227" t="s">
        <v>23</v>
      </c>
      <c r="B1614" s="218"/>
      <c r="C1614" s="219"/>
      <c r="D1614" s="219"/>
      <c r="E1614" s="219"/>
      <c r="F1614" s="219"/>
      <c r="G1614" s="219"/>
      <c r="H1614" s="217"/>
      <c r="I1614" s="217"/>
      <c r="J1614" s="217"/>
      <c r="K1614" s="221"/>
      <c r="L1614" s="221"/>
    </row>
    <row r="1615" spans="1:17" x14ac:dyDescent="0.25">
      <c r="A1615" s="432" t="s">
        <v>461</v>
      </c>
      <c r="B1615" s="433"/>
      <c r="C1615" s="433"/>
      <c r="D1615" s="433"/>
      <c r="E1615" s="433"/>
      <c r="F1615" s="258"/>
      <c r="G1615" s="258"/>
      <c r="H1615" s="219"/>
      <c r="I1615" s="219"/>
      <c r="J1615" s="217"/>
      <c r="K1615" s="221"/>
      <c r="L1615" s="221"/>
    </row>
    <row r="1616" spans="1:17" x14ac:dyDescent="0.25">
      <c r="A1616" s="220" t="s">
        <v>460</v>
      </c>
      <c r="B1616" s="221"/>
      <c r="C1616" s="221"/>
      <c r="D1616" s="221"/>
      <c r="E1616" s="221"/>
      <c r="F1616" s="221"/>
      <c r="G1616" s="221"/>
      <c r="H1616" s="221"/>
      <c r="I1616" s="221"/>
      <c r="J1616" s="21"/>
    </row>
    <row r="1617" spans="1:10" x14ac:dyDescent="0.25">
      <c r="A1617" s="211" t="s">
        <v>475</v>
      </c>
      <c r="B1617" s="223"/>
      <c r="C1617" s="223"/>
      <c r="D1617" s="223"/>
      <c r="E1617" s="223"/>
      <c r="F1617" s="223"/>
      <c r="G1617" s="223"/>
      <c r="H1617" s="223"/>
      <c r="I1617" s="223"/>
      <c r="J1617" s="34"/>
    </row>
    <row r="1618" spans="1:10" x14ac:dyDescent="0.25">
      <c r="A1618" s="221"/>
      <c r="B1618" s="221"/>
      <c r="C1618" s="221"/>
      <c r="D1618" s="221"/>
      <c r="E1618" s="221"/>
      <c r="F1618" s="221"/>
      <c r="G1618" s="221"/>
      <c r="H1618" s="221"/>
      <c r="I1618" s="221"/>
    </row>
    <row r="1620" spans="1:10" x14ac:dyDescent="0.25">
      <c r="A1620" s="114" t="s">
        <v>12</v>
      </c>
      <c r="B1620" s="548" t="s">
        <v>13</v>
      </c>
    </row>
    <row r="1621" spans="1:10" x14ac:dyDescent="0.25">
      <c r="A1621" s="91" t="s">
        <v>14</v>
      </c>
      <c r="B1621" s="55" t="s">
        <v>655</v>
      </c>
      <c r="C1621" s="40" t="s">
        <v>15</v>
      </c>
    </row>
    <row r="1622" spans="1:10" x14ac:dyDescent="0.25">
      <c r="A1622" s="46" t="s">
        <v>16</v>
      </c>
      <c r="B1622" s="22"/>
      <c r="C1622" s="188">
        <v>2016</v>
      </c>
      <c r="D1622" s="189">
        <v>2017</v>
      </c>
      <c r="E1622" s="188">
        <v>2018</v>
      </c>
      <c r="F1622" s="190">
        <v>2019</v>
      </c>
      <c r="G1622" s="190">
        <v>2020</v>
      </c>
      <c r="H1622" s="190">
        <v>2021</v>
      </c>
      <c r="I1622" s="190">
        <v>2022</v>
      </c>
    </row>
    <row r="1623" spans="1:10" x14ac:dyDescent="0.25">
      <c r="A1623" s="46" t="s">
        <v>17</v>
      </c>
      <c r="B1623" s="22"/>
      <c r="C1623" s="23">
        <v>47.4</v>
      </c>
      <c r="D1623" s="92">
        <v>56.91</v>
      </c>
      <c r="E1623" s="23">
        <v>66</v>
      </c>
      <c r="F1623" s="93">
        <v>73</v>
      </c>
      <c r="G1623" s="93">
        <v>80</v>
      </c>
      <c r="H1623" s="93">
        <v>80</v>
      </c>
      <c r="I1623" s="93">
        <v>80</v>
      </c>
    </row>
    <row r="1624" spans="1:10" x14ac:dyDescent="0.25">
      <c r="A1624" s="46" t="s">
        <v>18</v>
      </c>
      <c r="B1624" s="22"/>
      <c r="C1624" s="23">
        <v>47.4</v>
      </c>
      <c r="D1624" s="92">
        <v>56.91</v>
      </c>
      <c r="E1624" s="23">
        <v>66</v>
      </c>
      <c r="F1624" s="93">
        <v>73</v>
      </c>
      <c r="G1624" s="93">
        <v>80</v>
      </c>
      <c r="H1624" s="93">
        <v>0.8</v>
      </c>
      <c r="I1624" s="93">
        <v>80</v>
      </c>
    </row>
    <row r="1625" spans="1:10" x14ac:dyDescent="0.25">
      <c r="A1625" s="46" t="s">
        <v>19</v>
      </c>
      <c r="B1625" s="22"/>
      <c r="C1625" s="23"/>
      <c r="D1625" s="92"/>
      <c r="E1625" s="23"/>
      <c r="F1625" s="93"/>
      <c r="G1625" s="93"/>
      <c r="H1625" s="191" t="s">
        <v>539</v>
      </c>
      <c r="I1625" s="191" t="s">
        <v>539</v>
      </c>
    </row>
    <row r="1626" spans="1:10" x14ac:dyDescent="0.25">
      <c r="A1626" s="46" t="s">
        <v>20</v>
      </c>
      <c r="B1626" s="22"/>
      <c r="C1626" s="23">
        <v>47.393000000000001</v>
      </c>
      <c r="D1626" s="92">
        <v>56.905999999999999</v>
      </c>
      <c r="E1626" s="23">
        <v>66</v>
      </c>
      <c r="F1626" s="93">
        <v>71.97</v>
      </c>
      <c r="G1626" s="93">
        <v>79.2</v>
      </c>
      <c r="H1626" s="93"/>
      <c r="I1626" s="93">
        <v>79.2</v>
      </c>
    </row>
    <row r="1627" spans="1:10" x14ac:dyDescent="0.25">
      <c r="A1627" s="46" t="s">
        <v>21</v>
      </c>
      <c r="B1627" s="22"/>
      <c r="C1627" s="23">
        <f>C1624-C1626</f>
        <v>6.9999999999978968E-3</v>
      </c>
      <c r="D1627" s="23">
        <f>D1624-D1626</f>
        <v>3.9999999999977831E-3</v>
      </c>
      <c r="E1627" s="23">
        <f>E1624-E1626</f>
        <v>0</v>
      </c>
      <c r="F1627" s="23">
        <f>F1624-F1626</f>
        <v>1.0300000000000011</v>
      </c>
      <c r="G1627" s="93">
        <f>G1624-G1626</f>
        <v>0.79999999999999716</v>
      </c>
      <c r="H1627" s="93"/>
      <c r="I1627" s="93">
        <v>0.79999999999999716</v>
      </c>
    </row>
    <row r="1628" spans="1:10" x14ac:dyDescent="0.25">
      <c r="A1628" s="49" t="s">
        <v>22</v>
      </c>
      <c r="B1628" s="36"/>
      <c r="C1628" s="36"/>
      <c r="D1628" s="30"/>
      <c r="E1628" s="36"/>
      <c r="F1628" s="31"/>
      <c r="G1628" s="36"/>
      <c r="H1628" s="36"/>
      <c r="I1628" s="36"/>
    </row>
    <row r="1629" spans="1:10" x14ac:dyDescent="0.25">
      <c r="A1629" s="49" t="s">
        <v>23</v>
      </c>
      <c r="B1629" s="30"/>
      <c r="C1629" s="30"/>
      <c r="D1629" s="30"/>
      <c r="E1629" s="30"/>
      <c r="F1629" s="30"/>
      <c r="G1629" s="30"/>
      <c r="H1629" s="30"/>
      <c r="I1629" s="31"/>
    </row>
    <row r="1630" spans="1:10" x14ac:dyDescent="0.25">
      <c r="A1630" s="46" t="s">
        <v>538</v>
      </c>
      <c r="B1630" s="58"/>
      <c r="C1630" s="58"/>
      <c r="D1630" s="58"/>
      <c r="E1630" s="58"/>
      <c r="F1630" s="58"/>
      <c r="G1630" s="58"/>
      <c r="H1630" s="58"/>
      <c r="I1630" s="56"/>
    </row>
    <row r="1633" spans="1:11" x14ac:dyDescent="0.25">
      <c r="A1633" s="114" t="s">
        <v>12</v>
      </c>
      <c r="B1633" s="548" t="s">
        <v>172</v>
      </c>
    </row>
    <row r="1634" spans="1:11" x14ac:dyDescent="0.25">
      <c r="A1634" s="91" t="s">
        <v>14</v>
      </c>
      <c r="B1634" s="192" t="s">
        <v>636</v>
      </c>
      <c r="C1634" s="193" t="s">
        <v>15</v>
      </c>
    </row>
    <row r="1635" spans="1:11" x14ac:dyDescent="0.25">
      <c r="A1635" s="46" t="s">
        <v>16</v>
      </c>
      <c r="B1635" s="22"/>
      <c r="C1635" s="22"/>
      <c r="D1635" s="22"/>
      <c r="E1635" s="22"/>
      <c r="F1635" s="51">
        <v>2018</v>
      </c>
      <c r="G1635" s="51">
        <v>2019</v>
      </c>
      <c r="H1635" s="51">
        <v>2020</v>
      </c>
      <c r="I1635" s="51">
        <v>2021</v>
      </c>
      <c r="J1635" s="51">
        <v>2022</v>
      </c>
      <c r="K1635" s="51">
        <v>2023</v>
      </c>
    </row>
    <row r="1636" spans="1:11" x14ac:dyDescent="0.25">
      <c r="A1636" s="46" t="s">
        <v>17</v>
      </c>
      <c r="B1636" s="22"/>
      <c r="C1636" s="23"/>
      <c r="D1636" s="23"/>
      <c r="E1636" s="23"/>
      <c r="F1636" s="23">
        <v>125</v>
      </c>
      <c r="G1636" s="23">
        <v>125</v>
      </c>
      <c r="H1636" s="23">
        <v>125</v>
      </c>
      <c r="I1636" s="23">
        <v>125</v>
      </c>
      <c r="J1636" s="23">
        <v>125</v>
      </c>
      <c r="K1636" s="23">
        <v>125</v>
      </c>
    </row>
    <row r="1637" spans="1:11" x14ac:dyDescent="0.25">
      <c r="A1637" s="46" t="s">
        <v>18</v>
      </c>
      <c r="B1637" s="22"/>
      <c r="C1637" s="23"/>
      <c r="D1637" s="23"/>
      <c r="E1637" s="23"/>
      <c r="F1637" s="23">
        <v>100</v>
      </c>
      <c r="G1637" s="23">
        <v>100</v>
      </c>
      <c r="H1637" s="23">
        <f>H1636*1.4-100</f>
        <v>75</v>
      </c>
      <c r="I1637" s="23">
        <v>75</v>
      </c>
      <c r="J1637" s="23">
        <v>75</v>
      </c>
      <c r="K1637" s="23">
        <v>75</v>
      </c>
    </row>
    <row r="1638" spans="1:11" x14ac:dyDescent="0.25">
      <c r="A1638" s="46" t="s">
        <v>19</v>
      </c>
      <c r="B1638" s="22"/>
      <c r="C1638" s="23"/>
      <c r="D1638" s="23"/>
      <c r="E1638" s="23"/>
      <c r="F1638" s="23">
        <f>F1636*1.4-(75)</f>
        <v>100</v>
      </c>
      <c r="G1638" s="23">
        <f>G1636*1.4-(75)</f>
        <v>100</v>
      </c>
      <c r="H1638" s="23">
        <v>75</v>
      </c>
      <c r="I1638" s="23">
        <v>75</v>
      </c>
      <c r="J1638" s="23">
        <v>75</v>
      </c>
      <c r="K1638" s="23">
        <v>75</v>
      </c>
    </row>
    <row r="1639" spans="1:11" x14ac:dyDescent="0.25">
      <c r="A1639" s="46" t="s">
        <v>20</v>
      </c>
      <c r="B1639" s="22"/>
      <c r="C1639" s="23"/>
      <c r="D1639" s="23"/>
      <c r="E1639" s="23"/>
      <c r="F1639" s="23">
        <v>3</v>
      </c>
      <c r="G1639" s="23">
        <v>5.91</v>
      </c>
      <c r="H1639" s="23">
        <v>7.76</v>
      </c>
      <c r="I1639" s="23">
        <v>6.2</v>
      </c>
      <c r="J1639" s="23">
        <v>6.06</v>
      </c>
      <c r="K1639" s="23"/>
    </row>
    <row r="1640" spans="1:11" x14ac:dyDescent="0.25">
      <c r="A1640" s="46" t="s">
        <v>21</v>
      </c>
      <c r="B1640" s="22"/>
      <c r="C1640" s="23"/>
      <c r="D1640" s="23"/>
      <c r="E1640" s="23"/>
      <c r="F1640" s="23">
        <f>F1637-F1639</f>
        <v>97</v>
      </c>
      <c r="G1640" s="23">
        <f>G1637-G1639</f>
        <v>94.09</v>
      </c>
      <c r="H1640" s="23">
        <v>67.239999999999995</v>
      </c>
      <c r="I1640" s="23">
        <f>I1637-I1639</f>
        <v>68.8</v>
      </c>
      <c r="J1640" s="23">
        <f>J1637-J1639</f>
        <v>68.94</v>
      </c>
      <c r="K1640" s="23"/>
    </row>
    <row r="1641" spans="1:11" x14ac:dyDescent="0.25">
      <c r="A1641" s="49" t="s">
        <v>22</v>
      </c>
      <c r="B1641" s="36"/>
      <c r="C1641" s="36"/>
      <c r="D1641" s="36"/>
      <c r="E1641" s="36"/>
      <c r="F1641" s="57">
        <v>2019</v>
      </c>
      <c r="G1641" s="57">
        <v>2020</v>
      </c>
      <c r="H1641" s="57">
        <v>2021</v>
      </c>
      <c r="I1641" s="57">
        <v>2022</v>
      </c>
      <c r="J1641" s="57">
        <v>2023</v>
      </c>
      <c r="K1641" s="57">
        <v>2024</v>
      </c>
    </row>
    <row r="1642" spans="1:11" ht="25.95" customHeight="1" x14ac:dyDescent="0.25">
      <c r="A1642" s="75" t="s">
        <v>679</v>
      </c>
      <c r="B1642" s="109"/>
      <c r="C1642" s="109"/>
      <c r="D1642" s="109"/>
      <c r="E1642" s="109"/>
      <c r="F1642" s="109"/>
      <c r="G1642" s="109"/>
      <c r="H1642" s="109"/>
      <c r="I1642" s="109"/>
      <c r="J1642" s="30"/>
      <c r="K1642" s="31"/>
    </row>
    <row r="1643" spans="1:11" ht="34.200000000000003" customHeight="1" x14ac:dyDescent="0.25">
      <c r="A1643" s="76" t="s">
        <v>260</v>
      </c>
      <c r="B1643" s="66"/>
      <c r="C1643" s="66"/>
      <c r="D1643" s="66"/>
      <c r="E1643" s="66"/>
      <c r="F1643" s="66"/>
      <c r="G1643" s="66"/>
      <c r="H1643" s="66"/>
      <c r="I1643" s="66"/>
      <c r="K1643" s="21"/>
    </row>
    <row r="1644" spans="1:11" ht="27.6" customHeight="1" x14ac:dyDescent="0.25">
      <c r="A1644" s="76" t="s">
        <v>528</v>
      </c>
      <c r="B1644" s="66"/>
      <c r="C1644" s="66"/>
      <c r="D1644" s="66"/>
      <c r="E1644" s="66"/>
      <c r="F1644" s="66"/>
      <c r="G1644" s="66"/>
      <c r="H1644" s="66"/>
      <c r="I1644" s="66"/>
      <c r="K1644" s="21"/>
    </row>
    <row r="1645" spans="1:11" ht="27.6" customHeight="1" x14ac:dyDescent="0.25">
      <c r="A1645" s="76" t="s">
        <v>529</v>
      </c>
      <c r="B1645" s="66"/>
      <c r="C1645" s="66"/>
      <c r="D1645" s="66"/>
      <c r="E1645" s="66"/>
      <c r="F1645" s="66"/>
      <c r="G1645" s="66"/>
      <c r="H1645" s="66"/>
      <c r="I1645" s="66"/>
      <c r="K1645" s="21"/>
    </row>
    <row r="1646" spans="1:11" ht="27.6" customHeight="1" x14ac:dyDescent="0.25">
      <c r="A1646" s="76" t="s">
        <v>678</v>
      </c>
      <c r="K1646" s="21"/>
    </row>
    <row r="1647" spans="1:11" ht="30" customHeight="1" x14ac:dyDescent="0.25">
      <c r="A1647" s="59" t="s">
        <v>890</v>
      </c>
      <c r="B1647" s="33"/>
      <c r="C1647" s="33"/>
      <c r="D1647" s="33"/>
      <c r="E1647" s="33"/>
      <c r="F1647" s="33"/>
      <c r="G1647" s="33"/>
      <c r="H1647" s="33"/>
      <c r="I1647" s="33"/>
      <c r="J1647" s="33"/>
      <c r="K1647" s="34"/>
    </row>
    <row r="1649" spans="1:11" x14ac:dyDescent="0.25">
      <c r="A1649" s="260" t="s">
        <v>14</v>
      </c>
      <c r="B1649" s="434" t="s">
        <v>74</v>
      </c>
      <c r="C1649" s="274" t="s">
        <v>15</v>
      </c>
      <c r="D1649" s="221"/>
      <c r="E1649" s="221"/>
      <c r="F1649" s="221"/>
      <c r="G1649" s="221"/>
      <c r="H1649" s="221"/>
      <c r="I1649" s="221"/>
      <c r="J1649" s="221"/>
      <c r="K1649" s="221"/>
    </row>
    <row r="1650" spans="1:11" x14ac:dyDescent="0.25">
      <c r="A1650" s="211" t="s">
        <v>16</v>
      </c>
      <c r="B1650" s="446"/>
      <c r="C1650" s="212">
        <v>2015</v>
      </c>
      <c r="D1650" s="212">
        <v>2016</v>
      </c>
      <c r="E1650" s="212">
        <v>2017</v>
      </c>
      <c r="F1650" s="212">
        <v>2018</v>
      </c>
      <c r="G1650" s="212">
        <v>2019</v>
      </c>
      <c r="H1650" s="212">
        <v>2020</v>
      </c>
      <c r="I1650" s="212">
        <v>2021</v>
      </c>
      <c r="J1650" s="212">
        <v>2022</v>
      </c>
      <c r="K1650" s="212">
        <v>2023</v>
      </c>
    </row>
    <row r="1651" spans="1:11" x14ac:dyDescent="0.25">
      <c r="A1651" s="263" t="s">
        <v>17</v>
      </c>
      <c r="B1651" s="343"/>
      <c r="C1651" s="343">
        <v>20</v>
      </c>
      <c r="D1651" s="343">
        <v>20</v>
      </c>
      <c r="E1651" s="343">
        <v>20</v>
      </c>
      <c r="F1651" s="343">
        <v>20</v>
      </c>
      <c r="G1651" s="343">
        <v>20</v>
      </c>
      <c r="H1651" s="351">
        <v>16.8</v>
      </c>
      <c r="I1651" s="226">
        <v>16.8</v>
      </c>
      <c r="J1651" s="226">
        <v>16.8</v>
      </c>
      <c r="K1651" s="226">
        <v>16.8</v>
      </c>
    </row>
    <row r="1652" spans="1:11" x14ac:dyDescent="0.25">
      <c r="A1652" s="263" t="s">
        <v>18</v>
      </c>
      <c r="B1652" s="343"/>
      <c r="C1652" s="343"/>
      <c r="D1652" s="343">
        <v>-64.900000000000006</v>
      </c>
      <c r="E1652" s="343">
        <v>-63.600000000000009</v>
      </c>
      <c r="F1652" s="343">
        <v>-43.600000000000009</v>
      </c>
      <c r="G1652" s="343">
        <v>-23.600000000000009</v>
      </c>
      <c r="H1652" s="343">
        <f>G1655+H1651+2</f>
        <v>-4.8000000000000078</v>
      </c>
      <c r="I1652" s="215">
        <f>I1651+H1655+2</f>
        <v>13.999999999999993</v>
      </c>
      <c r="J1652" s="215">
        <f>J1651+2</f>
        <v>18.8</v>
      </c>
      <c r="K1652" s="215">
        <f>K1651+2</f>
        <v>18.8</v>
      </c>
    </row>
    <row r="1653" spans="1:11" x14ac:dyDescent="0.25">
      <c r="A1653" s="263" t="s">
        <v>19</v>
      </c>
      <c r="B1653" s="345"/>
      <c r="C1653" s="345"/>
      <c r="D1653" s="346">
        <v>1</v>
      </c>
      <c r="E1653" s="346">
        <v>2</v>
      </c>
      <c r="F1653" s="346">
        <v>3</v>
      </c>
      <c r="G1653" s="346">
        <v>4</v>
      </c>
      <c r="H1653" s="346">
        <v>5</v>
      </c>
      <c r="I1653" s="287">
        <v>6</v>
      </c>
      <c r="J1653" s="287">
        <v>7</v>
      </c>
      <c r="K1653" s="287">
        <v>8</v>
      </c>
    </row>
    <row r="1654" spans="1:11" x14ac:dyDescent="0.25">
      <c r="A1654" s="263" t="s">
        <v>20</v>
      </c>
      <c r="B1654" s="215"/>
      <c r="C1654" s="215">
        <v>34.9</v>
      </c>
      <c r="D1654" s="215">
        <v>18.7</v>
      </c>
      <c r="E1654" s="215">
        <v>0</v>
      </c>
      <c r="F1654" s="215">
        <v>0</v>
      </c>
      <c r="G1654" s="215">
        <v>0</v>
      </c>
      <c r="H1654" s="215">
        <v>0</v>
      </c>
      <c r="I1654" s="226">
        <v>0.6</v>
      </c>
      <c r="J1654" s="226">
        <v>0</v>
      </c>
      <c r="K1654" s="226"/>
    </row>
    <row r="1655" spans="1:11" x14ac:dyDescent="0.25">
      <c r="A1655" s="263" t="s">
        <v>21</v>
      </c>
      <c r="B1655" s="215"/>
      <c r="C1655" s="215">
        <v>-84.9</v>
      </c>
      <c r="D1655" s="215">
        <v>-83.600000000000009</v>
      </c>
      <c r="E1655" s="215">
        <v>-63.600000000000009</v>
      </c>
      <c r="F1655" s="215">
        <v>-43.600000000000009</v>
      </c>
      <c r="G1655" s="215">
        <f>G1652-G1654</f>
        <v>-23.600000000000009</v>
      </c>
      <c r="H1655" s="215">
        <f>H1652-H1654</f>
        <v>-4.8000000000000078</v>
      </c>
      <c r="I1655" s="215">
        <f>I1652-I1654</f>
        <v>13.399999999999993</v>
      </c>
      <c r="J1655" s="215">
        <f>J1652-J1654</f>
        <v>18.8</v>
      </c>
      <c r="K1655" s="226"/>
    </row>
    <row r="1656" spans="1:11" x14ac:dyDescent="0.25">
      <c r="A1656" s="218" t="s">
        <v>22</v>
      </c>
      <c r="B1656" s="447"/>
      <c r="C1656" s="244">
        <v>2016</v>
      </c>
      <c r="D1656" s="244">
        <v>2017</v>
      </c>
      <c r="E1656" s="244">
        <v>2018</v>
      </c>
      <c r="F1656" s="244">
        <v>2019</v>
      </c>
      <c r="G1656" s="244">
        <v>2020</v>
      </c>
      <c r="H1656" s="244">
        <v>2021</v>
      </c>
      <c r="I1656" s="244"/>
      <c r="J1656" s="244"/>
      <c r="K1656" s="244"/>
    </row>
    <row r="1657" spans="1:11" x14ac:dyDescent="0.25">
      <c r="A1657" s="218" t="s">
        <v>530</v>
      </c>
      <c r="B1657" s="448"/>
      <c r="C1657" s="448"/>
      <c r="D1657" s="448"/>
      <c r="E1657" s="448"/>
      <c r="F1657" s="449"/>
      <c r="G1657" s="449"/>
      <c r="H1657" s="449"/>
      <c r="I1657" s="219"/>
      <c r="J1657" s="219"/>
      <c r="K1657" s="217"/>
    </row>
    <row r="1658" spans="1:11" x14ac:dyDescent="0.25">
      <c r="A1658" s="220" t="s">
        <v>531</v>
      </c>
      <c r="B1658" s="360"/>
      <c r="C1658" s="360"/>
      <c r="D1658" s="360"/>
      <c r="E1658" s="360"/>
      <c r="F1658" s="532"/>
      <c r="G1658" s="532"/>
      <c r="H1658" s="532"/>
      <c r="I1658" s="221"/>
      <c r="J1658" s="221"/>
      <c r="K1658" s="222"/>
    </row>
    <row r="1659" spans="1:11" x14ac:dyDescent="0.25">
      <c r="A1659" s="220" t="s">
        <v>532</v>
      </c>
      <c r="B1659" s="360"/>
      <c r="C1659" s="360"/>
      <c r="D1659" s="360"/>
      <c r="E1659" s="360"/>
      <c r="F1659" s="532"/>
      <c r="G1659" s="532"/>
      <c r="H1659" s="532"/>
      <c r="I1659" s="221"/>
      <c r="J1659" s="221"/>
      <c r="K1659" s="222"/>
    </row>
    <row r="1660" spans="1:11" x14ac:dyDescent="0.25">
      <c r="A1660" s="220" t="s">
        <v>533</v>
      </c>
      <c r="B1660" s="360"/>
      <c r="C1660" s="360"/>
      <c r="D1660" s="360"/>
      <c r="E1660" s="360"/>
      <c r="F1660" s="532"/>
      <c r="G1660" s="532"/>
      <c r="H1660" s="532"/>
      <c r="I1660" s="221"/>
      <c r="J1660" s="221"/>
      <c r="K1660" s="222"/>
    </row>
    <row r="1661" spans="1:11" x14ac:dyDescent="0.25">
      <c r="A1661" s="220" t="s">
        <v>534</v>
      </c>
      <c r="B1661" s="360"/>
      <c r="C1661" s="360"/>
      <c r="D1661" s="360"/>
      <c r="E1661" s="360"/>
      <c r="F1661" s="532"/>
      <c r="G1661" s="532"/>
      <c r="H1661" s="532"/>
      <c r="I1661" s="221"/>
      <c r="J1661" s="221"/>
      <c r="K1661" s="222"/>
    </row>
    <row r="1662" spans="1:11" x14ac:dyDescent="0.25">
      <c r="A1662" s="220" t="s">
        <v>681</v>
      </c>
      <c r="B1662" s="360"/>
      <c r="C1662" s="360"/>
      <c r="D1662" s="360"/>
      <c r="E1662" s="360"/>
      <c r="F1662" s="532"/>
      <c r="G1662" s="532"/>
      <c r="H1662" s="532"/>
      <c r="I1662" s="221"/>
      <c r="J1662" s="221"/>
      <c r="K1662" s="222"/>
    </row>
    <row r="1663" spans="1:11" x14ac:dyDescent="0.25">
      <c r="A1663" s="220" t="s">
        <v>680</v>
      </c>
      <c r="B1663" s="360"/>
      <c r="C1663" s="360"/>
      <c r="D1663" s="360"/>
      <c r="E1663" s="360"/>
      <c r="F1663" s="532"/>
      <c r="G1663" s="532"/>
      <c r="H1663" s="532"/>
      <c r="I1663" s="221"/>
      <c r="J1663" s="221"/>
      <c r="K1663" s="222"/>
    </row>
    <row r="1664" spans="1:11" x14ac:dyDescent="0.25">
      <c r="A1664" s="211" t="s">
        <v>891</v>
      </c>
      <c r="B1664" s="450"/>
      <c r="C1664" s="450"/>
      <c r="D1664" s="450"/>
      <c r="E1664" s="450"/>
      <c r="F1664" s="451"/>
      <c r="G1664" s="451"/>
      <c r="H1664" s="451"/>
      <c r="I1664" s="223"/>
      <c r="J1664" s="223"/>
      <c r="K1664" s="224"/>
    </row>
    <row r="1665" spans="1:11" x14ac:dyDescent="0.25">
      <c r="A1665" s="221"/>
      <c r="B1665" s="221"/>
      <c r="C1665" s="221"/>
      <c r="D1665" s="221"/>
      <c r="E1665" s="221"/>
      <c r="F1665" s="221"/>
      <c r="G1665" s="221"/>
      <c r="H1665" s="221"/>
      <c r="I1665" s="221"/>
      <c r="J1665" s="221"/>
      <c r="K1665" s="221"/>
    </row>
    <row r="1666" spans="1:11" x14ac:dyDescent="0.25">
      <c r="A1666" s="260" t="s">
        <v>14</v>
      </c>
      <c r="B1666" s="434" t="s">
        <v>79</v>
      </c>
      <c r="C1666" s="274" t="s">
        <v>15</v>
      </c>
      <c r="D1666" s="221"/>
      <c r="E1666" s="221"/>
      <c r="F1666" s="221"/>
      <c r="G1666" s="221"/>
      <c r="H1666" s="221"/>
      <c r="I1666" s="221"/>
      <c r="J1666" s="221"/>
      <c r="K1666" s="221"/>
    </row>
    <row r="1667" spans="1:11" x14ac:dyDescent="0.25">
      <c r="A1667" s="211" t="s">
        <v>16</v>
      </c>
      <c r="B1667" s="446"/>
      <c r="C1667" s="262">
        <v>2015</v>
      </c>
      <c r="D1667" s="262">
        <v>2016</v>
      </c>
      <c r="E1667" s="262">
        <v>2017</v>
      </c>
      <c r="F1667" s="262">
        <v>2018</v>
      </c>
      <c r="G1667" s="262">
        <v>2019</v>
      </c>
      <c r="H1667" s="262">
        <v>2020</v>
      </c>
      <c r="I1667" s="212">
        <v>2021</v>
      </c>
      <c r="J1667" s="212">
        <v>2022</v>
      </c>
      <c r="K1667" s="221"/>
    </row>
    <row r="1668" spans="1:11" x14ac:dyDescent="0.25">
      <c r="A1668" s="263" t="s">
        <v>17</v>
      </c>
      <c r="B1668" s="343"/>
      <c r="C1668" s="343">
        <v>15</v>
      </c>
      <c r="D1668" s="343">
        <v>15</v>
      </c>
      <c r="E1668" s="343">
        <v>15</v>
      </c>
      <c r="F1668" s="343">
        <v>15</v>
      </c>
      <c r="G1668" s="343">
        <v>15</v>
      </c>
      <c r="H1668" s="351">
        <v>15</v>
      </c>
      <c r="I1668" s="215">
        <v>15</v>
      </c>
      <c r="J1668" s="215">
        <v>15</v>
      </c>
      <c r="K1668" s="221"/>
    </row>
    <row r="1669" spans="1:11" x14ac:dyDescent="0.25">
      <c r="A1669" s="263" t="s">
        <v>18</v>
      </c>
      <c r="B1669" s="343"/>
      <c r="C1669" s="343"/>
      <c r="D1669" s="343">
        <v>-59.3</v>
      </c>
      <c r="E1669" s="343">
        <v>-64.199999999999989</v>
      </c>
      <c r="F1669" s="343">
        <v>-49.199999999999989</v>
      </c>
      <c r="G1669" s="343">
        <v>-34.199999999999989</v>
      </c>
      <c r="H1669" s="343">
        <f>G1672+H1668</f>
        <v>-19.199999999999989</v>
      </c>
      <c r="I1669" s="215">
        <f>I1668+H1672</f>
        <v>-4.1999999999999886</v>
      </c>
      <c r="J1669" s="215">
        <f>J1668+I1672</f>
        <v>10.440000000000012</v>
      </c>
      <c r="K1669" s="221"/>
    </row>
    <row r="1670" spans="1:11" x14ac:dyDescent="0.25">
      <c r="A1670" s="263" t="s">
        <v>19</v>
      </c>
      <c r="B1670" s="345"/>
      <c r="C1670" s="345"/>
      <c r="D1670" s="346">
        <v>1</v>
      </c>
      <c r="E1670" s="346">
        <v>2</v>
      </c>
      <c r="F1670" s="346">
        <v>3</v>
      </c>
      <c r="G1670" s="346">
        <v>4</v>
      </c>
      <c r="H1670" s="346">
        <v>5</v>
      </c>
      <c r="I1670" s="287">
        <v>6</v>
      </c>
      <c r="J1670" s="287">
        <v>7</v>
      </c>
      <c r="K1670" s="221"/>
    </row>
    <row r="1671" spans="1:11" x14ac:dyDescent="0.25">
      <c r="A1671" s="263" t="s">
        <v>20</v>
      </c>
      <c r="B1671" s="215"/>
      <c r="C1671" s="215">
        <v>31.9</v>
      </c>
      <c r="D1671" s="215">
        <v>19.899999999999999</v>
      </c>
      <c r="E1671" s="215">
        <v>0</v>
      </c>
      <c r="F1671" s="215">
        <v>0</v>
      </c>
      <c r="G1671" s="215">
        <v>0</v>
      </c>
      <c r="H1671" s="215">
        <v>0</v>
      </c>
      <c r="I1671" s="215">
        <v>0.36</v>
      </c>
      <c r="J1671" s="215">
        <v>0</v>
      </c>
      <c r="K1671" s="221"/>
    </row>
    <row r="1672" spans="1:11" x14ac:dyDescent="0.25">
      <c r="A1672" s="263" t="s">
        <v>21</v>
      </c>
      <c r="B1672" s="215"/>
      <c r="C1672" s="215">
        <v>-74.3</v>
      </c>
      <c r="D1672" s="215">
        <v>-79.199999999999989</v>
      </c>
      <c r="E1672" s="215">
        <v>-64.199999999999989</v>
      </c>
      <c r="F1672" s="215">
        <v>-49.199999999999989</v>
      </c>
      <c r="G1672" s="215">
        <f>G1669-G1671</f>
        <v>-34.199999999999989</v>
      </c>
      <c r="H1672" s="215">
        <f>H1669-H1671</f>
        <v>-19.199999999999989</v>
      </c>
      <c r="I1672" s="215">
        <f>I1669-I1671</f>
        <v>-4.559999999999989</v>
      </c>
      <c r="J1672" s="215">
        <v>10.44</v>
      </c>
      <c r="K1672" s="221"/>
    </row>
    <row r="1673" spans="1:11" x14ac:dyDescent="0.25">
      <c r="A1673" s="218" t="s">
        <v>22</v>
      </c>
      <c r="B1673" s="447"/>
      <c r="C1673" s="244">
        <v>2016</v>
      </c>
      <c r="D1673" s="244">
        <v>2017</v>
      </c>
      <c r="E1673" s="244">
        <v>2018</v>
      </c>
      <c r="F1673" s="244">
        <v>2019</v>
      </c>
      <c r="G1673" s="244">
        <v>2020</v>
      </c>
      <c r="H1673" s="244">
        <v>2021</v>
      </c>
      <c r="I1673" s="244">
        <v>2022</v>
      </c>
      <c r="J1673" s="244"/>
      <c r="K1673" s="221"/>
    </row>
    <row r="1674" spans="1:11" x14ac:dyDescent="0.25">
      <c r="A1674" s="218" t="s">
        <v>530</v>
      </c>
      <c r="B1674" s="448"/>
      <c r="C1674" s="448"/>
      <c r="D1674" s="280"/>
      <c r="E1674" s="280"/>
      <c r="F1674" s="280"/>
      <c r="G1674" s="280"/>
      <c r="H1674" s="280"/>
      <c r="I1674" s="280"/>
      <c r="J1674" s="245"/>
      <c r="K1674" s="221"/>
    </row>
    <row r="1675" spans="1:11" x14ac:dyDescent="0.25">
      <c r="A1675" s="220" t="s">
        <v>531</v>
      </c>
      <c r="B1675" s="360"/>
      <c r="C1675" s="360"/>
      <c r="D1675" s="437"/>
      <c r="E1675" s="437"/>
      <c r="F1675" s="437"/>
      <c r="G1675" s="437"/>
      <c r="H1675" s="437"/>
      <c r="I1675" s="437"/>
      <c r="J1675" s="438"/>
      <c r="K1675" s="221"/>
    </row>
    <row r="1676" spans="1:11" x14ac:dyDescent="0.25">
      <c r="A1676" s="220" t="s">
        <v>532</v>
      </c>
      <c r="B1676" s="360"/>
      <c r="C1676" s="360"/>
      <c r="D1676" s="437"/>
      <c r="E1676" s="437"/>
      <c r="F1676" s="437"/>
      <c r="G1676" s="437"/>
      <c r="H1676" s="437"/>
      <c r="I1676" s="437"/>
      <c r="J1676" s="438"/>
      <c r="K1676" s="221"/>
    </row>
    <row r="1677" spans="1:11" x14ac:dyDescent="0.25">
      <c r="A1677" s="220" t="s">
        <v>533</v>
      </c>
      <c r="B1677" s="360"/>
      <c r="C1677" s="360"/>
      <c r="D1677" s="437"/>
      <c r="E1677" s="437"/>
      <c r="F1677" s="437"/>
      <c r="G1677" s="437"/>
      <c r="H1677" s="437"/>
      <c r="I1677" s="437"/>
      <c r="J1677" s="438"/>
      <c r="K1677" s="221"/>
    </row>
    <row r="1678" spans="1:11" x14ac:dyDescent="0.25">
      <c r="A1678" s="220" t="s">
        <v>535</v>
      </c>
      <c r="B1678" s="360"/>
      <c r="C1678" s="360"/>
      <c r="D1678" s="437"/>
      <c r="E1678" s="437"/>
      <c r="F1678" s="437"/>
      <c r="G1678" s="437"/>
      <c r="H1678" s="437"/>
      <c r="I1678" s="437"/>
      <c r="J1678" s="438"/>
      <c r="K1678" s="221"/>
    </row>
    <row r="1679" spans="1:11" x14ac:dyDescent="0.25">
      <c r="A1679" s="20" t="s">
        <v>536</v>
      </c>
      <c r="B1679" s="18"/>
      <c r="C1679" s="18"/>
      <c r="D1679" s="105"/>
      <c r="E1679" s="105"/>
      <c r="F1679" s="105"/>
      <c r="G1679" s="105"/>
      <c r="H1679" s="105"/>
      <c r="I1679" s="105"/>
      <c r="J1679" s="195"/>
    </row>
    <row r="1680" spans="1:11" x14ac:dyDescent="0.25">
      <c r="A1680" s="32" t="s">
        <v>682</v>
      </c>
      <c r="B1680" s="186"/>
      <c r="C1680" s="186"/>
      <c r="D1680" s="106"/>
      <c r="E1680" s="106"/>
      <c r="F1680" s="106"/>
      <c r="G1680" s="106"/>
      <c r="H1680" s="106"/>
      <c r="I1680" s="106"/>
      <c r="J1680" s="196"/>
    </row>
    <row r="1683" spans="1:10" x14ac:dyDescent="0.25">
      <c r="A1683" s="114" t="s">
        <v>11</v>
      </c>
      <c r="B1683" s="548" t="s">
        <v>38</v>
      </c>
    </row>
    <row r="1684" spans="1:10" x14ac:dyDescent="0.25">
      <c r="A1684" s="260" t="s">
        <v>1</v>
      </c>
      <c r="B1684" s="434" t="s">
        <v>655</v>
      </c>
      <c r="C1684" s="262" t="s">
        <v>2</v>
      </c>
      <c r="D1684" s="221"/>
      <c r="E1684" s="221"/>
      <c r="F1684" s="221"/>
      <c r="G1684" s="221"/>
      <c r="H1684" s="221"/>
      <c r="I1684" s="221"/>
      <c r="J1684" s="221"/>
    </row>
    <row r="1685" spans="1:10" x14ac:dyDescent="0.25">
      <c r="A1685" s="226" t="s">
        <v>3</v>
      </c>
      <c r="B1685" s="452">
        <v>2016</v>
      </c>
      <c r="C1685" s="453">
        <v>2017</v>
      </c>
      <c r="D1685" s="453">
        <v>2018</v>
      </c>
      <c r="E1685" s="453">
        <v>2019</v>
      </c>
      <c r="F1685" s="212">
        <v>2020</v>
      </c>
      <c r="G1685" s="212">
        <v>2021</v>
      </c>
      <c r="H1685" s="212">
        <v>2022</v>
      </c>
      <c r="I1685" s="212">
        <v>2023</v>
      </c>
      <c r="J1685" s="221"/>
    </row>
    <row r="1686" spans="1:10" x14ac:dyDescent="0.25">
      <c r="A1686" s="263" t="s">
        <v>4</v>
      </c>
      <c r="B1686" s="454">
        <v>1491.71</v>
      </c>
      <c r="C1686" s="454">
        <v>1791</v>
      </c>
      <c r="D1686" s="284">
        <v>2115</v>
      </c>
      <c r="E1686" s="284">
        <v>2400</v>
      </c>
      <c r="F1686" s="284">
        <v>2655</v>
      </c>
      <c r="G1686" s="284">
        <v>2655</v>
      </c>
      <c r="H1686" s="284">
        <v>2655</v>
      </c>
      <c r="I1686" s="284">
        <v>3000</v>
      </c>
      <c r="J1686" s="221"/>
    </row>
    <row r="1687" spans="1:10" x14ac:dyDescent="0.25">
      <c r="A1687" s="263" t="s">
        <v>5</v>
      </c>
      <c r="B1687" s="454">
        <v>1491.71</v>
      </c>
      <c r="C1687" s="454">
        <v>1791</v>
      </c>
      <c r="D1687" s="284">
        <v>2115</v>
      </c>
      <c r="E1687" s="284">
        <v>2400</v>
      </c>
      <c r="F1687" s="284">
        <v>2675.4</v>
      </c>
      <c r="G1687" s="284">
        <f>G1686+79.2+21.55</f>
        <v>2755.75</v>
      </c>
      <c r="H1687" s="284">
        <v>2679.72</v>
      </c>
      <c r="I1687" s="284">
        <v>3020</v>
      </c>
      <c r="J1687" s="221"/>
    </row>
    <row r="1688" spans="1:10" x14ac:dyDescent="0.25">
      <c r="A1688" s="263" t="s">
        <v>6</v>
      </c>
      <c r="B1688" s="215"/>
      <c r="C1688" s="283"/>
      <c r="D1688" s="215"/>
      <c r="E1688" s="284"/>
      <c r="F1688" s="284"/>
      <c r="G1688" s="284"/>
      <c r="H1688" s="284"/>
      <c r="I1688" s="284"/>
      <c r="J1688" s="221"/>
    </row>
    <row r="1689" spans="1:10" x14ac:dyDescent="0.25">
      <c r="A1689" s="263" t="s">
        <v>7</v>
      </c>
      <c r="B1689" s="284">
        <v>1490.58</v>
      </c>
      <c r="C1689" s="284">
        <v>1789.538</v>
      </c>
      <c r="D1689" s="284">
        <v>2102.0929999999998</v>
      </c>
      <c r="E1689" s="284">
        <v>2379.1309999999999</v>
      </c>
      <c r="F1689" s="284">
        <v>2653.377</v>
      </c>
      <c r="G1689" s="284">
        <v>2729.7379999999998</v>
      </c>
      <c r="H1689" s="284">
        <v>2652.7869999999998</v>
      </c>
      <c r="I1689" s="284"/>
      <c r="J1689" s="221"/>
    </row>
    <row r="1690" spans="1:10" x14ac:dyDescent="0.25">
      <c r="A1690" s="263" t="s">
        <v>8</v>
      </c>
      <c r="B1690" s="215">
        <v>1.1300000000001091</v>
      </c>
      <c r="C1690" s="215">
        <v>1.4619999999999891</v>
      </c>
      <c r="D1690" s="215">
        <v>12.907000000000153</v>
      </c>
      <c r="E1690" s="215">
        <f>E1687-E1689</f>
        <v>20.869000000000142</v>
      </c>
      <c r="F1690" s="284">
        <f>F1687-F1689</f>
        <v>22.023000000000138</v>
      </c>
      <c r="G1690" s="284">
        <f>G1687-G1689</f>
        <v>26.012000000000171</v>
      </c>
      <c r="H1690" s="284">
        <f>H1687-H1689</f>
        <v>26.932999999999993</v>
      </c>
      <c r="I1690" s="284"/>
      <c r="J1690" s="221"/>
    </row>
    <row r="1691" spans="1:10" x14ac:dyDescent="0.25">
      <c r="A1691" s="263" t="s">
        <v>9</v>
      </c>
      <c r="B1691" s="226">
        <v>2017</v>
      </c>
      <c r="C1691" s="226">
        <v>2018</v>
      </c>
      <c r="D1691" s="226">
        <v>2019</v>
      </c>
      <c r="E1691" s="226">
        <v>2020</v>
      </c>
      <c r="F1691" s="226">
        <v>2021</v>
      </c>
      <c r="G1691" s="226">
        <v>2022</v>
      </c>
      <c r="H1691" s="232">
        <v>2023</v>
      </c>
      <c r="I1691" s="232">
        <v>2024</v>
      </c>
      <c r="J1691" s="221"/>
    </row>
    <row r="1692" spans="1:10" x14ac:dyDescent="0.25">
      <c r="A1692" s="218" t="s">
        <v>10</v>
      </c>
      <c r="B1692" s="219"/>
      <c r="C1692" s="219"/>
      <c r="D1692" s="219"/>
      <c r="E1692" s="219"/>
      <c r="F1692" s="217"/>
      <c r="G1692" s="217"/>
      <c r="H1692" s="217"/>
      <c r="I1692" s="217"/>
      <c r="J1692" s="221"/>
    </row>
    <row r="1693" spans="1:10" x14ac:dyDescent="0.25">
      <c r="A1693" s="218" t="s">
        <v>537</v>
      </c>
      <c r="B1693" s="219"/>
      <c r="C1693" s="219"/>
      <c r="D1693" s="219"/>
      <c r="E1693" s="219"/>
      <c r="F1693" s="219"/>
      <c r="G1693" s="219"/>
      <c r="H1693" s="219"/>
      <c r="I1693" s="217"/>
      <c r="J1693" s="221"/>
    </row>
    <row r="1694" spans="1:10" x14ac:dyDescent="0.25">
      <c r="A1694" s="220" t="s">
        <v>251</v>
      </c>
      <c r="B1694" s="221"/>
      <c r="C1694" s="221"/>
      <c r="D1694" s="221"/>
      <c r="E1694" s="221"/>
      <c r="F1694" s="221"/>
      <c r="G1694" s="221"/>
      <c r="H1694" s="221"/>
      <c r="I1694" s="222"/>
      <c r="J1694" s="221"/>
    </row>
    <row r="1695" spans="1:10" x14ac:dyDescent="0.25">
      <c r="A1695" s="717" t="s">
        <v>605</v>
      </c>
      <c r="B1695" s="718"/>
      <c r="C1695" s="718"/>
      <c r="D1695" s="718"/>
      <c r="E1695" s="718"/>
      <c r="F1695" s="718"/>
      <c r="G1695" s="718"/>
      <c r="H1695" s="221"/>
      <c r="I1695" s="222"/>
      <c r="J1695" s="221"/>
    </row>
    <row r="1696" spans="1:10" x14ac:dyDescent="0.25">
      <c r="A1696" s="273" t="s">
        <v>606</v>
      </c>
      <c r="B1696" s="509"/>
      <c r="C1696" s="509"/>
      <c r="D1696" s="509"/>
      <c r="E1696" s="509"/>
      <c r="F1696" s="509"/>
      <c r="G1696" s="509"/>
      <c r="H1696" s="221"/>
      <c r="I1696" s="222"/>
      <c r="J1696" s="221"/>
    </row>
    <row r="1697" spans="1:10" x14ac:dyDescent="0.25">
      <c r="A1697" s="233" t="s">
        <v>892</v>
      </c>
      <c r="B1697" s="281"/>
      <c r="C1697" s="281"/>
      <c r="D1697" s="281"/>
      <c r="E1697" s="281"/>
      <c r="F1697" s="281"/>
      <c r="G1697" s="281"/>
      <c r="H1697" s="223"/>
      <c r="I1697" s="224"/>
      <c r="J1697" s="221"/>
    </row>
    <row r="1698" spans="1:10" x14ac:dyDescent="0.25">
      <c r="A1698" s="221"/>
      <c r="B1698" s="221"/>
      <c r="C1698" s="221"/>
      <c r="D1698" s="221"/>
      <c r="E1698" s="221"/>
      <c r="F1698" s="221"/>
      <c r="G1698" s="221"/>
      <c r="H1698" s="221"/>
      <c r="I1698" s="221"/>
      <c r="J1698" s="221"/>
    </row>
    <row r="1699" spans="1:10" x14ac:dyDescent="0.25">
      <c r="A1699" s="221"/>
      <c r="B1699" s="221"/>
      <c r="C1699" s="221"/>
      <c r="D1699" s="221"/>
      <c r="E1699" s="221"/>
      <c r="F1699" s="221"/>
      <c r="G1699" s="221"/>
      <c r="H1699" s="221"/>
      <c r="I1699" s="221"/>
      <c r="J1699" s="221"/>
    </row>
    <row r="1700" spans="1:10" x14ac:dyDescent="0.25">
      <c r="A1700" s="455" t="s">
        <v>12</v>
      </c>
      <c r="B1700" s="553" t="s">
        <v>908</v>
      </c>
      <c r="C1700" s="221"/>
      <c r="D1700" s="456"/>
      <c r="E1700" s="456"/>
      <c r="F1700" s="456"/>
      <c r="G1700" s="456"/>
      <c r="H1700" s="456"/>
      <c r="I1700" s="221"/>
      <c r="J1700" s="221"/>
    </row>
    <row r="1701" spans="1:10" x14ac:dyDescent="0.25">
      <c r="A1701" s="457" t="s">
        <v>14</v>
      </c>
      <c r="B1701" s="458" t="s">
        <v>655</v>
      </c>
      <c r="C1701" s="459" t="s">
        <v>15</v>
      </c>
      <c r="D1701" s="456"/>
      <c r="E1701" s="456"/>
      <c r="F1701" s="456"/>
      <c r="G1701" s="456"/>
      <c r="H1701" s="456"/>
      <c r="I1701" s="221"/>
      <c r="J1701" s="221"/>
    </row>
    <row r="1702" spans="1:10" x14ac:dyDescent="0.25">
      <c r="A1702" s="460" t="s">
        <v>16</v>
      </c>
      <c r="B1702" s="461"/>
      <c r="C1702" s="462">
        <v>2022</v>
      </c>
      <c r="D1702" s="463">
        <v>2023</v>
      </c>
      <c r="E1702" s="221"/>
      <c r="F1702" s="395"/>
      <c r="G1702" s="221"/>
      <c r="H1702" s="221"/>
    </row>
    <row r="1703" spans="1:10" x14ac:dyDescent="0.25">
      <c r="A1703" s="460" t="s">
        <v>17</v>
      </c>
      <c r="B1703" s="461"/>
      <c r="C1703" s="465">
        <v>2305</v>
      </c>
      <c r="D1703" s="465">
        <v>2600</v>
      </c>
      <c r="E1703" s="221"/>
      <c r="F1703" s="221"/>
      <c r="G1703" s="221"/>
      <c r="H1703" s="221"/>
    </row>
    <row r="1704" spans="1:10" x14ac:dyDescent="0.25">
      <c r="A1704" s="460" t="s">
        <v>18</v>
      </c>
      <c r="B1704" s="461"/>
      <c r="C1704" s="615"/>
      <c r="D1704" s="538">
        <f>D1703+C1707+440.79+67.08+128</f>
        <v>3246.0209999999997</v>
      </c>
      <c r="E1704" s="221"/>
      <c r="F1704" s="221"/>
      <c r="G1704" s="221"/>
      <c r="H1704" s="221"/>
    </row>
    <row r="1705" spans="1:10" x14ac:dyDescent="0.25">
      <c r="A1705" s="460" t="s">
        <v>19</v>
      </c>
      <c r="B1705" s="461"/>
      <c r="C1705" s="466"/>
      <c r="D1705" s="616" t="str">
        <f>"(1)"</f>
        <v>(1)</v>
      </c>
      <c r="E1705" s="221"/>
      <c r="F1705" s="221"/>
      <c r="G1705" s="221"/>
      <c r="H1705" s="221"/>
    </row>
    <row r="1706" spans="1:10" x14ac:dyDescent="0.25">
      <c r="A1706" s="460" t="s">
        <v>20</v>
      </c>
      <c r="B1706" s="461"/>
      <c r="C1706" s="538">
        <v>2294.8490000000002</v>
      </c>
      <c r="D1706" s="467"/>
      <c r="E1706" s="221"/>
      <c r="F1706" s="221"/>
      <c r="G1706" s="221"/>
      <c r="H1706" s="221"/>
    </row>
    <row r="1707" spans="1:10" x14ac:dyDescent="0.25">
      <c r="A1707" s="460" t="s">
        <v>21</v>
      </c>
      <c r="B1707" s="461"/>
      <c r="C1707" s="538">
        <f>C1703-C1706</f>
        <v>10.15099999999984</v>
      </c>
      <c r="D1707" s="465"/>
      <c r="E1707" s="221"/>
      <c r="F1707" s="221"/>
      <c r="G1707" s="221"/>
      <c r="H1707" s="221"/>
    </row>
    <row r="1708" spans="1:10" x14ac:dyDescent="0.25">
      <c r="A1708" s="468" t="s">
        <v>22</v>
      </c>
      <c r="B1708" s="469"/>
      <c r="C1708" s="470">
        <v>2023</v>
      </c>
      <c r="D1708" s="471">
        <v>2023</v>
      </c>
      <c r="E1708" s="221"/>
      <c r="F1708" s="221"/>
      <c r="G1708" s="221"/>
      <c r="H1708" s="221"/>
    </row>
    <row r="1709" spans="1:10" x14ac:dyDescent="0.25">
      <c r="A1709" s="539" t="s">
        <v>992</v>
      </c>
      <c r="B1709" s="618"/>
      <c r="C1709" s="619"/>
      <c r="D1709" s="620"/>
      <c r="E1709" s="221"/>
      <c r="F1709" s="221"/>
      <c r="G1709" s="221"/>
      <c r="H1709" s="221"/>
    </row>
    <row r="1710" spans="1:10" x14ac:dyDescent="0.25">
      <c r="A1710" s="456"/>
      <c r="B1710" s="456"/>
      <c r="C1710" s="456"/>
      <c r="D1710" s="456"/>
      <c r="E1710" s="456"/>
      <c r="F1710" s="221"/>
      <c r="G1710" s="221"/>
      <c r="H1710" s="221"/>
      <c r="I1710" s="221"/>
      <c r="J1710" s="221"/>
    </row>
    <row r="1711" spans="1:10" x14ac:dyDescent="0.25">
      <c r="A1711" s="457" t="s">
        <v>14</v>
      </c>
      <c r="B1711" s="458" t="s">
        <v>909</v>
      </c>
      <c r="C1711" s="459" t="s">
        <v>15</v>
      </c>
      <c r="D1711" s="456"/>
      <c r="E1711" s="456"/>
      <c r="F1711" s="456"/>
      <c r="G1711" s="456"/>
      <c r="H1711" s="456"/>
      <c r="I1711" s="221"/>
      <c r="J1711" s="221"/>
    </row>
    <row r="1712" spans="1:10" x14ac:dyDescent="0.25">
      <c r="A1712" s="460" t="s">
        <v>16</v>
      </c>
      <c r="B1712" s="461"/>
      <c r="C1712" s="462">
        <v>2023</v>
      </c>
      <c r="D1712" s="463">
        <v>2024</v>
      </c>
      <c r="E1712" s="221"/>
      <c r="F1712" s="221"/>
      <c r="G1712" s="221"/>
      <c r="H1712" s="221"/>
    </row>
    <row r="1713" spans="1:12" x14ac:dyDescent="0.25">
      <c r="A1713" s="460" t="s">
        <v>17</v>
      </c>
      <c r="B1713" s="461"/>
      <c r="C1713" s="465">
        <v>225</v>
      </c>
      <c r="D1713" s="465">
        <v>225</v>
      </c>
      <c r="E1713" s="221"/>
      <c r="F1713" s="221"/>
      <c r="G1713" s="221"/>
      <c r="H1713" s="221"/>
    </row>
    <row r="1714" spans="1:12" x14ac:dyDescent="0.25">
      <c r="A1714" s="460" t="s">
        <v>18</v>
      </c>
      <c r="B1714" s="461"/>
      <c r="C1714" s="465">
        <v>150</v>
      </c>
      <c r="D1714" s="465">
        <v>150</v>
      </c>
      <c r="E1714" s="221"/>
      <c r="F1714" s="221"/>
      <c r="G1714" s="221"/>
      <c r="H1714" s="221"/>
    </row>
    <row r="1715" spans="1:12" x14ac:dyDescent="0.25">
      <c r="A1715" s="460" t="s">
        <v>19</v>
      </c>
      <c r="B1715" s="461"/>
      <c r="C1715" s="621" t="s">
        <v>910</v>
      </c>
      <c r="D1715" s="621" t="s">
        <v>910</v>
      </c>
      <c r="E1715" s="221"/>
      <c r="F1715" s="221"/>
      <c r="G1715" s="221"/>
      <c r="H1715" s="221"/>
    </row>
    <row r="1716" spans="1:12" x14ac:dyDescent="0.25">
      <c r="A1716" s="460" t="s">
        <v>20</v>
      </c>
      <c r="B1716" s="461"/>
      <c r="C1716" s="465"/>
      <c r="D1716" s="467"/>
      <c r="E1716" s="221"/>
      <c r="F1716" s="221"/>
      <c r="G1716" s="221"/>
      <c r="H1716" s="221"/>
    </row>
    <row r="1717" spans="1:12" x14ac:dyDescent="0.25">
      <c r="A1717" s="460" t="s">
        <v>21</v>
      </c>
      <c r="B1717" s="461"/>
      <c r="C1717" s="465"/>
      <c r="D1717" s="465"/>
      <c r="E1717" s="221"/>
      <c r="F1717" s="221"/>
      <c r="G1717" s="221"/>
      <c r="H1717" s="221"/>
    </row>
    <row r="1718" spans="1:12" x14ac:dyDescent="0.25">
      <c r="A1718" s="468" t="s">
        <v>22</v>
      </c>
      <c r="B1718" s="469"/>
      <c r="C1718" s="470"/>
      <c r="D1718" s="471"/>
      <c r="E1718" s="221"/>
      <c r="F1718" s="221"/>
      <c r="G1718" s="221"/>
      <c r="H1718" s="221"/>
    </row>
    <row r="1719" spans="1:12" x14ac:dyDescent="0.25">
      <c r="A1719" s="617" t="s">
        <v>911</v>
      </c>
      <c r="B1719" s="618"/>
      <c r="C1719" s="619"/>
      <c r="D1719" s="620"/>
      <c r="E1719" s="221"/>
      <c r="F1719" s="221"/>
      <c r="G1719" s="221"/>
      <c r="H1719" s="221"/>
    </row>
    <row r="1720" spans="1:12" x14ac:dyDescent="0.25">
      <c r="A1720" s="456"/>
      <c r="B1720" s="456"/>
      <c r="C1720" s="456"/>
      <c r="D1720" s="456"/>
      <c r="E1720" s="456"/>
      <c r="F1720" s="221"/>
      <c r="G1720" s="221"/>
      <c r="H1720" s="221"/>
      <c r="I1720" s="221"/>
      <c r="J1720" s="221"/>
    </row>
    <row r="1721" spans="1:12" x14ac:dyDescent="0.25">
      <c r="A1721" s="456"/>
      <c r="B1721" s="456"/>
      <c r="C1721" s="456"/>
      <c r="D1721" s="456"/>
      <c r="E1721" s="456"/>
      <c r="F1721" s="221"/>
      <c r="G1721" s="221"/>
      <c r="H1721" s="221"/>
      <c r="I1721" s="221"/>
      <c r="J1721" s="221"/>
    </row>
    <row r="1722" spans="1:12" x14ac:dyDescent="0.25">
      <c r="A1722" s="455" t="s">
        <v>12</v>
      </c>
      <c r="B1722" s="553" t="s">
        <v>593</v>
      </c>
      <c r="C1722" s="221"/>
      <c r="D1722" s="456"/>
      <c r="E1722" s="456"/>
      <c r="F1722" s="456"/>
      <c r="G1722" s="456"/>
      <c r="H1722" s="456"/>
      <c r="I1722" s="221"/>
      <c r="J1722" s="221"/>
      <c r="K1722" s="221"/>
      <c r="L1722" s="221"/>
    </row>
    <row r="1723" spans="1:12" x14ac:dyDescent="0.25">
      <c r="A1723" s="457" t="s">
        <v>14</v>
      </c>
      <c r="B1723" s="458" t="s">
        <v>637</v>
      </c>
      <c r="C1723" s="459" t="s">
        <v>15</v>
      </c>
      <c r="D1723" s="456"/>
      <c r="E1723" s="456"/>
      <c r="F1723" s="456"/>
      <c r="G1723" s="456"/>
      <c r="H1723" s="456"/>
      <c r="I1723" s="221"/>
      <c r="J1723" s="221"/>
      <c r="K1723" s="221"/>
      <c r="L1723" s="221"/>
    </row>
    <row r="1724" spans="1:12" x14ac:dyDescent="0.25">
      <c r="A1724" s="460" t="s">
        <v>16</v>
      </c>
      <c r="B1724" s="461"/>
      <c r="C1724" s="462">
        <v>2021</v>
      </c>
      <c r="D1724" s="463">
        <v>2022</v>
      </c>
      <c r="E1724" s="464">
        <v>2023</v>
      </c>
      <c r="F1724" s="464">
        <v>2024</v>
      </c>
      <c r="G1724" s="221"/>
      <c r="H1724" s="221"/>
      <c r="I1724" s="221"/>
      <c r="J1724" s="221"/>
      <c r="K1724" s="221"/>
      <c r="L1724" s="221"/>
    </row>
    <row r="1725" spans="1:12" x14ac:dyDescent="0.25">
      <c r="A1725" s="460" t="s">
        <v>17</v>
      </c>
      <c r="B1725" s="461"/>
      <c r="C1725" s="465">
        <f>434.04</f>
        <v>434.04</v>
      </c>
      <c r="D1725" s="465">
        <v>442.25</v>
      </c>
      <c r="E1725" s="465">
        <v>442.25</v>
      </c>
      <c r="F1725" s="465">
        <v>442.25</v>
      </c>
      <c r="G1725" s="221"/>
      <c r="H1725" s="221"/>
      <c r="I1725" s="221"/>
      <c r="J1725" s="221"/>
      <c r="K1725" s="221"/>
      <c r="L1725" s="221"/>
    </row>
    <row r="1726" spans="1:12" x14ac:dyDescent="0.25">
      <c r="A1726" s="460" t="s">
        <v>18</v>
      </c>
      <c r="B1726" s="461"/>
      <c r="C1726" s="465">
        <f>C1725+53.75</f>
        <v>487.79</v>
      </c>
      <c r="D1726" s="465">
        <f>D1725+53.75</f>
        <v>496</v>
      </c>
      <c r="E1726" s="466">
        <f>E1725+0.25*C1725</f>
        <v>550.76</v>
      </c>
      <c r="F1726" s="466">
        <f>F1725+0.25*D1725</f>
        <v>552.8125</v>
      </c>
      <c r="G1726" s="395"/>
      <c r="H1726" s="221"/>
      <c r="I1726" s="221"/>
      <c r="J1726" s="221"/>
      <c r="K1726" s="221"/>
      <c r="L1726" s="221"/>
    </row>
    <row r="1727" spans="1:12" x14ac:dyDescent="0.25">
      <c r="A1727" s="460" t="s">
        <v>19</v>
      </c>
      <c r="B1727" s="461"/>
      <c r="C1727" s="466" t="s">
        <v>704</v>
      </c>
      <c r="D1727" s="466" t="s">
        <v>706</v>
      </c>
      <c r="E1727" s="466" t="s">
        <v>705</v>
      </c>
      <c r="F1727" s="466" t="s">
        <v>895</v>
      </c>
      <c r="G1727" s="221"/>
      <c r="H1727" s="221"/>
      <c r="I1727" s="221"/>
      <c r="J1727" s="221"/>
      <c r="K1727" s="221"/>
      <c r="L1727" s="221"/>
    </row>
    <row r="1728" spans="1:12" x14ac:dyDescent="0.25">
      <c r="A1728" s="460" t="s">
        <v>20</v>
      </c>
      <c r="B1728" s="461"/>
      <c r="C1728" s="465">
        <v>169.39099999999999</v>
      </c>
      <c r="D1728" s="629">
        <v>125.35080000000001</v>
      </c>
      <c r="E1728" s="466"/>
      <c r="F1728" s="466"/>
      <c r="G1728" s="221"/>
      <c r="H1728" s="221"/>
      <c r="I1728" s="221"/>
      <c r="J1728" s="221"/>
      <c r="K1728" s="221"/>
      <c r="L1728" s="221"/>
    </row>
    <row r="1729" spans="1:12" x14ac:dyDescent="0.25">
      <c r="A1729" s="460" t="s">
        <v>21</v>
      </c>
      <c r="B1729" s="461"/>
      <c r="C1729" s="465">
        <f>C1726-C1728</f>
        <v>318.399</v>
      </c>
      <c r="D1729" s="538">
        <f>D1726-D1728</f>
        <v>370.64920000000001</v>
      </c>
      <c r="E1729" s="466"/>
      <c r="F1729" s="466"/>
      <c r="G1729" s="221"/>
      <c r="H1729" s="221"/>
      <c r="I1729" s="221"/>
      <c r="J1729" s="221"/>
      <c r="K1729" s="221"/>
      <c r="L1729" s="221"/>
    </row>
    <row r="1730" spans="1:12" x14ac:dyDescent="0.25">
      <c r="A1730" s="468" t="s">
        <v>22</v>
      </c>
      <c r="B1730" s="469"/>
      <c r="C1730" s="470">
        <v>2023</v>
      </c>
      <c r="D1730" s="471">
        <v>2024</v>
      </c>
      <c r="E1730" s="470">
        <v>2025</v>
      </c>
      <c r="F1730" s="470">
        <v>2026</v>
      </c>
      <c r="G1730" s="221"/>
      <c r="H1730" s="221"/>
      <c r="I1730" s="221"/>
      <c r="J1730" s="221"/>
      <c r="K1730" s="221"/>
      <c r="L1730" s="221"/>
    </row>
    <row r="1731" spans="1:12" x14ac:dyDescent="0.25">
      <c r="A1731" s="481" t="s">
        <v>711</v>
      </c>
      <c r="B1731" s="533"/>
      <c r="C1731" s="533"/>
      <c r="D1731" s="533"/>
      <c r="E1731" s="533"/>
      <c r="F1731" s="217"/>
      <c r="G1731" s="221"/>
      <c r="H1731" s="221"/>
      <c r="I1731" s="221"/>
      <c r="J1731" s="221"/>
      <c r="K1731" s="221"/>
      <c r="L1731" s="221"/>
    </row>
    <row r="1732" spans="1:12" ht="12.75" customHeight="1" x14ac:dyDescent="0.25">
      <c r="A1732" s="484" t="s">
        <v>720</v>
      </c>
      <c r="B1732" s="536"/>
      <c r="C1732" s="536"/>
      <c r="D1732" s="536"/>
      <c r="E1732" s="536"/>
      <c r="F1732" s="222"/>
      <c r="G1732" s="221"/>
      <c r="H1732" s="221"/>
      <c r="I1732" s="221"/>
      <c r="J1732" s="221"/>
      <c r="K1732" s="221"/>
      <c r="L1732" s="221"/>
    </row>
    <row r="1733" spans="1:12" x14ac:dyDescent="0.25">
      <c r="A1733" s="535" t="s">
        <v>721</v>
      </c>
      <c r="B1733" s="472"/>
      <c r="C1733" s="472"/>
      <c r="D1733" s="472"/>
      <c r="E1733" s="472"/>
      <c r="F1733" s="222"/>
      <c r="G1733" s="221"/>
      <c r="H1733" s="221"/>
      <c r="I1733" s="221"/>
      <c r="J1733" s="221"/>
      <c r="K1733" s="221"/>
      <c r="L1733" s="221"/>
    </row>
    <row r="1734" spans="1:12" x14ac:dyDescent="0.25">
      <c r="A1734" s="630" t="s">
        <v>941</v>
      </c>
      <c r="B1734" s="534"/>
      <c r="C1734" s="534"/>
      <c r="D1734" s="534"/>
      <c r="E1734" s="534"/>
      <c r="F1734" s="224"/>
      <c r="G1734" s="221"/>
      <c r="H1734" s="221"/>
      <c r="I1734" s="221"/>
      <c r="J1734" s="221"/>
      <c r="K1734" s="221"/>
      <c r="L1734" s="221"/>
    </row>
    <row r="1735" spans="1:12" x14ac:dyDescent="0.25">
      <c r="A1735" s="472"/>
      <c r="B1735" s="472"/>
      <c r="C1735" s="473"/>
      <c r="D1735" s="472"/>
      <c r="E1735" s="472"/>
      <c r="F1735" s="221"/>
      <c r="G1735" s="221"/>
      <c r="H1735" s="221"/>
      <c r="I1735" s="221"/>
      <c r="J1735" s="221"/>
      <c r="K1735" s="221"/>
      <c r="L1735" s="221"/>
    </row>
    <row r="1736" spans="1:12" x14ac:dyDescent="0.25">
      <c r="A1736" s="457" t="s">
        <v>14</v>
      </c>
      <c r="B1736" s="458" t="s">
        <v>651</v>
      </c>
      <c r="C1736" s="459" t="s">
        <v>15</v>
      </c>
      <c r="D1736" s="456"/>
      <c r="E1736" s="456"/>
      <c r="F1736" s="456"/>
      <c r="G1736" s="456"/>
      <c r="H1736" s="456"/>
      <c r="I1736" s="221"/>
      <c r="J1736" s="221"/>
      <c r="K1736" s="221"/>
      <c r="L1736" s="221"/>
    </row>
    <row r="1737" spans="1:12" x14ac:dyDescent="0.25">
      <c r="A1737" s="460" t="s">
        <v>16</v>
      </c>
      <c r="B1737" s="461"/>
      <c r="C1737" s="462">
        <v>2021</v>
      </c>
      <c r="D1737" s="463">
        <v>2022</v>
      </c>
      <c r="E1737" s="464">
        <v>2023</v>
      </c>
      <c r="F1737" s="700">
        <v>2024</v>
      </c>
      <c r="G1737" s="221"/>
      <c r="H1737" s="221"/>
      <c r="I1737" s="221"/>
      <c r="J1737" s="221"/>
      <c r="K1737" s="221"/>
      <c r="L1737" s="221"/>
    </row>
    <row r="1738" spans="1:12" x14ac:dyDescent="0.25">
      <c r="A1738" s="460" t="s">
        <v>17</v>
      </c>
      <c r="B1738" s="461"/>
      <c r="C1738" s="465">
        <v>100</v>
      </c>
      <c r="D1738" s="465">
        <v>100</v>
      </c>
      <c r="E1738" s="466">
        <v>120</v>
      </c>
      <c r="F1738" s="701">
        <v>120</v>
      </c>
      <c r="G1738" s="221"/>
      <c r="H1738" s="221"/>
      <c r="I1738" s="221"/>
      <c r="J1738" s="221"/>
      <c r="K1738" s="221"/>
      <c r="L1738" s="221"/>
    </row>
    <row r="1739" spans="1:12" x14ac:dyDescent="0.25">
      <c r="A1739" s="460" t="s">
        <v>18</v>
      </c>
      <c r="B1739" s="461"/>
      <c r="C1739" s="465"/>
      <c r="D1739" s="465">
        <v>125</v>
      </c>
      <c r="E1739" s="474">
        <f>E1738+0.25*C1738</f>
        <v>145</v>
      </c>
      <c r="F1739" s="699">
        <f>F1738+1.49</f>
        <v>121.49</v>
      </c>
      <c r="G1739" s="221"/>
      <c r="H1739" s="221"/>
      <c r="I1739" s="221"/>
      <c r="J1739" s="221"/>
      <c r="K1739" s="221"/>
      <c r="L1739" s="221"/>
    </row>
    <row r="1740" spans="1:12" x14ac:dyDescent="0.25">
      <c r="A1740" s="460" t="s">
        <v>19</v>
      </c>
      <c r="B1740" s="461"/>
      <c r="C1740" s="474"/>
      <c r="D1740" s="474" t="s">
        <v>700</v>
      </c>
      <c r="E1740" s="474" t="s">
        <v>699</v>
      </c>
      <c r="F1740" s="699" t="s">
        <v>990</v>
      </c>
      <c r="G1740" s="221"/>
      <c r="H1740" s="221"/>
      <c r="I1740" s="221"/>
      <c r="J1740" s="221"/>
      <c r="K1740" s="221"/>
      <c r="L1740" s="221"/>
    </row>
    <row r="1741" spans="1:12" x14ac:dyDescent="0.25">
      <c r="A1741" s="460" t="s">
        <v>20</v>
      </c>
      <c r="B1741" s="461"/>
      <c r="C1741" s="465">
        <v>0</v>
      </c>
      <c r="D1741" s="467">
        <v>0</v>
      </c>
      <c r="E1741" s="466"/>
      <c r="F1741" s="701"/>
      <c r="G1741" s="221"/>
      <c r="H1741" s="221"/>
      <c r="I1741" s="221"/>
      <c r="J1741" s="221"/>
      <c r="K1741" s="221"/>
      <c r="L1741" s="221"/>
    </row>
    <row r="1742" spans="1:12" x14ac:dyDescent="0.25">
      <c r="A1742" s="460" t="s">
        <v>21</v>
      </c>
      <c r="B1742" s="461"/>
      <c r="C1742" s="465">
        <f>C1738-C1741</f>
        <v>100</v>
      </c>
      <c r="D1742" s="465">
        <f>D1739-D1741</f>
        <v>125</v>
      </c>
      <c r="E1742" s="466"/>
      <c r="F1742" s="701"/>
      <c r="G1742" s="221"/>
      <c r="H1742" s="221"/>
      <c r="I1742" s="221"/>
      <c r="J1742" s="221"/>
      <c r="K1742" s="221"/>
      <c r="L1742" s="221"/>
    </row>
    <row r="1743" spans="1:12" x14ac:dyDescent="0.25">
      <c r="A1743" s="468" t="s">
        <v>22</v>
      </c>
      <c r="B1743" s="469"/>
      <c r="C1743" s="470">
        <v>2023</v>
      </c>
      <c r="D1743" s="471">
        <v>2024</v>
      </c>
      <c r="E1743" s="470">
        <v>2025</v>
      </c>
      <c r="F1743" s="702">
        <v>2026</v>
      </c>
      <c r="G1743" s="221"/>
      <c r="H1743" s="221"/>
      <c r="I1743" s="221"/>
      <c r="J1743" s="221"/>
      <c r="K1743" s="221"/>
      <c r="L1743" s="221"/>
    </row>
    <row r="1744" spans="1:12" x14ac:dyDescent="0.25">
      <c r="A1744" s="481" t="s">
        <v>757</v>
      </c>
      <c r="B1744" s="482"/>
      <c r="C1744" s="500"/>
      <c r="D1744" s="500"/>
      <c r="E1744" s="500"/>
      <c r="F1744" s="703"/>
      <c r="G1744" s="221"/>
      <c r="H1744" s="221"/>
      <c r="I1744" s="221"/>
      <c r="J1744" s="221"/>
      <c r="K1744" s="221"/>
      <c r="L1744" s="221"/>
    </row>
    <row r="1745" spans="1:12" x14ac:dyDescent="0.25">
      <c r="A1745" s="630" t="s">
        <v>991</v>
      </c>
      <c r="B1745" s="487"/>
      <c r="C1745" s="487"/>
      <c r="D1745" s="487"/>
      <c r="E1745" s="487"/>
      <c r="F1745" s="659"/>
      <c r="G1745" s="221"/>
      <c r="H1745" s="221"/>
      <c r="I1745" s="221"/>
      <c r="J1745" s="221"/>
      <c r="K1745" s="221"/>
      <c r="L1745" s="221"/>
    </row>
    <row r="1746" spans="1:12" x14ac:dyDescent="0.25">
      <c r="A1746" s="456"/>
      <c r="B1746" s="456"/>
      <c r="C1746" s="456"/>
      <c r="D1746" s="456"/>
      <c r="E1746" s="456"/>
      <c r="F1746" s="221"/>
      <c r="G1746" s="221"/>
      <c r="H1746" s="221"/>
      <c r="I1746" s="221"/>
      <c r="J1746" s="221"/>
      <c r="K1746" s="221"/>
      <c r="L1746" s="221"/>
    </row>
    <row r="1747" spans="1:12" x14ac:dyDescent="0.25">
      <c r="A1747" s="457" t="s">
        <v>14</v>
      </c>
      <c r="B1747" s="458" t="s">
        <v>636</v>
      </c>
      <c r="C1747" s="459" t="s">
        <v>15</v>
      </c>
      <c r="D1747" s="456"/>
      <c r="E1747" s="456"/>
      <c r="F1747" s="456"/>
      <c r="G1747" s="456"/>
      <c r="H1747" s="456"/>
      <c r="I1747" s="221"/>
      <c r="J1747" s="221"/>
      <c r="K1747" s="221"/>
      <c r="L1747" s="221"/>
    </row>
    <row r="1748" spans="1:12" x14ac:dyDescent="0.25">
      <c r="A1748" s="460" t="s">
        <v>16</v>
      </c>
      <c r="B1748" s="461"/>
      <c r="C1748" s="462">
        <v>2021</v>
      </c>
      <c r="D1748" s="463">
        <v>2022</v>
      </c>
      <c r="E1748" s="464">
        <v>2023</v>
      </c>
      <c r="F1748" s="464">
        <v>2024</v>
      </c>
      <c r="G1748" s="221"/>
      <c r="H1748" s="221"/>
      <c r="I1748" s="221"/>
      <c r="J1748" s="221"/>
      <c r="K1748" s="221"/>
      <c r="L1748" s="221"/>
    </row>
    <row r="1749" spans="1:12" x14ac:dyDescent="0.25">
      <c r="A1749" s="460" t="s">
        <v>17</v>
      </c>
      <c r="B1749" s="461"/>
      <c r="C1749" s="465">
        <v>35.67</v>
      </c>
      <c r="D1749" s="465">
        <v>35.67</v>
      </c>
      <c r="E1749" s="465">
        <v>35.67</v>
      </c>
      <c r="F1749" s="465">
        <v>35.67</v>
      </c>
      <c r="G1749" s="221"/>
      <c r="H1749" s="221"/>
      <c r="I1749" s="221"/>
      <c r="J1749" s="221"/>
      <c r="K1749" s="221"/>
      <c r="L1749" s="221"/>
    </row>
    <row r="1750" spans="1:12" x14ac:dyDescent="0.25">
      <c r="A1750" s="460" t="s">
        <v>18</v>
      </c>
      <c r="B1750" s="461"/>
      <c r="C1750" s="465">
        <v>49.67</v>
      </c>
      <c r="D1750" s="465">
        <v>49.67</v>
      </c>
      <c r="E1750" s="466">
        <f>E1749+0.4*C1749</f>
        <v>49.938000000000002</v>
      </c>
      <c r="F1750" s="466">
        <f>F1749+0.4*D1749</f>
        <v>49.938000000000002</v>
      </c>
      <c r="G1750" s="221"/>
      <c r="H1750" s="221"/>
      <c r="I1750" s="221"/>
      <c r="J1750" s="221"/>
      <c r="K1750" s="221"/>
      <c r="L1750" s="221"/>
    </row>
    <row r="1751" spans="1:12" ht="30.75" customHeight="1" x14ac:dyDescent="0.25">
      <c r="A1751" s="460" t="s">
        <v>19</v>
      </c>
      <c r="B1751" s="461"/>
      <c r="C1751" s="475" t="s">
        <v>723</v>
      </c>
      <c r="D1751" s="475" t="s">
        <v>724</v>
      </c>
      <c r="E1751" s="475" t="s">
        <v>707</v>
      </c>
      <c r="F1751" s="475" t="s">
        <v>897</v>
      </c>
      <c r="G1751" s="221"/>
      <c r="H1751" s="221"/>
      <c r="I1751" s="221"/>
      <c r="J1751" s="221"/>
      <c r="K1751" s="221"/>
      <c r="L1751" s="221"/>
    </row>
    <row r="1752" spans="1:12" x14ac:dyDescent="0.25">
      <c r="A1752" s="460" t="s">
        <v>20</v>
      </c>
      <c r="B1752" s="461"/>
      <c r="C1752" s="465">
        <v>5.9</v>
      </c>
      <c r="D1752" s="467">
        <v>3.351</v>
      </c>
      <c r="E1752" s="466"/>
      <c r="F1752" s="466"/>
      <c r="G1752" s="221"/>
      <c r="H1752" s="221"/>
      <c r="I1752" s="221"/>
      <c r="J1752" s="221"/>
      <c r="K1752" s="221"/>
      <c r="L1752" s="221"/>
    </row>
    <row r="1753" spans="1:12" x14ac:dyDescent="0.25">
      <c r="A1753" s="460" t="s">
        <v>21</v>
      </c>
      <c r="B1753" s="461"/>
      <c r="C1753" s="465">
        <f>C1750-C1752</f>
        <v>43.77</v>
      </c>
      <c r="D1753" s="465">
        <f>D1750-D1752</f>
        <v>46.319000000000003</v>
      </c>
      <c r="E1753" s="466"/>
      <c r="F1753" s="466"/>
      <c r="G1753" s="221"/>
      <c r="H1753" s="221"/>
      <c r="I1753" s="221"/>
      <c r="J1753" s="221"/>
      <c r="K1753" s="221"/>
      <c r="L1753" s="221"/>
    </row>
    <row r="1754" spans="1:12" x14ac:dyDescent="0.25">
      <c r="A1754" s="468" t="s">
        <v>22</v>
      </c>
      <c r="B1754" s="469"/>
      <c r="C1754" s="470">
        <v>2023</v>
      </c>
      <c r="D1754" s="470">
        <v>2024</v>
      </c>
      <c r="E1754" s="470">
        <v>2025</v>
      </c>
      <c r="F1754" s="470">
        <v>2026</v>
      </c>
      <c r="G1754" s="221"/>
      <c r="H1754" s="221"/>
      <c r="I1754" s="221"/>
      <c r="J1754" s="221"/>
      <c r="K1754" s="221"/>
      <c r="L1754" s="221"/>
    </row>
    <row r="1755" spans="1:12" x14ac:dyDescent="0.25">
      <c r="A1755" s="481" t="s">
        <v>722</v>
      </c>
      <c r="B1755" s="482"/>
      <c r="C1755" s="482"/>
      <c r="D1755" s="482"/>
      <c r="E1755" s="482"/>
      <c r="F1755" s="217"/>
      <c r="G1755" s="221"/>
      <c r="H1755" s="221"/>
      <c r="I1755" s="221"/>
      <c r="J1755" s="221"/>
      <c r="K1755" s="221"/>
      <c r="L1755" s="221"/>
    </row>
    <row r="1756" spans="1:12" x14ac:dyDescent="0.25">
      <c r="A1756" s="484" t="s">
        <v>726</v>
      </c>
      <c r="B1756" s="456"/>
      <c r="C1756" s="456"/>
      <c r="D1756" s="456"/>
      <c r="E1756" s="456"/>
      <c r="F1756" s="222"/>
      <c r="G1756" s="221"/>
      <c r="H1756" s="221"/>
      <c r="I1756" s="221"/>
      <c r="J1756" s="221"/>
      <c r="K1756" s="221"/>
      <c r="L1756" s="221"/>
    </row>
    <row r="1757" spans="1:12" x14ac:dyDescent="0.25">
      <c r="A1757" s="484" t="s">
        <v>725</v>
      </c>
      <c r="B1757" s="456"/>
      <c r="C1757" s="456"/>
      <c r="D1757" s="456"/>
      <c r="E1757" s="456"/>
      <c r="F1757" s="222"/>
      <c r="G1757" s="221"/>
      <c r="H1757" s="221"/>
      <c r="I1757" s="221"/>
      <c r="J1757" s="221"/>
      <c r="K1757" s="221"/>
      <c r="L1757" s="221"/>
    </row>
    <row r="1758" spans="1:12" x14ac:dyDescent="0.25">
      <c r="A1758" s="486" t="s">
        <v>896</v>
      </c>
      <c r="B1758" s="487"/>
      <c r="C1758" s="487"/>
      <c r="D1758" s="487"/>
      <c r="E1758" s="487"/>
      <c r="F1758" s="224"/>
      <c r="G1758" s="221"/>
      <c r="H1758" s="221"/>
      <c r="I1758" s="221"/>
      <c r="J1758" s="221"/>
      <c r="K1758" s="221"/>
      <c r="L1758" s="221"/>
    </row>
    <row r="1759" spans="1:12" x14ac:dyDescent="0.25">
      <c r="A1759" s="472"/>
      <c r="B1759" s="472"/>
      <c r="C1759" s="473"/>
      <c r="D1759" s="472"/>
      <c r="E1759" s="472"/>
      <c r="F1759" s="221"/>
      <c r="G1759" s="221"/>
      <c r="H1759" s="221"/>
      <c r="I1759" s="221"/>
      <c r="J1759" s="221"/>
      <c r="K1759" s="221"/>
      <c r="L1759" s="221"/>
    </row>
    <row r="1760" spans="1:12" x14ac:dyDescent="0.25">
      <c r="A1760" s="457" t="s">
        <v>14</v>
      </c>
      <c r="B1760" s="458" t="s">
        <v>654</v>
      </c>
      <c r="C1760" s="459" t="s">
        <v>15</v>
      </c>
      <c r="D1760" s="456"/>
      <c r="E1760" s="456"/>
      <c r="F1760" s="456"/>
      <c r="G1760" s="456"/>
      <c r="H1760" s="456"/>
      <c r="I1760" s="221"/>
      <c r="J1760" s="221"/>
      <c r="K1760" s="221"/>
      <c r="L1760" s="221"/>
    </row>
    <row r="1761" spans="1:12" x14ac:dyDescent="0.25">
      <c r="A1761" s="460" t="s">
        <v>16</v>
      </c>
      <c r="B1761" s="461"/>
      <c r="C1761" s="462">
        <v>2021</v>
      </c>
      <c r="D1761" s="463">
        <v>2022</v>
      </c>
      <c r="E1761" s="464">
        <v>2023</v>
      </c>
      <c r="F1761" s="464">
        <v>2024</v>
      </c>
      <c r="G1761" s="221"/>
      <c r="H1761" s="221"/>
      <c r="I1761" s="221"/>
      <c r="J1761" s="221"/>
      <c r="K1761" s="221"/>
      <c r="L1761" s="221"/>
    </row>
    <row r="1762" spans="1:12" x14ac:dyDescent="0.25">
      <c r="A1762" s="460" t="s">
        <v>17</v>
      </c>
      <c r="B1762" s="461"/>
      <c r="C1762" s="465">
        <v>25</v>
      </c>
      <c r="D1762" s="465">
        <v>25</v>
      </c>
      <c r="E1762" s="465">
        <v>25</v>
      </c>
      <c r="F1762" s="465">
        <v>25</v>
      </c>
      <c r="G1762" s="221"/>
      <c r="H1762" s="221"/>
      <c r="I1762" s="221"/>
      <c r="J1762" s="221"/>
      <c r="K1762" s="221"/>
      <c r="L1762" s="221"/>
    </row>
    <row r="1763" spans="1:12" x14ac:dyDescent="0.25">
      <c r="A1763" s="460" t="s">
        <v>18</v>
      </c>
      <c r="B1763" s="461"/>
      <c r="C1763" s="465">
        <v>30</v>
      </c>
      <c r="D1763" s="465">
        <v>30</v>
      </c>
      <c r="E1763" s="474">
        <v>30</v>
      </c>
      <c r="F1763" s="474">
        <v>30</v>
      </c>
      <c r="G1763" s="221"/>
      <c r="H1763" s="221"/>
      <c r="I1763" s="221"/>
      <c r="J1763" s="221"/>
      <c r="K1763" s="221"/>
      <c r="L1763" s="221"/>
    </row>
    <row r="1764" spans="1:12" x14ac:dyDescent="0.25">
      <c r="A1764" s="460" t="s">
        <v>19</v>
      </c>
      <c r="B1764" s="461"/>
      <c r="C1764" s="474" t="s">
        <v>701</v>
      </c>
      <c r="D1764" s="474" t="s">
        <v>702</v>
      </c>
      <c r="E1764" s="474" t="s">
        <v>703</v>
      </c>
      <c r="F1764" s="474" t="s">
        <v>898</v>
      </c>
      <c r="G1764" s="221"/>
      <c r="H1764" s="221"/>
      <c r="I1764" s="221"/>
      <c r="J1764" s="221"/>
      <c r="K1764" s="221"/>
      <c r="L1764" s="221"/>
    </row>
    <row r="1765" spans="1:12" x14ac:dyDescent="0.25">
      <c r="A1765" s="460" t="s">
        <v>20</v>
      </c>
      <c r="B1765" s="461"/>
      <c r="C1765" s="465">
        <v>0</v>
      </c>
      <c r="D1765" s="467">
        <v>0</v>
      </c>
      <c r="E1765" s="466"/>
      <c r="F1765" s="466"/>
      <c r="G1765" s="221"/>
      <c r="H1765" s="221"/>
      <c r="I1765" s="221"/>
      <c r="J1765" s="221"/>
    </row>
    <row r="1766" spans="1:12" x14ac:dyDescent="0.25">
      <c r="A1766" s="460" t="s">
        <v>21</v>
      </c>
      <c r="B1766" s="461"/>
      <c r="C1766" s="465">
        <v>30</v>
      </c>
      <c r="D1766" s="467">
        <f>D1763-D1765</f>
        <v>30</v>
      </c>
      <c r="E1766" s="466"/>
      <c r="F1766" s="466"/>
      <c r="G1766" s="221"/>
      <c r="H1766" s="221"/>
      <c r="I1766" s="221"/>
      <c r="J1766" s="221"/>
    </row>
    <row r="1767" spans="1:12" x14ac:dyDescent="0.25">
      <c r="A1767" s="468" t="s">
        <v>22</v>
      </c>
      <c r="B1767" s="469"/>
      <c r="C1767" s="470">
        <v>2023</v>
      </c>
      <c r="D1767" s="471">
        <v>2024</v>
      </c>
      <c r="E1767" s="470">
        <v>2025</v>
      </c>
      <c r="F1767" s="470">
        <v>2026</v>
      </c>
      <c r="G1767" s="221"/>
      <c r="H1767" s="221"/>
      <c r="I1767" s="221"/>
      <c r="J1767" s="221"/>
    </row>
    <row r="1768" spans="1:12" x14ac:dyDescent="0.25">
      <c r="A1768" s="481" t="s">
        <v>708</v>
      </c>
      <c r="B1768" s="482"/>
      <c r="C1768" s="500"/>
      <c r="D1768" s="500"/>
      <c r="E1768" s="500"/>
      <c r="F1768" s="537"/>
      <c r="G1768" s="221"/>
      <c r="H1768" s="221"/>
      <c r="I1768" s="221"/>
      <c r="J1768" s="221"/>
    </row>
    <row r="1769" spans="1:12" ht="48.75" customHeight="1" x14ac:dyDescent="0.25">
      <c r="A1769" s="486" t="s">
        <v>899</v>
      </c>
      <c r="B1769" s="487"/>
      <c r="C1769" s="487"/>
      <c r="D1769" s="487"/>
      <c r="E1769" s="487"/>
      <c r="F1769" s="224"/>
      <c r="G1769" s="221"/>
      <c r="H1769" s="221"/>
      <c r="I1769" s="221"/>
      <c r="J1769" s="221"/>
    </row>
    <row r="1770" spans="1:12" x14ac:dyDescent="0.25">
      <c r="A1770" s="456"/>
      <c r="B1770" s="456"/>
      <c r="C1770" s="456"/>
      <c r="D1770" s="456"/>
      <c r="E1770" s="456"/>
      <c r="F1770" s="221"/>
      <c r="G1770" s="221"/>
      <c r="H1770" s="221"/>
      <c r="I1770" s="221"/>
      <c r="J1770" s="221"/>
    </row>
    <row r="1771" spans="1:12" x14ac:dyDescent="0.25">
      <c r="A1771" s="457" t="s">
        <v>14</v>
      </c>
      <c r="B1771" s="458" t="s">
        <v>655</v>
      </c>
      <c r="C1771" s="459" t="s">
        <v>15</v>
      </c>
      <c r="D1771" s="456"/>
      <c r="E1771" s="456"/>
      <c r="F1771" s="456"/>
      <c r="G1771" s="456"/>
      <c r="H1771" s="456"/>
      <c r="I1771" s="221"/>
      <c r="J1771" s="221"/>
    </row>
    <row r="1772" spans="1:12" x14ac:dyDescent="0.25">
      <c r="A1772" s="460" t="s">
        <v>16</v>
      </c>
      <c r="B1772" s="461"/>
      <c r="C1772" s="462">
        <v>2021</v>
      </c>
      <c r="D1772" s="463">
        <v>2022</v>
      </c>
      <c r="E1772" s="464">
        <v>2023</v>
      </c>
      <c r="F1772" s="464">
        <v>2024</v>
      </c>
      <c r="G1772" s="221"/>
      <c r="H1772" s="221"/>
      <c r="I1772" s="221"/>
      <c r="J1772" s="221"/>
    </row>
    <row r="1773" spans="1:12" x14ac:dyDescent="0.25">
      <c r="A1773" s="460" t="s">
        <v>17</v>
      </c>
      <c r="B1773" s="461"/>
      <c r="C1773" s="465">
        <v>48.4</v>
      </c>
      <c r="D1773" s="465">
        <v>48.4</v>
      </c>
      <c r="E1773" s="465">
        <v>63</v>
      </c>
      <c r="F1773" s="465">
        <v>63</v>
      </c>
      <c r="G1773" s="221"/>
      <c r="H1773" s="221"/>
      <c r="I1773" s="221"/>
      <c r="J1773" s="221"/>
    </row>
    <row r="1774" spans="1:12" x14ac:dyDescent="0.25">
      <c r="A1774" s="460" t="s">
        <v>18</v>
      </c>
      <c r="B1774" s="461"/>
      <c r="C1774" s="465"/>
      <c r="D1774" s="465">
        <f>D1773+0.05*C1773</f>
        <v>50.82</v>
      </c>
      <c r="E1774" s="466">
        <f>E1773+0.05*D1773</f>
        <v>65.42</v>
      </c>
      <c r="F1774" s="466"/>
      <c r="G1774" s="221"/>
      <c r="H1774" s="221"/>
      <c r="I1774" s="221"/>
      <c r="J1774" s="221"/>
    </row>
    <row r="1775" spans="1:12" x14ac:dyDescent="0.25">
      <c r="A1775" s="460" t="s">
        <v>19</v>
      </c>
      <c r="B1775" s="461"/>
      <c r="C1775" s="466"/>
      <c r="D1775" s="467" t="s">
        <v>900</v>
      </c>
      <c r="E1775" s="466" t="s">
        <v>901</v>
      </c>
      <c r="F1775" s="466" t="s">
        <v>902</v>
      </c>
      <c r="G1775" s="221"/>
      <c r="H1775" s="221"/>
      <c r="I1775" s="221"/>
      <c r="J1775" s="221"/>
    </row>
    <row r="1776" spans="1:12" x14ac:dyDescent="0.25">
      <c r="A1776" s="460" t="s">
        <v>20</v>
      </c>
      <c r="B1776" s="461"/>
      <c r="C1776" s="465">
        <v>2.92</v>
      </c>
      <c r="D1776" s="467">
        <v>4.609</v>
      </c>
      <c r="E1776" s="466"/>
      <c r="F1776" s="466"/>
      <c r="G1776" s="221"/>
      <c r="H1776" s="221"/>
      <c r="I1776" s="221"/>
      <c r="J1776" s="221"/>
    </row>
    <row r="1777" spans="1:10" x14ac:dyDescent="0.25">
      <c r="A1777" s="460" t="s">
        <v>21</v>
      </c>
      <c r="B1777" s="461"/>
      <c r="C1777" s="465">
        <f>C1773-C1776</f>
        <v>45.48</v>
      </c>
      <c r="D1777" s="465">
        <f>D1774-D1776</f>
        <v>46.210999999999999</v>
      </c>
      <c r="E1777" s="466"/>
      <c r="F1777" s="466"/>
      <c r="G1777" s="221"/>
      <c r="H1777" s="221"/>
      <c r="I1777" s="221"/>
      <c r="J1777" s="221"/>
    </row>
    <row r="1778" spans="1:10" x14ac:dyDescent="0.25">
      <c r="A1778" s="468" t="s">
        <v>22</v>
      </c>
      <c r="B1778" s="469"/>
      <c r="C1778" s="470">
        <v>2022</v>
      </c>
      <c r="D1778" s="471">
        <v>2023</v>
      </c>
      <c r="E1778" s="470"/>
      <c r="F1778" s="470"/>
      <c r="G1778" s="221"/>
      <c r="H1778" s="221"/>
      <c r="I1778" s="221"/>
      <c r="J1778" s="221"/>
    </row>
    <row r="1779" spans="1:10" x14ac:dyDescent="0.25">
      <c r="A1779" s="481" t="s">
        <v>709</v>
      </c>
      <c r="B1779" s="482"/>
      <c r="C1779" s="500"/>
      <c r="D1779" s="500"/>
      <c r="E1779" s="500"/>
      <c r="F1779" s="537"/>
      <c r="G1779" s="221"/>
      <c r="H1779" s="221"/>
      <c r="I1779" s="221"/>
      <c r="J1779" s="221"/>
    </row>
    <row r="1780" spans="1:10" x14ac:dyDescent="0.25">
      <c r="A1780" s="486" t="s">
        <v>903</v>
      </c>
      <c r="B1780" s="487"/>
      <c r="C1780" s="487"/>
      <c r="D1780" s="487"/>
      <c r="E1780" s="487"/>
      <c r="F1780" s="224"/>
      <c r="G1780" s="221"/>
      <c r="H1780" s="221"/>
      <c r="I1780" s="221"/>
      <c r="J1780" s="221"/>
    </row>
    <row r="1781" spans="1:10" x14ac:dyDescent="0.25">
      <c r="A1781" s="456"/>
      <c r="B1781" s="456"/>
      <c r="C1781" s="456"/>
      <c r="D1781" s="456"/>
      <c r="E1781" s="456"/>
      <c r="F1781" s="221"/>
      <c r="G1781" s="221"/>
      <c r="H1781" s="221"/>
      <c r="I1781" s="221"/>
      <c r="J1781" s="221"/>
    </row>
    <row r="1782" spans="1:10" x14ac:dyDescent="0.25">
      <c r="A1782" s="457" t="s">
        <v>14</v>
      </c>
      <c r="B1782" s="458" t="s">
        <v>658</v>
      </c>
      <c r="C1782" s="459" t="s">
        <v>15</v>
      </c>
      <c r="D1782" s="456"/>
      <c r="E1782" s="456"/>
      <c r="F1782" s="456"/>
      <c r="G1782" s="456"/>
      <c r="H1782" s="456"/>
      <c r="I1782" s="221"/>
      <c r="J1782" s="221"/>
    </row>
    <row r="1783" spans="1:10" x14ac:dyDescent="0.25">
      <c r="A1783" s="460" t="s">
        <v>16</v>
      </c>
      <c r="B1783" s="461"/>
      <c r="C1783" s="462">
        <v>2021</v>
      </c>
      <c r="D1783" s="463">
        <v>2022</v>
      </c>
      <c r="E1783" s="464">
        <v>2023</v>
      </c>
      <c r="F1783" s="464">
        <v>2024</v>
      </c>
      <c r="G1783" s="221"/>
      <c r="H1783" s="221"/>
      <c r="I1783" s="221"/>
      <c r="J1783" s="221"/>
    </row>
    <row r="1784" spans="1:10" x14ac:dyDescent="0.25">
      <c r="A1784" s="460" t="s">
        <v>17</v>
      </c>
      <c r="B1784" s="461"/>
      <c r="C1784" s="465">
        <v>5.31</v>
      </c>
      <c r="D1784" s="465">
        <v>6.18</v>
      </c>
      <c r="E1784" s="465">
        <v>6.18</v>
      </c>
      <c r="F1784" s="465">
        <v>6.18</v>
      </c>
      <c r="G1784" s="221"/>
      <c r="H1784" s="221"/>
      <c r="I1784" s="221"/>
      <c r="J1784" s="221"/>
    </row>
    <row r="1785" spans="1:10" x14ac:dyDescent="0.25">
      <c r="A1785" s="460" t="s">
        <v>18</v>
      </c>
      <c r="B1785" s="461"/>
      <c r="C1785" s="465">
        <v>10.62</v>
      </c>
      <c r="D1785" s="465">
        <f>D1784+C1784</f>
        <v>11.489999999999998</v>
      </c>
      <c r="E1785" s="466">
        <f>E1784+D1784</f>
        <v>12.36</v>
      </c>
      <c r="F1785" s="466"/>
      <c r="G1785" s="221"/>
      <c r="H1785" s="221"/>
      <c r="I1785" s="221"/>
      <c r="J1785" s="221"/>
    </row>
    <row r="1786" spans="1:10" x14ac:dyDescent="0.25">
      <c r="A1786" s="460" t="s">
        <v>19</v>
      </c>
      <c r="B1786" s="461"/>
      <c r="C1786" s="466"/>
      <c r="D1786" s="467" t="s">
        <v>904</v>
      </c>
      <c r="E1786" s="466" t="s">
        <v>905</v>
      </c>
      <c r="F1786" s="466" t="s">
        <v>906</v>
      </c>
      <c r="G1786" s="221"/>
      <c r="H1786" s="221"/>
      <c r="I1786" s="221"/>
      <c r="J1786" s="221"/>
    </row>
    <row r="1787" spans="1:10" x14ac:dyDescent="0.25">
      <c r="A1787" s="460" t="s">
        <v>20</v>
      </c>
      <c r="B1787" s="461"/>
      <c r="C1787" s="465">
        <v>0.71</v>
      </c>
      <c r="D1787" s="467">
        <v>0</v>
      </c>
      <c r="E1787" s="466"/>
      <c r="F1787" s="466"/>
      <c r="G1787" s="221"/>
      <c r="H1787" s="221"/>
      <c r="I1787" s="221"/>
      <c r="J1787" s="221"/>
    </row>
    <row r="1788" spans="1:10" x14ac:dyDescent="0.25">
      <c r="A1788" s="460" t="s">
        <v>21</v>
      </c>
      <c r="B1788" s="461"/>
      <c r="C1788" s="465">
        <f>C1785-C1787</f>
        <v>9.91</v>
      </c>
      <c r="D1788" s="465">
        <f>D1785-D1787</f>
        <v>11.489999999999998</v>
      </c>
      <c r="E1788" s="466"/>
      <c r="F1788" s="466"/>
      <c r="G1788" s="221"/>
      <c r="H1788" s="221"/>
      <c r="I1788" s="221"/>
      <c r="J1788" s="221"/>
    </row>
    <row r="1789" spans="1:10" x14ac:dyDescent="0.25">
      <c r="A1789" s="468" t="s">
        <v>22</v>
      </c>
      <c r="B1789" s="469"/>
      <c r="C1789" s="470">
        <v>2022</v>
      </c>
      <c r="D1789" s="471">
        <v>2023</v>
      </c>
      <c r="E1789" s="470">
        <v>2024</v>
      </c>
      <c r="F1789" s="470">
        <v>2025</v>
      </c>
      <c r="G1789" s="221"/>
      <c r="H1789" s="221"/>
      <c r="I1789" s="221"/>
      <c r="J1789" s="221"/>
    </row>
    <row r="1790" spans="1:10" x14ac:dyDescent="0.25">
      <c r="A1790" s="481" t="s">
        <v>710</v>
      </c>
      <c r="B1790" s="482"/>
      <c r="C1790" s="500"/>
      <c r="D1790" s="500"/>
      <c r="E1790" s="537"/>
      <c r="F1790" s="537"/>
      <c r="G1790" s="221"/>
      <c r="H1790" s="221"/>
      <c r="I1790" s="221"/>
      <c r="J1790" s="221"/>
    </row>
    <row r="1791" spans="1:10" x14ac:dyDescent="0.25">
      <c r="A1791" s="486" t="s">
        <v>907</v>
      </c>
      <c r="B1791" s="487"/>
      <c r="C1791" s="487"/>
      <c r="D1791" s="487"/>
      <c r="E1791" s="488"/>
      <c r="F1791" s="488"/>
      <c r="G1791" s="221"/>
      <c r="H1791" s="221"/>
      <c r="I1791" s="221"/>
      <c r="J1791" s="221"/>
    </row>
    <row r="1792" spans="1:10" x14ac:dyDescent="0.25">
      <c r="A1792" s="456"/>
      <c r="B1792" s="456"/>
      <c r="C1792" s="456"/>
      <c r="D1792" s="456"/>
      <c r="E1792" s="456"/>
      <c r="F1792" s="221"/>
      <c r="G1792" s="221"/>
      <c r="H1792" s="221"/>
      <c r="I1792" s="221"/>
      <c r="J1792" s="221"/>
    </row>
    <row r="1793" spans="1:53" x14ac:dyDescent="0.25">
      <c r="A1793" s="456"/>
      <c r="B1793" s="456"/>
      <c r="C1793" s="456"/>
      <c r="D1793" s="456"/>
      <c r="E1793" s="456"/>
      <c r="F1793" s="221"/>
      <c r="G1793" s="221"/>
      <c r="H1793" s="221"/>
      <c r="I1793" s="221"/>
      <c r="J1793" s="221"/>
      <c r="K1793" s="221"/>
      <c r="L1793" s="221"/>
      <c r="M1793" s="221"/>
      <c r="N1793" s="221"/>
      <c r="O1793" s="221"/>
      <c r="P1793" s="221"/>
      <c r="Q1793" s="221"/>
      <c r="R1793" s="221"/>
      <c r="S1793" s="221"/>
      <c r="T1793" s="221"/>
      <c r="U1793" s="221"/>
      <c r="V1793" s="221"/>
      <c r="W1793" s="221"/>
      <c r="X1793" s="221"/>
      <c r="Y1793" s="221"/>
      <c r="Z1793" s="221"/>
      <c r="AA1793" s="221"/>
      <c r="AB1793" s="221"/>
      <c r="AC1793" s="221"/>
      <c r="AD1793" s="221"/>
      <c r="AE1793" s="221"/>
      <c r="AF1793" s="221"/>
      <c r="AG1793" s="221"/>
      <c r="AH1793" s="221"/>
      <c r="AI1793" s="221"/>
      <c r="AJ1793" s="221"/>
      <c r="AK1793" s="221"/>
      <c r="AL1793" s="221"/>
      <c r="AM1793" s="221"/>
      <c r="AN1793" s="221"/>
      <c r="AO1793" s="221"/>
      <c r="AP1793" s="221"/>
      <c r="AQ1793" s="221"/>
      <c r="AR1793" s="221"/>
      <c r="AS1793" s="221"/>
      <c r="AT1793" s="221"/>
      <c r="AU1793" s="221"/>
      <c r="AV1793" s="221"/>
      <c r="AW1793" s="221"/>
      <c r="AX1793" s="221"/>
      <c r="AY1793" s="221"/>
      <c r="AZ1793" s="221"/>
      <c r="BA1793" s="221"/>
    </row>
    <row r="1794" spans="1:53" x14ac:dyDescent="0.25">
      <c r="A1794" s="556" t="s">
        <v>204</v>
      </c>
      <c r="B1794" s="550" t="s">
        <v>859</v>
      </c>
      <c r="C1794" s="221"/>
      <c r="D1794" s="221"/>
      <c r="E1794" s="221"/>
      <c r="F1794" s="221"/>
      <c r="G1794" s="221"/>
      <c r="H1794" s="221"/>
      <c r="I1794" s="221"/>
      <c r="J1794" s="221"/>
      <c r="K1794" s="221"/>
      <c r="L1794" s="221"/>
      <c r="M1794" s="221"/>
      <c r="N1794" s="221"/>
      <c r="O1794" s="221"/>
      <c r="P1794" s="221"/>
      <c r="Q1794" s="221"/>
      <c r="R1794" s="221"/>
      <c r="S1794" s="221"/>
      <c r="T1794" s="221"/>
      <c r="U1794" s="221"/>
      <c r="V1794" s="221"/>
      <c r="W1794" s="221"/>
      <c r="X1794" s="221"/>
      <c r="Y1794" s="221"/>
      <c r="Z1794" s="221"/>
      <c r="AA1794" s="221"/>
      <c r="AB1794" s="221"/>
      <c r="AC1794" s="221"/>
      <c r="AD1794" s="221"/>
      <c r="AE1794" s="221"/>
      <c r="AF1794" s="221"/>
      <c r="AG1794" s="221"/>
      <c r="AH1794" s="221"/>
      <c r="AI1794" s="221"/>
      <c r="AJ1794" s="221"/>
      <c r="AK1794" s="221"/>
      <c r="AL1794" s="221"/>
      <c r="AM1794" s="221"/>
      <c r="AN1794" s="221"/>
      <c r="AO1794" s="221"/>
      <c r="AP1794" s="221"/>
      <c r="AQ1794" s="221"/>
      <c r="AR1794" s="221"/>
      <c r="AS1794" s="221"/>
      <c r="AT1794" s="221"/>
      <c r="AU1794" s="221"/>
      <c r="AV1794" s="221"/>
      <c r="AW1794" s="221"/>
      <c r="AX1794" s="221"/>
      <c r="AY1794" s="221"/>
      <c r="AZ1794" s="221"/>
      <c r="BA1794" s="221"/>
    </row>
    <row r="1795" spans="1:53" x14ac:dyDescent="0.25">
      <c r="A1795" s="260" t="s">
        <v>203</v>
      </c>
      <c r="B1795" s="274" t="s">
        <v>651</v>
      </c>
      <c r="C1795" s="262" t="s">
        <v>15</v>
      </c>
      <c r="D1795" s="221"/>
      <c r="E1795" s="221"/>
      <c r="F1795" s="221"/>
      <c r="G1795" s="221"/>
      <c r="H1795" s="221"/>
      <c r="I1795" s="221"/>
      <c r="J1795" s="221"/>
      <c r="K1795" s="221"/>
      <c r="L1795" s="221"/>
      <c r="M1795" s="221"/>
      <c r="N1795" s="221"/>
      <c r="O1795" s="221"/>
      <c r="P1795" s="221"/>
      <c r="Q1795" s="221"/>
      <c r="R1795" s="221"/>
      <c r="S1795" s="221"/>
      <c r="T1795" s="221"/>
      <c r="U1795" s="221"/>
      <c r="V1795" s="221"/>
      <c r="W1795" s="221"/>
      <c r="X1795" s="221"/>
      <c r="Y1795" s="221"/>
      <c r="Z1795" s="221"/>
      <c r="AA1795" s="221"/>
      <c r="AB1795" s="221"/>
      <c r="AC1795" s="221"/>
      <c r="AD1795" s="221"/>
      <c r="AE1795" s="221"/>
      <c r="AF1795" s="221"/>
      <c r="AG1795" s="221"/>
      <c r="AH1795" s="221"/>
      <c r="AI1795" s="221"/>
      <c r="AJ1795" s="221"/>
      <c r="AK1795" s="221"/>
      <c r="AL1795" s="221"/>
      <c r="AM1795" s="221"/>
      <c r="AN1795" s="221"/>
      <c r="AO1795" s="221"/>
      <c r="AP1795" s="221"/>
      <c r="AQ1795" s="221"/>
      <c r="AR1795" s="221"/>
      <c r="AS1795" s="221"/>
      <c r="AT1795" s="221"/>
      <c r="AU1795" s="221"/>
      <c r="AV1795" s="221"/>
      <c r="AW1795" s="221"/>
      <c r="AX1795" s="221"/>
      <c r="AY1795" s="221"/>
      <c r="AZ1795" s="221"/>
      <c r="BA1795" s="221"/>
    </row>
    <row r="1796" spans="1:53" x14ac:dyDescent="0.25">
      <c r="A1796" s="226" t="s">
        <v>16</v>
      </c>
      <c r="B1796" s="226"/>
      <c r="C1796" s="226"/>
      <c r="D1796" s="212">
        <v>2022</v>
      </c>
      <c r="E1796" s="212">
        <v>2023</v>
      </c>
      <c r="F1796" s="349"/>
      <c r="G1796" s="221"/>
      <c r="H1796" s="221"/>
      <c r="I1796" s="221"/>
      <c r="J1796" s="221"/>
      <c r="K1796" s="221"/>
      <c r="L1796" s="221"/>
      <c r="M1796" s="221"/>
      <c r="N1796" s="221"/>
      <c r="O1796" s="221"/>
      <c r="P1796" s="221"/>
      <c r="Q1796" s="221"/>
      <c r="R1796" s="221"/>
      <c r="S1796" s="221"/>
      <c r="T1796" s="221"/>
      <c r="U1796" s="221"/>
      <c r="V1796" s="221"/>
      <c r="W1796" s="221"/>
      <c r="X1796" s="221"/>
      <c r="Y1796" s="221"/>
      <c r="Z1796" s="221"/>
      <c r="AA1796" s="221"/>
      <c r="AB1796" s="221"/>
      <c r="AC1796" s="221"/>
      <c r="AD1796" s="221"/>
      <c r="AE1796" s="221"/>
      <c r="AF1796" s="221"/>
      <c r="AG1796" s="221"/>
      <c r="AH1796" s="221"/>
      <c r="AI1796" s="221"/>
      <c r="AJ1796" s="221"/>
      <c r="AK1796" s="221"/>
      <c r="AL1796" s="221"/>
      <c r="AM1796" s="221"/>
      <c r="AN1796" s="221"/>
      <c r="AO1796" s="221"/>
      <c r="AP1796" s="221"/>
      <c r="AQ1796" s="221"/>
      <c r="AR1796" s="221"/>
      <c r="AS1796" s="221"/>
      <c r="AT1796" s="221"/>
      <c r="AU1796" s="221"/>
      <c r="AV1796" s="221"/>
      <c r="AW1796" s="221"/>
      <c r="AX1796" s="221"/>
      <c r="AY1796" s="221"/>
      <c r="AZ1796" s="221"/>
      <c r="BA1796" s="221"/>
    </row>
    <row r="1797" spans="1:53" x14ac:dyDescent="0.25">
      <c r="A1797" s="226" t="s">
        <v>17</v>
      </c>
      <c r="B1797" s="215"/>
      <c r="C1797" s="215"/>
      <c r="D1797" s="215">
        <v>440</v>
      </c>
      <c r="E1797" s="215">
        <v>530</v>
      </c>
      <c r="F1797" s="395"/>
      <c r="G1797" s="221"/>
      <c r="H1797" s="221"/>
      <c r="I1797" s="221"/>
      <c r="J1797" s="221"/>
      <c r="K1797" s="221"/>
      <c r="L1797" s="221"/>
      <c r="M1797" s="221"/>
      <c r="N1797" s="221"/>
      <c r="O1797" s="221"/>
      <c r="P1797" s="221"/>
      <c r="Q1797" s="221"/>
      <c r="R1797" s="221"/>
      <c r="S1797" s="221"/>
      <c r="T1797" s="221"/>
      <c r="U1797" s="221"/>
      <c r="V1797" s="221"/>
      <c r="W1797" s="221"/>
      <c r="X1797" s="221"/>
      <c r="Y1797" s="221"/>
      <c r="Z1797" s="221"/>
      <c r="AA1797" s="221"/>
      <c r="AB1797" s="221"/>
      <c r="AC1797" s="221"/>
      <c r="AD1797" s="221"/>
      <c r="AE1797" s="221"/>
      <c r="AF1797" s="221"/>
      <c r="AG1797" s="221"/>
      <c r="AH1797" s="221"/>
      <c r="AI1797" s="221"/>
      <c r="AJ1797" s="221"/>
      <c r="AK1797" s="221"/>
      <c r="AL1797" s="221"/>
      <c r="AM1797" s="221"/>
      <c r="AN1797" s="221"/>
      <c r="AO1797" s="221"/>
      <c r="AP1797" s="221"/>
      <c r="AQ1797" s="221"/>
      <c r="AR1797" s="221"/>
      <c r="AS1797" s="221"/>
      <c r="AT1797" s="221"/>
      <c r="AU1797" s="221"/>
      <c r="AV1797" s="221"/>
      <c r="AW1797" s="221"/>
      <c r="AX1797" s="221"/>
      <c r="AY1797" s="221"/>
      <c r="AZ1797" s="221"/>
      <c r="BA1797" s="221"/>
    </row>
    <row r="1798" spans="1:53" x14ac:dyDescent="0.25">
      <c r="A1798" s="226" t="s">
        <v>18</v>
      </c>
      <c r="B1798" s="215"/>
      <c r="C1798" s="215"/>
      <c r="D1798" s="45">
        <f>D1797+0.25*440-52.95</f>
        <v>497.05</v>
      </c>
      <c r="E1798" s="215">
        <f>E1797+0.25*440-100</f>
        <v>540</v>
      </c>
      <c r="F1798" s="395"/>
      <c r="G1798" s="221"/>
      <c r="H1798" s="221"/>
      <c r="I1798" s="221"/>
      <c r="J1798" s="221"/>
      <c r="K1798" s="221"/>
      <c r="L1798" s="221"/>
      <c r="M1798" s="221"/>
      <c r="N1798" s="221"/>
      <c r="O1798" s="221"/>
      <c r="P1798" s="221"/>
      <c r="Q1798" s="221"/>
      <c r="R1798" s="221"/>
      <c r="S1798" s="221"/>
      <c r="T1798" s="221"/>
      <c r="U1798" s="221"/>
      <c r="V1798" s="221"/>
      <c r="W1798" s="221"/>
      <c r="X1798" s="221"/>
      <c r="Y1798" s="221"/>
      <c r="Z1798" s="221"/>
      <c r="AA1798" s="221"/>
      <c r="AB1798" s="221"/>
      <c r="AC1798" s="221"/>
      <c r="AD1798" s="221"/>
      <c r="AE1798" s="221"/>
      <c r="AF1798" s="221"/>
      <c r="AG1798" s="221"/>
      <c r="AH1798" s="221"/>
      <c r="AI1798" s="221"/>
      <c r="AJ1798" s="221"/>
      <c r="AK1798" s="221"/>
      <c r="AL1798" s="221"/>
      <c r="AM1798" s="221"/>
      <c r="AN1798" s="221"/>
      <c r="AO1798" s="221"/>
      <c r="AP1798" s="221"/>
      <c r="AQ1798" s="221"/>
      <c r="AR1798" s="221"/>
      <c r="AS1798" s="221"/>
      <c r="AT1798" s="221"/>
      <c r="AU1798" s="221"/>
      <c r="AV1798" s="221"/>
      <c r="AW1798" s="221"/>
      <c r="AX1798" s="221"/>
      <c r="AY1798" s="221"/>
      <c r="AZ1798" s="221"/>
      <c r="BA1798" s="221"/>
    </row>
    <row r="1799" spans="1:53" x14ac:dyDescent="0.25">
      <c r="A1799" s="263" t="s">
        <v>19</v>
      </c>
      <c r="B1799" s="372"/>
      <c r="C1799" s="215"/>
      <c r="D1799" s="215"/>
      <c r="E1799" s="215"/>
      <c r="F1799" s="395"/>
      <c r="G1799" s="221"/>
      <c r="H1799" s="221"/>
      <c r="I1799" s="221"/>
      <c r="J1799" s="221"/>
      <c r="K1799" s="221"/>
      <c r="L1799" s="221"/>
      <c r="M1799" s="221"/>
      <c r="N1799" s="221"/>
      <c r="O1799" s="221"/>
      <c r="P1799" s="221"/>
      <c r="Q1799" s="221"/>
      <c r="R1799" s="221"/>
      <c r="S1799" s="221"/>
      <c r="T1799" s="221"/>
      <c r="U1799" s="221"/>
      <c r="V1799" s="221"/>
      <c r="W1799" s="221"/>
      <c r="X1799" s="221"/>
      <c r="Y1799" s="221"/>
      <c r="Z1799" s="221"/>
      <c r="AA1799" s="221"/>
      <c r="AB1799" s="221"/>
      <c r="AC1799" s="221"/>
      <c r="AD1799" s="221"/>
      <c r="AE1799" s="221"/>
      <c r="AF1799" s="221"/>
      <c r="AG1799" s="221"/>
      <c r="AH1799" s="221"/>
      <c r="AI1799" s="221"/>
      <c r="AJ1799" s="221"/>
      <c r="AK1799" s="221"/>
      <c r="AL1799" s="221"/>
      <c r="AM1799" s="221"/>
      <c r="AN1799" s="221"/>
      <c r="AO1799" s="221"/>
      <c r="AP1799" s="221"/>
      <c r="AQ1799" s="221"/>
      <c r="AR1799" s="221"/>
      <c r="AS1799" s="221"/>
      <c r="AT1799" s="221"/>
      <c r="AU1799" s="221"/>
      <c r="AV1799" s="221"/>
      <c r="AW1799" s="221"/>
      <c r="AX1799" s="221"/>
      <c r="AY1799" s="221"/>
      <c r="AZ1799" s="221"/>
      <c r="BA1799" s="221"/>
    </row>
    <row r="1800" spans="1:53" x14ac:dyDescent="0.25">
      <c r="A1800" s="263" t="s">
        <v>20</v>
      </c>
      <c r="B1800" s="215"/>
      <c r="C1800" s="215"/>
      <c r="D1800" s="215">
        <v>0</v>
      </c>
      <c r="E1800" s="215"/>
      <c r="F1800" s="395"/>
      <c r="G1800" s="221"/>
      <c r="H1800" s="221"/>
      <c r="I1800" s="221"/>
      <c r="J1800" s="221"/>
      <c r="K1800" s="221"/>
      <c r="L1800" s="221"/>
      <c r="M1800" s="221"/>
      <c r="N1800" s="221"/>
      <c r="O1800" s="221"/>
      <c r="P1800" s="221"/>
      <c r="Q1800" s="221"/>
      <c r="R1800" s="221"/>
      <c r="S1800" s="221"/>
      <c r="T1800" s="221"/>
      <c r="U1800" s="221"/>
      <c r="V1800" s="221"/>
      <c r="W1800" s="221"/>
      <c r="X1800" s="221"/>
      <c r="Y1800" s="221"/>
      <c r="Z1800" s="221"/>
      <c r="AA1800" s="221"/>
      <c r="AB1800" s="221"/>
      <c r="AC1800" s="221"/>
      <c r="AD1800" s="221"/>
      <c r="AE1800" s="221"/>
      <c r="AF1800" s="221"/>
      <c r="AG1800" s="221"/>
      <c r="AH1800" s="221"/>
      <c r="AI1800" s="221"/>
      <c r="AJ1800" s="221"/>
      <c r="AK1800" s="221"/>
      <c r="AL1800" s="221"/>
      <c r="AM1800" s="221"/>
      <c r="AN1800" s="221"/>
      <c r="AO1800" s="221"/>
      <c r="AP1800" s="221"/>
      <c r="AQ1800" s="221"/>
      <c r="AR1800" s="221"/>
      <c r="AS1800" s="221"/>
      <c r="AT1800" s="221"/>
      <c r="AU1800" s="221"/>
      <c r="AV1800" s="221"/>
      <c r="AW1800" s="221"/>
      <c r="AX1800" s="221"/>
      <c r="AY1800" s="221"/>
      <c r="AZ1800" s="221"/>
      <c r="BA1800" s="221"/>
    </row>
    <row r="1801" spans="1:53" x14ac:dyDescent="0.25">
      <c r="A1801" s="263" t="s">
        <v>21</v>
      </c>
      <c r="B1801" s="215"/>
      <c r="C1801" s="215"/>
      <c r="D1801" s="45">
        <f>D1798-D1800</f>
        <v>497.05</v>
      </c>
      <c r="E1801" s="215"/>
      <c r="F1801" s="395"/>
      <c r="G1801" s="221"/>
      <c r="H1801" s="221"/>
      <c r="I1801" s="221"/>
      <c r="J1801" s="221"/>
      <c r="K1801" s="221"/>
      <c r="L1801" s="221"/>
      <c r="M1801" s="221"/>
      <c r="N1801" s="221"/>
      <c r="O1801" s="221"/>
      <c r="P1801" s="221"/>
      <c r="Q1801" s="221"/>
      <c r="R1801" s="221"/>
      <c r="S1801" s="221"/>
      <c r="T1801" s="221"/>
      <c r="U1801" s="221"/>
      <c r="V1801" s="221"/>
      <c r="W1801" s="221"/>
      <c r="X1801" s="221"/>
      <c r="Y1801" s="221"/>
      <c r="Z1801" s="221"/>
      <c r="AA1801" s="221"/>
      <c r="AB1801" s="221"/>
      <c r="AC1801" s="221"/>
      <c r="AD1801" s="221"/>
      <c r="AE1801" s="221"/>
      <c r="AF1801" s="221"/>
      <c r="AG1801" s="221"/>
      <c r="AH1801" s="221"/>
      <c r="AI1801" s="221"/>
      <c r="AJ1801" s="221"/>
      <c r="AK1801" s="221"/>
      <c r="AL1801" s="221"/>
      <c r="AM1801" s="221"/>
      <c r="AN1801" s="221"/>
      <c r="AO1801" s="221"/>
      <c r="AP1801" s="221"/>
      <c r="AQ1801" s="221"/>
      <c r="AR1801" s="221"/>
      <c r="AS1801" s="221"/>
      <c r="AT1801" s="221"/>
      <c r="AU1801" s="221"/>
      <c r="AV1801" s="221"/>
      <c r="AW1801" s="221"/>
      <c r="AX1801" s="221"/>
      <c r="AY1801" s="221"/>
      <c r="AZ1801" s="221"/>
      <c r="BA1801" s="221"/>
    </row>
    <row r="1802" spans="1:53" x14ac:dyDescent="0.25">
      <c r="A1802" s="218" t="s">
        <v>22</v>
      </c>
      <c r="B1802" s="227"/>
      <c r="C1802" s="227"/>
      <c r="D1802" s="244">
        <v>2024</v>
      </c>
      <c r="E1802" s="244">
        <v>2025</v>
      </c>
      <c r="F1802" s="437"/>
      <c r="G1802" s="221"/>
      <c r="H1802" s="221"/>
      <c r="I1802" s="221"/>
      <c r="J1802" s="221"/>
      <c r="K1802" s="221"/>
      <c r="L1802" s="221"/>
      <c r="M1802" s="221"/>
      <c r="N1802" s="221"/>
      <c r="O1802" s="221"/>
      <c r="P1802" s="221"/>
      <c r="Q1802" s="221"/>
      <c r="R1802" s="221"/>
      <c r="S1802" s="221"/>
      <c r="T1802" s="221"/>
      <c r="U1802" s="221"/>
      <c r="V1802" s="221"/>
      <c r="W1802" s="221"/>
      <c r="X1802" s="221"/>
      <c r="Y1802" s="221"/>
      <c r="Z1802" s="221"/>
      <c r="AA1802" s="221"/>
      <c r="AB1802" s="221"/>
      <c r="AC1802" s="221"/>
      <c r="AD1802" s="221"/>
      <c r="AE1802" s="221"/>
      <c r="AF1802" s="221"/>
      <c r="AG1802" s="221"/>
      <c r="AH1802" s="221"/>
      <c r="AI1802" s="221"/>
      <c r="AJ1802" s="221"/>
      <c r="AK1802" s="221"/>
      <c r="AL1802" s="221"/>
      <c r="AM1802" s="221"/>
      <c r="AN1802" s="221"/>
      <c r="AO1802" s="221"/>
      <c r="AP1802" s="221"/>
      <c r="AQ1802" s="221"/>
      <c r="AR1802" s="221"/>
      <c r="AS1802" s="221"/>
      <c r="AT1802" s="221"/>
      <c r="AU1802" s="221"/>
      <c r="AV1802" s="221"/>
      <c r="AW1802" s="221"/>
      <c r="AX1802" s="221"/>
      <c r="AY1802" s="221"/>
      <c r="AZ1802" s="221"/>
      <c r="BA1802" s="221"/>
    </row>
    <row r="1803" spans="1:53" x14ac:dyDescent="0.25">
      <c r="A1803" s="218" t="s">
        <v>23</v>
      </c>
      <c r="B1803" s="219"/>
      <c r="C1803" s="219"/>
      <c r="D1803" s="280"/>
      <c r="E1803" s="245"/>
      <c r="F1803" s="437"/>
      <c r="G1803" s="221"/>
      <c r="H1803" s="221"/>
      <c r="I1803" s="221"/>
      <c r="J1803" s="221"/>
      <c r="K1803" s="221"/>
      <c r="L1803" s="221"/>
      <c r="M1803" s="221"/>
      <c r="N1803" s="221"/>
      <c r="O1803" s="221"/>
      <c r="P1803" s="221"/>
      <c r="Q1803" s="221"/>
      <c r="R1803" s="221"/>
      <c r="S1803" s="221"/>
      <c r="T1803" s="221"/>
      <c r="U1803" s="221"/>
      <c r="V1803" s="221"/>
      <c r="W1803" s="221"/>
      <c r="X1803" s="221"/>
      <c r="Y1803" s="221"/>
      <c r="Z1803" s="221"/>
      <c r="AA1803" s="221"/>
      <c r="AB1803" s="221"/>
      <c r="AC1803" s="221"/>
      <c r="AD1803" s="221"/>
      <c r="AE1803" s="221"/>
      <c r="AF1803" s="221"/>
      <c r="AG1803" s="221"/>
      <c r="AH1803" s="221"/>
      <c r="AI1803" s="221"/>
      <c r="AJ1803" s="221"/>
      <c r="AK1803" s="221"/>
      <c r="AL1803" s="221"/>
      <c r="AM1803" s="221"/>
      <c r="AN1803" s="221"/>
      <c r="AO1803" s="221"/>
      <c r="AP1803" s="221"/>
      <c r="AQ1803" s="221"/>
      <c r="AR1803" s="221"/>
      <c r="AS1803" s="221"/>
      <c r="AT1803" s="221"/>
      <c r="AU1803" s="221"/>
      <c r="AV1803" s="221"/>
      <c r="AW1803" s="221"/>
      <c r="AX1803" s="221"/>
      <c r="AY1803" s="221"/>
      <c r="AZ1803" s="221"/>
      <c r="BA1803" s="221"/>
    </row>
    <row r="1804" spans="1:53" x14ac:dyDescent="0.25">
      <c r="A1804" s="203" t="s">
        <v>966</v>
      </c>
      <c r="B1804" s="221"/>
      <c r="C1804" s="221"/>
      <c r="D1804" s="437"/>
      <c r="E1804" s="438"/>
      <c r="F1804" s="437"/>
      <c r="G1804" s="221"/>
      <c r="H1804" s="221"/>
      <c r="I1804" s="221"/>
      <c r="J1804" s="221"/>
      <c r="K1804" s="221"/>
      <c r="L1804" s="221"/>
      <c r="M1804" s="221"/>
      <c r="N1804" s="221"/>
      <c r="O1804" s="221"/>
      <c r="P1804" s="221"/>
      <c r="Q1804" s="221"/>
      <c r="R1804" s="221"/>
      <c r="S1804" s="221"/>
      <c r="T1804" s="221"/>
      <c r="U1804" s="221"/>
      <c r="V1804" s="221"/>
      <c r="W1804" s="221"/>
      <c r="X1804" s="221"/>
      <c r="Y1804" s="221"/>
      <c r="Z1804" s="221"/>
      <c r="AA1804" s="221"/>
      <c r="AB1804" s="221"/>
      <c r="AC1804" s="221"/>
      <c r="AD1804" s="221"/>
      <c r="AE1804" s="221"/>
      <c r="AF1804" s="221"/>
      <c r="AG1804" s="221"/>
      <c r="AH1804" s="221"/>
      <c r="AI1804" s="221"/>
      <c r="AJ1804" s="221"/>
      <c r="AK1804" s="221"/>
      <c r="AL1804" s="221"/>
      <c r="AM1804" s="221"/>
      <c r="AN1804" s="221"/>
      <c r="AO1804" s="221"/>
      <c r="AP1804" s="221"/>
      <c r="AQ1804" s="221"/>
      <c r="AR1804" s="221"/>
      <c r="AS1804" s="221"/>
      <c r="AT1804" s="221"/>
      <c r="AU1804" s="221"/>
      <c r="AV1804" s="221"/>
      <c r="AW1804" s="221"/>
      <c r="AX1804" s="221"/>
      <c r="AY1804" s="221"/>
      <c r="AZ1804" s="221"/>
      <c r="BA1804" s="221"/>
    </row>
    <row r="1805" spans="1:53" x14ac:dyDescent="0.25">
      <c r="A1805" s="211" t="s">
        <v>860</v>
      </c>
      <c r="B1805" s="223"/>
      <c r="C1805" s="223"/>
      <c r="D1805" s="223"/>
      <c r="E1805" s="224"/>
      <c r="F1805" s="221"/>
      <c r="G1805" s="221"/>
      <c r="H1805" s="221"/>
      <c r="I1805" s="221"/>
      <c r="J1805" s="221"/>
      <c r="K1805" s="221"/>
      <c r="L1805" s="221"/>
      <c r="M1805" s="221"/>
      <c r="N1805" s="221"/>
      <c r="O1805" s="221"/>
      <c r="P1805" s="221"/>
      <c r="Q1805" s="221"/>
      <c r="R1805" s="221"/>
      <c r="S1805" s="221"/>
      <c r="T1805" s="221"/>
      <c r="U1805" s="221"/>
      <c r="V1805" s="221"/>
      <c r="W1805" s="221"/>
      <c r="X1805" s="221"/>
      <c r="Y1805" s="221"/>
      <c r="Z1805" s="221"/>
      <c r="AA1805" s="221"/>
      <c r="AB1805" s="221"/>
      <c r="AC1805" s="221"/>
      <c r="AD1805" s="221"/>
      <c r="AE1805" s="221"/>
      <c r="AF1805" s="221"/>
      <c r="AG1805" s="221"/>
      <c r="AH1805" s="221"/>
      <c r="AI1805" s="221"/>
      <c r="AJ1805" s="221"/>
      <c r="AK1805" s="221"/>
      <c r="AL1805" s="221"/>
      <c r="AM1805" s="221"/>
      <c r="AN1805" s="221"/>
      <c r="AO1805" s="221"/>
      <c r="AP1805" s="221"/>
      <c r="AQ1805" s="221"/>
      <c r="AR1805" s="221"/>
      <c r="AS1805" s="221"/>
      <c r="AT1805" s="221"/>
      <c r="AU1805" s="221"/>
      <c r="AV1805" s="221"/>
      <c r="AW1805" s="221"/>
      <c r="AX1805" s="221"/>
      <c r="AY1805" s="221"/>
      <c r="AZ1805" s="221"/>
      <c r="BA1805" s="221"/>
    </row>
    <row r="1806" spans="1:53" x14ac:dyDescent="0.25">
      <c r="A1806" s="221"/>
      <c r="B1806" s="221"/>
      <c r="C1806" s="221"/>
      <c r="D1806" s="221"/>
      <c r="E1806" s="221"/>
      <c r="F1806" s="221"/>
      <c r="G1806" s="221"/>
      <c r="H1806" s="221"/>
      <c r="I1806" s="221"/>
      <c r="J1806" s="221"/>
      <c r="K1806" s="221"/>
      <c r="L1806" s="221"/>
      <c r="M1806" s="221"/>
      <c r="N1806" s="221"/>
      <c r="O1806" s="221"/>
      <c r="P1806" s="221"/>
      <c r="Q1806" s="221"/>
      <c r="R1806" s="221"/>
      <c r="S1806" s="221"/>
      <c r="T1806" s="221"/>
      <c r="U1806" s="221"/>
      <c r="V1806" s="221"/>
      <c r="W1806" s="221"/>
      <c r="X1806" s="221"/>
      <c r="Y1806" s="221"/>
      <c r="Z1806" s="221"/>
      <c r="AA1806" s="221"/>
      <c r="AB1806" s="221"/>
      <c r="AC1806" s="221"/>
      <c r="AD1806" s="221"/>
      <c r="AE1806" s="221"/>
      <c r="AF1806" s="221"/>
      <c r="AG1806" s="221"/>
      <c r="AH1806" s="221"/>
      <c r="AI1806" s="221"/>
      <c r="AJ1806" s="221"/>
      <c r="AK1806" s="221"/>
      <c r="AL1806" s="221"/>
      <c r="AM1806" s="221"/>
      <c r="AN1806" s="221"/>
      <c r="AO1806" s="221"/>
      <c r="AP1806" s="221"/>
      <c r="AQ1806" s="221"/>
      <c r="AR1806" s="221"/>
      <c r="AS1806" s="221"/>
      <c r="AT1806" s="221"/>
      <c r="AU1806" s="221"/>
      <c r="AV1806" s="221"/>
      <c r="AW1806" s="221"/>
      <c r="AX1806" s="221"/>
      <c r="AY1806" s="221"/>
      <c r="AZ1806" s="221"/>
      <c r="BA1806" s="221"/>
    </row>
    <row r="1807" spans="1:53" x14ac:dyDescent="0.25">
      <c r="A1807" s="221"/>
      <c r="B1807" s="221"/>
      <c r="C1807" s="221"/>
      <c r="D1807" s="221"/>
      <c r="E1807" s="221"/>
      <c r="F1807" s="221"/>
      <c r="G1807" s="221"/>
      <c r="H1807" s="221"/>
      <c r="I1807" s="221"/>
      <c r="J1807" s="221"/>
      <c r="K1807" s="221"/>
      <c r="L1807" s="221"/>
      <c r="M1807" s="221"/>
      <c r="N1807" s="221"/>
      <c r="O1807" s="221"/>
      <c r="P1807" s="221"/>
      <c r="Q1807" s="221"/>
      <c r="R1807" s="221"/>
      <c r="S1807" s="221"/>
      <c r="T1807" s="221"/>
      <c r="U1807" s="221"/>
      <c r="V1807" s="221"/>
      <c r="W1807" s="221"/>
      <c r="X1807" s="221"/>
      <c r="Y1807" s="221"/>
      <c r="Z1807" s="221"/>
      <c r="AA1807" s="221"/>
      <c r="AB1807" s="221"/>
      <c r="AC1807" s="221"/>
      <c r="AD1807" s="221"/>
      <c r="AE1807" s="221"/>
      <c r="AF1807" s="221"/>
      <c r="AG1807" s="221"/>
      <c r="AH1807" s="221"/>
      <c r="AI1807" s="221"/>
      <c r="AJ1807" s="221"/>
      <c r="AK1807" s="221"/>
      <c r="AL1807" s="221"/>
      <c r="AM1807" s="221"/>
      <c r="AN1807" s="221"/>
      <c r="AO1807" s="221"/>
      <c r="AP1807" s="221"/>
      <c r="AQ1807" s="221"/>
      <c r="AR1807" s="221"/>
      <c r="AS1807" s="221"/>
      <c r="AT1807" s="221"/>
      <c r="AU1807" s="221"/>
      <c r="AV1807" s="221"/>
      <c r="AW1807" s="221"/>
      <c r="AX1807" s="221"/>
      <c r="AY1807" s="221"/>
      <c r="AZ1807" s="221"/>
      <c r="BA1807" s="221"/>
    </row>
    <row r="1808" spans="1:53" x14ac:dyDescent="0.25">
      <c r="A1808" s="455" t="s">
        <v>12</v>
      </c>
      <c r="B1808" s="553" t="s">
        <v>114</v>
      </c>
      <c r="C1808" s="221"/>
      <c r="D1808" s="456"/>
      <c r="E1808" s="456"/>
      <c r="F1808" s="456"/>
      <c r="G1808" s="456"/>
      <c r="H1808" s="456"/>
      <c r="I1808" s="221"/>
      <c r="J1808" s="221"/>
      <c r="K1808" s="221"/>
      <c r="L1808" s="221"/>
      <c r="M1808" s="221"/>
      <c r="N1808" s="221"/>
      <c r="O1808" s="221"/>
      <c r="P1808" s="221"/>
      <c r="Q1808" s="221"/>
      <c r="R1808" s="221"/>
      <c r="S1808" s="221"/>
      <c r="T1808" s="221"/>
      <c r="U1808" s="221"/>
      <c r="V1808" s="221"/>
      <c r="W1808" s="221"/>
      <c r="X1808" s="221"/>
      <c r="Y1808" s="221"/>
      <c r="Z1808" s="221"/>
      <c r="AA1808" s="221"/>
      <c r="AB1808" s="221"/>
      <c r="AC1808" s="221"/>
      <c r="AD1808" s="221"/>
      <c r="AE1808" s="221"/>
      <c r="AF1808" s="221"/>
      <c r="AG1808" s="221"/>
      <c r="AH1808" s="221"/>
      <c r="AI1808" s="221"/>
      <c r="AJ1808" s="221"/>
      <c r="AK1808" s="221"/>
      <c r="AL1808" s="221"/>
      <c r="AM1808" s="221"/>
      <c r="AN1808" s="221"/>
      <c r="AO1808" s="221"/>
      <c r="AP1808" s="221"/>
      <c r="AQ1808" s="221"/>
      <c r="AR1808" s="221"/>
      <c r="AS1808" s="221"/>
      <c r="AT1808" s="221"/>
      <c r="AU1808" s="221"/>
      <c r="AV1808" s="221"/>
      <c r="AW1808" s="221"/>
      <c r="AX1808" s="221"/>
      <c r="AY1808" s="221"/>
      <c r="AZ1808" s="221"/>
      <c r="BA1808" s="221"/>
    </row>
    <row r="1809" spans="1:53" x14ac:dyDescent="0.25">
      <c r="A1809" s="457" t="s">
        <v>14</v>
      </c>
      <c r="B1809" s="458" t="s">
        <v>637</v>
      </c>
      <c r="C1809" s="459" t="s">
        <v>15</v>
      </c>
      <c r="D1809" s="456"/>
      <c r="E1809" s="456"/>
      <c r="F1809" s="456"/>
      <c r="G1809" s="456"/>
      <c r="H1809" s="456"/>
      <c r="I1809" s="221"/>
      <c r="J1809" s="221"/>
      <c r="K1809" s="221"/>
      <c r="L1809" s="221"/>
      <c r="M1809" s="221"/>
      <c r="N1809" s="221"/>
      <c r="O1809" s="221"/>
      <c r="P1809" s="221"/>
      <c r="Q1809" s="221"/>
      <c r="R1809" s="221"/>
      <c r="S1809" s="221"/>
      <c r="T1809" s="221"/>
      <c r="U1809" s="221"/>
      <c r="V1809" s="221"/>
      <c r="W1809" s="221"/>
      <c r="X1809" s="221"/>
      <c r="Y1809" s="221"/>
      <c r="Z1809" s="221"/>
      <c r="AA1809" s="221"/>
      <c r="AB1809" s="221"/>
      <c r="AC1809" s="221"/>
      <c r="AD1809" s="221"/>
      <c r="AE1809" s="221"/>
      <c r="AF1809" s="221"/>
      <c r="AG1809" s="221"/>
      <c r="AH1809" s="221"/>
      <c r="AI1809" s="221"/>
      <c r="AJ1809" s="221"/>
      <c r="AK1809" s="221"/>
      <c r="AL1809" s="221"/>
      <c r="AM1809" s="221"/>
      <c r="AN1809" s="221"/>
      <c r="AO1809" s="221"/>
      <c r="AP1809" s="221"/>
      <c r="AQ1809" s="221"/>
      <c r="AR1809" s="221"/>
      <c r="AS1809" s="221"/>
      <c r="AT1809" s="221"/>
      <c r="AU1809" s="221"/>
      <c r="AV1809" s="221"/>
      <c r="AW1809" s="221"/>
      <c r="AX1809" s="221"/>
      <c r="AY1809" s="221"/>
      <c r="AZ1809" s="221"/>
      <c r="BA1809" s="221"/>
    </row>
    <row r="1810" spans="1:53" x14ac:dyDescent="0.25">
      <c r="A1810" s="460" t="s">
        <v>16</v>
      </c>
      <c r="B1810" s="461"/>
      <c r="C1810" s="462">
        <v>2016</v>
      </c>
      <c r="D1810" s="463">
        <v>2017</v>
      </c>
      <c r="E1810" s="464">
        <v>2018</v>
      </c>
      <c r="F1810" s="476">
        <v>2019</v>
      </c>
      <c r="G1810" s="477">
        <v>2020</v>
      </c>
      <c r="H1810" s="477">
        <v>2021</v>
      </c>
      <c r="I1810" s="477">
        <v>2022</v>
      </c>
      <c r="J1810" s="477">
        <v>2023</v>
      </c>
      <c r="K1810" s="221"/>
      <c r="L1810" s="221"/>
      <c r="M1810" s="221"/>
      <c r="N1810" s="221"/>
      <c r="O1810" s="221"/>
      <c r="P1810" s="221"/>
      <c r="Q1810" s="221"/>
      <c r="R1810" s="221"/>
      <c r="S1810" s="221"/>
      <c r="T1810" s="221"/>
      <c r="U1810" s="221"/>
      <c r="V1810" s="221"/>
      <c r="W1810" s="221"/>
      <c r="X1810" s="221"/>
      <c r="Y1810" s="221"/>
      <c r="Z1810" s="221"/>
      <c r="AA1810" s="221"/>
      <c r="AB1810" s="221"/>
      <c r="AC1810" s="221"/>
      <c r="AD1810" s="221"/>
      <c r="AE1810" s="221"/>
      <c r="AF1810" s="221"/>
      <c r="AG1810" s="221"/>
      <c r="AH1810" s="221"/>
      <c r="AI1810" s="221"/>
      <c r="AJ1810" s="221"/>
      <c r="AK1810" s="221"/>
      <c r="AL1810" s="221"/>
      <c r="AM1810" s="221"/>
      <c r="AN1810" s="221"/>
      <c r="AO1810" s="221"/>
      <c r="AP1810" s="221"/>
      <c r="AQ1810" s="221"/>
      <c r="AR1810" s="221"/>
      <c r="AS1810" s="221"/>
      <c r="AT1810" s="221"/>
      <c r="AU1810" s="221"/>
      <c r="AV1810" s="221"/>
      <c r="AW1810" s="221"/>
      <c r="AX1810" s="221"/>
      <c r="AY1810" s="221"/>
      <c r="AZ1810" s="221"/>
      <c r="BA1810" s="221"/>
    </row>
    <row r="1811" spans="1:53" x14ac:dyDescent="0.25">
      <c r="A1811" s="460" t="s">
        <v>17</v>
      </c>
      <c r="B1811" s="461"/>
      <c r="C1811" s="465">
        <v>527</v>
      </c>
      <c r="D1811" s="465">
        <v>527</v>
      </c>
      <c r="E1811" s="466">
        <v>632.4</v>
      </c>
      <c r="F1811" s="478">
        <v>632.4</v>
      </c>
      <c r="G1811" s="241">
        <v>632.4</v>
      </c>
      <c r="H1811" s="241">
        <v>711.5</v>
      </c>
      <c r="I1811" s="241">
        <v>711.5</v>
      </c>
      <c r="J1811" s="241">
        <v>711.5</v>
      </c>
      <c r="K1811" s="221"/>
      <c r="L1811" s="221"/>
      <c r="M1811" s="221"/>
      <c r="N1811" s="221"/>
      <c r="O1811" s="221"/>
      <c r="P1811" s="221"/>
      <c r="Q1811" s="221"/>
      <c r="R1811" s="221"/>
      <c r="S1811" s="221"/>
      <c r="T1811" s="221"/>
      <c r="U1811" s="221"/>
      <c r="V1811" s="221"/>
      <c r="W1811" s="221"/>
      <c r="X1811" s="221"/>
      <c r="Y1811" s="221"/>
      <c r="Z1811" s="221"/>
      <c r="AA1811" s="221"/>
      <c r="AB1811" s="221"/>
      <c r="AC1811" s="221"/>
      <c r="AD1811" s="221"/>
      <c r="AE1811" s="221"/>
      <c r="AF1811" s="221"/>
      <c r="AG1811" s="221"/>
      <c r="AH1811" s="221"/>
      <c r="AI1811" s="221"/>
      <c r="AJ1811" s="221"/>
      <c r="AK1811" s="221"/>
      <c r="AL1811" s="221"/>
      <c r="AM1811" s="221"/>
      <c r="AN1811" s="221"/>
      <c r="AO1811" s="221"/>
      <c r="AP1811" s="221"/>
      <c r="AQ1811" s="221"/>
      <c r="AR1811" s="221"/>
      <c r="AS1811" s="221"/>
      <c r="AT1811" s="221"/>
      <c r="AU1811" s="221"/>
      <c r="AV1811" s="221"/>
      <c r="AW1811" s="221"/>
      <c r="AX1811" s="221"/>
      <c r="AY1811" s="221"/>
      <c r="AZ1811" s="221"/>
      <c r="BA1811" s="221"/>
    </row>
    <row r="1812" spans="1:53" x14ac:dyDescent="0.25">
      <c r="A1812" s="460" t="s">
        <v>18</v>
      </c>
      <c r="B1812" s="461"/>
      <c r="C1812" s="465">
        <v>658.75</v>
      </c>
      <c r="D1812" s="465">
        <v>658.75</v>
      </c>
      <c r="E1812" s="466">
        <v>764.15</v>
      </c>
      <c r="F1812" s="478">
        <v>790.5</v>
      </c>
      <c r="G1812" s="241">
        <v>790.5</v>
      </c>
      <c r="H1812" s="241">
        <f>H1811+0.25*G1811</f>
        <v>869.6</v>
      </c>
      <c r="I1812" s="241">
        <f>I1811+0.25*H1811</f>
        <v>889.375</v>
      </c>
      <c r="J1812" s="241">
        <f>J1811+0.25*I1811</f>
        <v>889.375</v>
      </c>
      <c r="K1812" s="221"/>
      <c r="L1812" s="221"/>
      <c r="M1812" s="221"/>
      <c r="N1812" s="221"/>
      <c r="O1812" s="221"/>
      <c r="P1812" s="221"/>
      <c r="Q1812" s="221"/>
      <c r="R1812" s="221"/>
      <c r="S1812" s="221"/>
      <c r="T1812" s="221"/>
      <c r="U1812" s="221"/>
      <c r="V1812" s="221"/>
      <c r="W1812" s="221"/>
      <c r="X1812" s="221"/>
      <c r="Y1812" s="221"/>
      <c r="Z1812" s="221"/>
      <c r="AA1812" s="221"/>
      <c r="AB1812" s="221"/>
      <c r="AC1812" s="221"/>
      <c r="AD1812" s="221"/>
      <c r="AE1812" s="221"/>
      <c r="AF1812" s="221"/>
      <c r="AG1812" s="221"/>
      <c r="AH1812" s="221"/>
      <c r="AI1812" s="221"/>
      <c r="AJ1812" s="221"/>
      <c r="AK1812" s="221"/>
      <c r="AL1812" s="221"/>
      <c r="AM1812" s="221"/>
      <c r="AN1812" s="221"/>
      <c r="AO1812" s="221"/>
      <c r="AP1812" s="221"/>
      <c r="AQ1812" s="221"/>
      <c r="AR1812" s="221"/>
      <c r="AS1812" s="221"/>
      <c r="AT1812" s="221"/>
      <c r="AU1812" s="221"/>
      <c r="AV1812" s="221"/>
      <c r="AW1812" s="221"/>
      <c r="AX1812" s="221"/>
      <c r="AY1812" s="221"/>
      <c r="AZ1812" s="221"/>
      <c r="BA1812" s="221"/>
    </row>
    <row r="1813" spans="1:53" x14ac:dyDescent="0.25">
      <c r="A1813" s="460" t="s">
        <v>19</v>
      </c>
      <c r="B1813" s="461"/>
      <c r="C1813" s="466"/>
      <c r="D1813" s="467"/>
      <c r="E1813" s="466"/>
      <c r="F1813" s="478"/>
      <c r="G1813" s="241"/>
      <c r="H1813" s="241"/>
      <c r="I1813" s="241"/>
      <c r="J1813" s="241"/>
      <c r="K1813" s="221"/>
      <c r="L1813" s="221"/>
      <c r="M1813" s="221"/>
      <c r="N1813" s="221"/>
      <c r="O1813" s="221"/>
      <c r="P1813" s="221"/>
      <c r="Q1813" s="221"/>
      <c r="R1813" s="221"/>
      <c r="S1813" s="221"/>
      <c r="T1813" s="221"/>
      <c r="U1813" s="221"/>
      <c r="V1813" s="221"/>
      <c r="W1813" s="221"/>
      <c r="X1813" s="221"/>
      <c r="Y1813" s="221"/>
      <c r="Z1813" s="221"/>
      <c r="AA1813" s="221"/>
      <c r="AB1813" s="221"/>
      <c r="AC1813" s="221"/>
      <c r="AD1813" s="221"/>
      <c r="AE1813" s="221"/>
      <c r="AF1813" s="221"/>
      <c r="AG1813" s="221"/>
      <c r="AH1813" s="221"/>
      <c r="AI1813" s="221"/>
      <c r="AJ1813" s="221"/>
      <c r="AK1813" s="221"/>
      <c r="AL1813" s="221"/>
      <c r="AM1813" s="221"/>
      <c r="AN1813" s="221"/>
      <c r="AO1813" s="221"/>
      <c r="AP1813" s="221"/>
      <c r="AQ1813" s="221"/>
      <c r="AR1813" s="221"/>
      <c r="AS1813" s="221"/>
      <c r="AT1813" s="221"/>
      <c r="AU1813" s="221"/>
      <c r="AV1813" s="221"/>
      <c r="AW1813" s="221"/>
      <c r="AX1813" s="221"/>
      <c r="AY1813" s="221"/>
      <c r="AZ1813" s="221"/>
      <c r="BA1813" s="221"/>
    </row>
    <row r="1814" spans="1:53" x14ac:dyDescent="0.25">
      <c r="A1814" s="460" t="s">
        <v>20</v>
      </c>
      <c r="B1814" s="461"/>
      <c r="C1814" s="465">
        <v>250.22</v>
      </c>
      <c r="D1814" s="467">
        <v>238.35</v>
      </c>
      <c r="E1814" s="466">
        <v>102.57</v>
      </c>
      <c r="F1814" s="478">
        <v>221.13</v>
      </c>
      <c r="G1814" s="241">
        <v>328.36</v>
      </c>
      <c r="H1814" s="241">
        <v>295.93</v>
      </c>
      <c r="I1814" s="241">
        <v>310.56</v>
      </c>
      <c r="J1814" s="241"/>
      <c r="K1814" s="221"/>
      <c r="L1814" s="221"/>
      <c r="M1814" s="221"/>
      <c r="N1814" s="221"/>
      <c r="O1814" s="221"/>
      <c r="P1814" s="221"/>
      <c r="Q1814" s="221"/>
      <c r="R1814" s="221"/>
      <c r="S1814" s="221"/>
      <c r="T1814" s="221"/>
      <c r="U1814" s="221"/>
      <c r="V1814" s="221"/>
      <c r="W1814" s="221"/>
      <c r="X1814" s="221"/>
      <c r="Y1814" s="221"/>
      <c r="Z1814" s="221"/>
      <c r="AA1814" s="221"/>
      <c r="AB1814" s="221"/>
      <c r="AC1814" s="221"/>
      <c r="AD1814" s="221"/>
      <c r="AE1814" s="221"/>
      <c r="AF1814" s="221"/>
      <c r="AG1814" s="221"/>
      <c r="AH1814" s="221"/>
      <c r="AI1814" s="221"/>
      <c r="AJ1814" s="221"/>
      <c r="AK1814" s="221"/>
      <c r="AL1814" s="221"/>
      <c r="AM1814" s="221"/>
      <c r="AN1814" s="221"/>
      <c r="AO1814" s="221"/>
      <c r="AP1814" s="221"/>
      <c r="AQ1814" s="221"/>
      <c r="AR1814" s="221"/>
      <c r="AS1814" s="221"/>
      <c r="AT1814" s="221"/>
      <c r="AU1814" s="221"/>
      <c r="AV1814" s="221"/>
      <c r="AW1814" s="221"/>
      <c r="AX1814" s="221"/>
      <c r="AY1814" s="221"/>
      <c r="AZ1814" s="221"/>
      <c r="BA1814" s="221"/>
    </row>
    <row r="1815" spans="1:53" x14ac:dyDescent="0.25">
      <c r="A1815" s="460" t="s">
        <v>21</v>
      </c>
      <c r="B1815" s="461"/>
      <c r="C1815" s="465">
        <v>408.53</v>
      </c>
      <c r="D1815" s="467">
        <v>420.4</v>
      </c>
      <c r="E1815" s="466">
        <f>E1812-E1814</f>
        <v>661.57999999999993</v>
      </c>
      <c r="F1815" s="478">
        <f>F1812-F1814</f>
        <v>569.37</v>
      </c>
      <c r="G1815" s="241">
        <f>G1812-G1814</f>
        <v>462.14</v>
      </c>
      <c r="H1815" s="241">
        <f>H1812-H1814</f>
        <v>573.67000000000007</v>
      </c>
      <c r="I1815" s="241">
        <f>I1812-I1814</f>
        <v>578.81500000000005</v>
      </c>
      <c r="J1815" s="241"/>
      <c r="K1815" s="221"/>
      <c r="L1815" s="221"/>
      <c r="M1815" s="221"/>
      <c r="N1815" s="221"/>
      <c r="O1815" s="221"/>
      <c r="P1815" s="221"/>
      <c r="Q1815" s="221"/>
      <c r="R1815" s="221"/>
      <c r="S1815" s="221"/>
      <c r="T1815" s="221"/>
      <c r="U1815" s="221"/>
      <c r="V1815" s="221"/>
      <c r="W1815" s="221"/>
      <c r="X1815" s="221"/>
      <c r="Y1815" s="221"/>
      <c r="Z1815" s="221"/>
      <c r="AA1815" s="221"/>
      <c r="AB1815" s="221"/>
      <c r="AC1815" s="221"/>
      <c r="AD1815" s="221"/>
      <c r="AE1815" s="221"/>
      <c r="AF1815" s="221"/>
      <c r="AG1815" s="221"/>
      <c r="AH1815" s="221"/>
      <c r="AI1815" s="221"/>
      <c r="AJ1815" s="221"/>
      <c r="AK1815" s="221"/>
      <c r="AL1815" s="221"/>
      <c r="AM1815" s="221"/>
      <c r="AN1815" s="221"/>
      <c r="AO1815" s="221"/>
      <c r="AP1815" s="221"/>
      <c r="AQ1815" s="221"/>
      <c r="AR1815" s="221"/>
      <c r="AS1815" s="221"/>
      <c r="AT1815" s="221"/>
      <c r="AU1815" s="221"/>
      <c r="AV1815" s="221"/>
      <c r="AW1815" s="221"/>
      <c r="AX1815" s="221"/>
      <c r="AY1815" s="221"/>
      <c r="AZ1815" s="221"/>
      <c r="BA1815" s="221"/>
    </row>
    <row r="1816" spans="1:53" x14ac:dyDescent="0.25">
      <c r="A1816" s="468" t="s">
        <v>22</v>
      </c>
      <c r="B1816" s="469"/>
      <c r="C1816" s="470">
        <v>2017</v>
      </c>
      <c r="D1816" s="471">
        <v>2018</v>
      </c>
      <c r="E1816" s="470">
        <v>2019</v>
      </c>
      <c r="F1816" s="479">
        <v>2020</v>
      </c>
      <c r="G1816" s="480">
        <v>2021</v>
      </c>
      <c r="H1816" s="480">
        <v>2022</v>
      </c>
      <c r="I1816" s="480">
        <v>2023</v>
      </c>
      <c r="J1816" s="480">
        <v>2024</v>
      </c>
      <c r="K1816" s="221"/>
      <c r="L1816" s="221"/>
      <c r="M1816" s="221"/>
      <c r="N1816" s="221"/>
      <c r="O1816" s="221"/>
      <c r="P1816" s="221"/>
      <c r="Q1816" s="221"/>
      <c r="R1816" s="221"/>
      <c r="S1816" s="221"/>
      <c r="T1816" s="221"/>
      <c r="U1816" s="221"/>
      <c r="V1816" s="221"/>
      <c r="W1816" s="221"/>
      <c r="X1816" s="221"/>
      <c r="Y1816" s="221"/>
      <c r="Z1816" s="221"/>
      <c r="AA1816" s="221"/>
      <c r="AB1816" s="221"/>
      <c r="AC1816" s="221"/>
      <c r="AD1816" s="221"/>
      <c r="AE1816" s="221"/>
      <c r="AF1816" s="221"/>
      <c r="AG1816" s="221"/>
      <c r="AH1816" s="221"/>
      <c r="AI1816" s="221"/>
      <c r="AJ1816" s="221"/>
      <c r="AK1816" s="221"/>
      <c r="AL1816" s="221"/>
      <c r="AM1816" s="221"/>
      <c r="AN1816" s="221"/>
      <c r="AO1816" s="221"/>
      <c r="AP1816" s="221"/>
      <c r="AQ1816" s="221"/>
      <c r="AR1816" s="221"/>
      <c r="AS1816" s="221"/>
      <c r="AT1816" s="221"/>
      <c r="AU1816" s="221"/>
      <c r="AV1816" s="221"/>
      <c r="AW1816" s="221"/>
      <c r="AX1816" s="221"/>
      <c r="AY1816" s="221"/>
      <c r="AZ1816" s="221"/>
      <c r="BA1816" s="221"/>
    </row>
    <row r="1817" spans="1:53" x14ac:dyDescent="0.25">
      <c r="A1817" s="481" t="s">
        <v>115</v>
      </c>
      <c r="B1817" s="482"/>
      <c r="C1817" s="482"/>
      <c r="D1817" s="482"/>
      <c r="E1817" s="482"/>
      <c r="F1817" s="482"/>
      <c r="G1817" s="482"/>
      <c r="H1817" s="482"/>
      <c r="I1817" s="482"/>
      <c r="J1817" s="483"/>
      <c r="K1817" s="221"/>
      <c r="L1817" s="221"/>
      <c r="M1817" s="221"/>
      <c r="N1817" s="221"/>
      <c r="O1817" s="221"/>
      <c r="P1817" s="221"/>
      <c r="Q1817" s="221"/>
      <c r="R1817" s="221"/>
      <c r="S1817" s="221"/>
      <c r="T1817" s="221"/>
      <c r="U1817" s="221"/>
      <c r="V1817" s="221"/>
      <c r="W1817" s="221"/>
      <c r="X1817" s="221"/>
      <c r="Y1817" s="221"/>
      <c r="Z1817" s="221"/>
      <c r="AA1817" s="221"/>
      <c r="AB1817" s="221"/>
      <c r="AC1817" s="221"/>
      <c r="AD1817" s="221"/>
      <c r="AE1817" s="221"/>
      <c r="AF1817" s="221"/>
      <c r="AG1817" s="221"/>
      <c r="AH1817" s="221"/>
      <c r="AI1817" s="221"/>
      <c r="AJ1817" s="221"/>
      <c r="AK1817" s="221"/>
      <c r="AL1817" s="221"/>
      <c r="AM1817" s="221"/>
      <c r="AN1817" s="221"/>
      <c r="AO1817" s="221"/>
      <c r="AP1817" s="221"/>
      <c r="AQ1817" s="221"/>
      <c r="AR1817" s="221"/>
      <c r="AS1817" s="221"/>
      <c r="AT1817" s="221"/>
      <c r="AU1817" s="221"/>
      <c r="AV1817" s="221"/>
      <c r="AW1817" s="221"/>
      <c r="AX1817" s="221"/>
      <c r="AY1817" s="221"/>
      <c r="AZ1817" s="221"/>
      <c r="BA1817" s="221"/>
    </row>
    <row r="1818" spans="1:53" x14ac:dyDescent="0.25">
      <c r="A1818" s="484" t="s">
        <v>116</v>
      </c>
      <c r="B1818" s="456"/>
      <c r="C1818" s="456"/>
      <c r="D1818" s="456"/>
      <c r="E1818" s="456"/>
      <c r="F1818" s="456"/>
      <c r="G1818" s="456"/>
      <c r="H1818" s="456"/>
      <c r="I1818" s="456"/>
      <c r="J1818" s="485"/>
      <c r="K1818" s="221"/>
      <c r="L1818" s="221"/>
      <c r="M1818" s="221"/>
      <c r="N1818" s="221"/>
      <c r="O1818" s="221"/>
      <c r="P1818" s="221"/>
      <c r="Q1818" s="221"/>
      <c r="R1818" s="221"/>
      <c r="S1818" s="221"/>
      <c r="T1818" s="221"/>
      <c r="U1818" s="221"/>
      <c r="V1818" s="221"/>
      <c r="W1818" s="221"/>
      <c r="X1818" s="221"/>
      <c r="Y1818" s="221"/>
      <c r="Z1818" s="221"/>
      <c r="AA1818" s="221"/>
      <c r="AB1818" s="221"/>
      <c r="AC1818" s="221"/>
      <c r="AD1818" s="221"/>
      <c r="AE1818" s="221"/>
      <c r="AF1818" s="221"/>
      <c r="AG1818" s="221"/>
      <c r="AH1818" s="221"/>
      <c r="AI1818" s="221"/>
      <c r="AJ1818" s="221"/>
      <c r="AK1818" s="221"/>
      <c r="AL1818" s="221"/>
      <c r="AM1818" s="221"/>
      <c r="AN1818" s="221"/>
      <c r="AO1818" s="221"/>
      <c r="AP1818" s="221"/>
      <c r="AQ1818" s="221"/>
      <c r="AR1818" s="221"/>
      <c r="AS1818" s="221"/>
      <c r="AT1818" s="221"/>
      <c r="AU1818" s="221"/>
      <c r="AV1818" s="221"/>
      <c r="AW1818" s="221"/>
      <c r="AX1818" s="221"/>
      <c r="AY1818" s="221"/>
      <c r="AZ1818" s="221"/>
      <c r="BA1818" s="221"/>
    </row>
    <row r="1819" spans="1:53" x14ac:dyDescent="0.25">
      <c r="A1819" s="484" t="s">
        <v>117</v>
      </c>
      <c r="B1819" s="456"/>
      <c r="C1819" s="456"/>
      <c r="D1819" s="456"/>
      <c r="E1819" s="456"/>
      <c r="F1819" s="456"/>
      <c r="G1819" s="456"/>
      <c r="H1819" s="456"/>
      <c r="I1819" s="456"/>
      <c r="J1819" s="485"/>
      <c r="K1819" s="221"/>
      <c r="L1819" s="221"/>
      <c r="M1819" s="221"/>
      <c r="N1819" s="221"/>
      <c r="O1819" s="221"/>
      <c r="P1819" s="221"/>
      <c r="Q1819" s="221"/>
      <c r="R1819" s="221"/>
      <c r="S1819" s="221"/>
      <c r="T1819" s="221"/>
      <c r="U1819" s="221"/>
      <c r="V1819" s="221"/>
      <c r="W1819" s="221"/>
      <c r="X1819" s="221"/>
      <c r="Y1819" s="221"/>
      <c r="Z1819" s="221"/>
      <c r="AA1819" s="221"/>
      <c r="AB1819" s="221"/>
      <c r="AC1819" s="221"/>
      <c r="AD1819" s="221"/>
      <c r="AE1819" s="221"/>
      <c r="AF1819" s="221"/>
      <c r="AG1819" s="221"/>
      <c r="AH1819" s="221"/>
      <c r="AI1819" s="221"/>
      <c r="AJ1819" s="221"/>
      <c r="AK1819" s="221"/>
      <c r="AL1819" s="221"/>
      <c r="AM1819" s="221"/>
      <c r="AN1819" s="221"/>
      <c r="AO1819" s="221"/>
      <c r="AP1819" s="221"/>
      <c r="AQ1819" s="221"/>
      <c r="AR1819" s="221"/>
      <c r="AS1819" s="221"/>
      <c r="AT1819" s="221"/>
      <c r="AU1819" s="221"/>
      <c r="AV1819" s="221"/>
      <c r="AW1819" s="221"/>
      <c r="AX1819" s="221"/>
      <c r="AY1819" s="221"/>
      <c r="AZ1819" s="221"/>
      <c r="BA1819" s="221"/>
    </row>
    <row r="1820" spans="1:53" x14ac:dyDescent="0.25">
      <c r="A1820" s="484" t="s">
        <v>118</v>
      </c>
      <c r="B1820" s="456"/>
      <c r="C1820" s="456"/>
      <c r="D1820" s="456"/>
      <c r="E1820" s="456"/>
      <c r="F1820" s="456"/>
      <c r="G1820" s="456"/>
      <c r="H1820" s="456"/>
      <c r="I1820" s="456"/>
      <c r="J1820" s="485"/>
      <c r="K1820" s="221"/>
      <c r="L1820" s="221"/>
      <c r="M1820" s="221"/>
      <c r="N1820" s="221"/>
      <c r="O1820" s="221"/>
      <c r="P1820" s="221"/>
      <c r="Q1820" s="221"/>
      <c r="R1820" s="221"/>
      <c r="S1820" s="221"/>
      <c r="T1820" s="221"/>
      <c r="U1820" s="221"/>
      <c r="V1820" s="221"/>
      <c r="W1820" s="221"/>
      <c r="X1820" s="221"/>
      <c r="Y1820" s="221"/>
      <c r="Z1820" s="221"/>
      <c r="AA1820" s="221"/>
      <c r="AB1820" s="221"/>
      <c r="AC1820" s="221"/>
      <c r="AD1820" s="221"/>
      <c r="AE1820" s="221"/>
      <c r="AF1820" s="221"/>
      <c r="AG1820" s="221"/>
      <c r="AH1820" s="221"/>
      <c r="AI1820" s="221"/>
      <c r="AJ1820" s="221"/>
      <c r="AK1820" s="221"/>
      <c r="AL1820" s="221"/>
      <c r="AM1820" s="221"/>
      <c r="AN1820" s="221"/>
      <c r="AO1820" s="221"/>
      <c r="AP1820" s="221"/>
      <c r="AQ1820" s="221"/>
      <c r="AR1820" s="221"/>
      <c r="AS1820" s="221"/>
      <c r="AT1820" s="221"/>
      <c r="AU1820" s="221"/>
      <c r="AV1820" s="221"/>
      <c r="AW1820" s="221"/>
      <c r="AX1820" s="221"/>
      <c r="AY1820" s="221"/>
      <c r="AZ1820" s="221"/>
      <c r="BA1820" s="221"/>
    </row>
    <row r="1821" spans="1:53" x14ac:dyDescent="0.25">
      <c r="A1821" s="484" t="s">
        <v>119</v>
      </c>
      <c r="B1821" s="456"/>
      <c r="C1821" s="456"/>
      <c r="D1821" s="456"/>
      <c r="E1821" s="456"/>
      <c r="F1821" s="456"/>
      <c r="G1821" s="456"/>
      <c r="H1821" s="456"/>
      <c r="I1821" s="456"/>
      <c r="J1821" s="485"/>
      <c r="K1821" s="221"/>
      <c r="L1821" s="221"/>
      <c r="M1821" s="221"/>
      <c r="N1821" s="221"/>
      <c r="O1821" s="221"/>
      <c r="P1821" s="221"/>
      <c r="Q1821" s="221"/>
      <c r="R1821" s="221"/>
      <c r="S1821" s="221"/>
      <c r="T1821" s="221"/>
      <c r="U1821" s="221"/>
      <c r="V1821" s="221"/>
      <c r="W1821" s="221"/>
      <c r="X1821" s="221"/>
      <c r="Y1821" s="221"/>
      <c r="Z1821" s="221"/>
      <c r="AA1821" s="221"/>
      <c r="AB1821" s="221"/>
      <c r="AC1821" s="221"/>
      <c r="AD1821" s="221"/>
      <c r="AE1821" s="221"/>
      <c r="AF1821" s="221"/>
      <c r="AG1821" s="221"/>
      <c r="AH1821" s="221"/>
      <c r="AI1821" s="221"/>
      <c r="AJ1821" s="221"/>
      <c r="AK1821" s="221"/>
      <c r="AL1821" s="221"/>
      <c r="AM1821" s="221"/>
      <c r="AN1821" s="221"/>
      <c r="AO1821" s="221"/>
      <c r="AP1821" s="221"/>
      <c r="AQ1821" s="221"/>
      <c r="AR1821" s="221"/>
      <c r="AS1821" s="221"/>
      <c r="AT1821" s="221"/>
      <c r="AU1821" s="221"/>
      <c r="AV1821" s="221"/>
      <c r="AW1821" s="221"/>
      <c r="AX1821" s="221"/>
      <c r="AY1821" s="221"/>
      <c r="AZ1821" s="221"/>
      <c r="BA1821" s="221"/>
    </row>
    <row r="1822" spans="1:53" x14ac:dyDescent="0.25">
      <c r="A1822" s="484" t="s">
        <v>302</v>
      </c>
      <c r="B1822" s="456"/>
      <c r="C1822" s="456"/>
      <c r="D1822" s="456"/>
      <c r="E1822" s="456"/>
      <c r="F1822" s="456"/>
      <c r="G1822" s="456"/>
      <c r="H1822" s="456"/>
      <c r="I1822" s="456"/>
      <c r="J1822" s="485"/>
      <c r="K1822" s="221"/>
      <c r="L1822" s="221"/>
      <c r="M1822" s="221"/>
      <c r="N1822" s="221"/>
      <c r="O1822" s="221"/>
      <c r="P1822" s="221"/>
      <c r="Q1822" s="221"/>
      <c r="R1822" s="221"/>
      <c r="S1822" s="221"/>
      <c r="T1822" s="221"/>
      <c r="U1822" s="221"/>
      <c r="V1822" s="221"/>
      <c r="W1822" s="221"/>
      <c r="X1822" s="221"/>
      <c r="Y1822" s="221"/>
      <c r="Z1822" s="221"/>
      <c r="AA1822" s="221"/>
      <c r="AB1822" s="221"/>
      <c r="AC1822" s="221"/>
      <c r="AD1822" s="221"/>
      <c r="AE1822" s="221"/>
      <c r="AF1822" s="221"/>
      <c r="AG1822" s="221"/>
      <c r="AH1822" s="221"/>
      <c r="AI1822" s="221"/>
      <c r="AJ1822" s="221"/>
      <c r="AK1822" s="221"/>
      <c r="AL1822" s="221"/>
      <c r="AM1822" s="221"/>
      <c r="AN1822" s="221"/>
      <c r="AO1822" s="221"/>
      <c r="AP1822" s="221"/>
      <c r="AQ1822" s="221"/>
      <c r="AR1822" s="221"/>
      <c r="AS1822" s="221"/>
      <c r="AT1822" s="221"/>
      <c r="AU1822" s="221"/>
      <c r="AV1822" s="221"/>
      <c r="AW1822" s="221"/>
      <c r="AX1822" s="221"/>
      <c r="AY1822" s="221"/>
      <c r="AZ1822" s="221"/>
      <c r="BA1822" s="221"/>
    </row>
    <row r="1823" spans="1:53" x14ac:dyDescent="0.25">
      <c r="A1823" s="484" t="s">
        <v>540</v>
      </c>
      <c r="B1823" s="456"/>
      <c r="C1823" s="456"/>
      <c r="D1823" s="456"/>
      <c r="E1823" s="456"/>
      <c r="F1823" s="456"/>
      <c r="G1823" s="456"/>
      <c r="H1823" s="456"/>
      <c r="I1823" s="456"/>
      <c r="J1823" s="485"/>
      <c r="K1823" s="221"/>
      <c r="L1823" s="221"/>
      <c r="M1823" s="221"/>
      <c r="N1823" s="221"/>
      <c r="O1823" s="221"/>
      <c r="P1823" s="221"/>
      <c r="Q1823" s="221"/>
      <c r="R1823" s="221"/>
      <c r="S1823" s="221"/>
      <c r="T1823" s="221"/>
      <c r="U1823" s="221"/>
      <c r="V1823" s="221"/>
      <c r="W1823" s="221"/>
      <c r="X1823" s="221"/>
      <c r="Y1823" s="221"/>
      <c r="Z1823" s="221"/>
      <c r="AA1823" s="221"/>
      <c r="AB1823" s="221"/>
      <c r="AC1823" s="221"/>
      <c r="AD1823" s="221"/>
      <c r="AE1823" s="221"/>
      <c r="AF1823" s="221"/>
      <c r="AG1823" s="221"/>
      <c r="AH1823" s="221"/>
      <c r="AI1823" s="221"/>
      <c r="AJ1823" s="221"/>
      <c r="AK1823" s="221"/>
      <c r="AL1823" s="221"/>
      <c r="AM1823" s="221"/>
      <c r="AN1823" s="221"/>
      <c r="AO1823" s="221"/>
      <c r="AP1823" s="221"/>
      <c r="AQ1823" s="221"/>
      <c r="AR1823" s="221"/>
      <c r="AS1823" s="221"/>
      <c r="AT1823" s="221"/>
      <c r="AU1823" s="221"/>
      <c r="AV1823" s="221"/>
      <c r="AW1823" s="221"/>
      <c r="AX1823" s="221"/>
      <c r="AY1823" s="221"/>
      <c r="AZ1823" s="221"/>
      <c r="BA1823" s="221"/>
    </row>
    <row r="1824" spans="1:53" x14ac:dyDescent="0.25">
      <c r="A1824" s="484" t="s">
        <v>683</v>
      </c>
      <c r="B1824" s="456"/>
      <c r="C1824" s="456"/>
      <c r="D1824" s="456"/>
      <c r="E1824" s="456"/>
      <c r="F1824" s="456"/>
      <c r="G1824" s="456"/>
      <c r="H1824" s="456"/>
      <c r="I1824" s="456"/>
      <c r="J1824" s="485"/>
      <c r="K1824" s="221"/>
      <c r="L1824" s="221"/>
      <c r="M1824" s="221"/>
      <c r="N1824" s="221"/>
      <c r="O1824" s="221"/>
      <c r="P1824" s="221"/>
      <c r="Q1824" s="221"/>
      <c r="R1824" s="221"/>
      <c r="S1824" s="221"/>
      <c r="T1824" s="221"/>
      <c r="U1824" s="221"/>
      <c r="V1824" s="221"/>
      <c r="W1824" s="221"/>
      <c r="X1824" s="221"/>
      <c r="Y1824" s="221"/>
      <c r="Z1824" s="221"/>
      <c r="AA1824" s="221"/>
      <c r="AB1824" s="221"/>
      <c r="AC1824" s="221"/>
      <c r="AD1824" s="221"/>
      <c r="AE1824" s="221"/>
      <c r="AF1824" s="221"/>
      <c r="AG1824" s="221"/>
      <c r="AH1824" s="221"/>
      <c r="AI1824" s="221"/>
      <c r="AJ1824" s="221"/>
      <c r="AK1824" s="221"/>
      <c r="AL1824" s="221"/>
      <c r="AM1824" s="221"/>
      <c r="AN1824" s="221"/>
      <c r="AO1824" s="221"/>
      <c r="AP1824" s="221"/>
      <c r="AQ1824" s="221"/>
      <c r="AR1824" s="221"/>
      <c r="AS1824" s="221"/>
      <c r="AT1824" s="221"/>
      <c r="AU1824" s="221"/>
      <c r="AV1824" s="221"/>
      <c r="AW1824" s="221"/>
      <c r="AX1824" s="221"/>
      <c r="AY1824" s="221"/>
      <c r="AZ1824" s="221"/>
      <c r="BA1824" s="221"/>
    </row>
    <row r="1825" spans="1:53" x14ac:dyDescent="0.25">
      <c r="A1825" s="484" t="s">
        <v>912</v>
      </c>
      <c r="B1825" s="456"/>
      <c r="C1825" s="456"/>
      <c r="D1825" s="456"/>
      <c r="E1825" s="456"/>
      <c r="F1825" s="456"/>
      <c r="G1825" s="456"/>
      <c r="H1825" s="456"/>
      <c r="I1825" s="456"/>
      <c r="J1825" s="485"/>
      <c r="K1825" s="221"/>
      <c r="L1825" s="221"/>
      <c r="M1825" s="221"/>
      <c r="N1825" s="221"/>
      <c r="O1825" s="221"/>
      <c r="P1825" s="221"/>
      <c r="Q1825" s="221"/>
      <c r="R1825" s="221"/>
      <c r="S1825" s="221"/>
      <c r="T1825" s="221"/>
      <c r="U1825" s="221"/>
      <c r="V1825" s="221"/>
      <c r="W1825" s="221"/>
      <c r="X1825" s="221"/>
      <c r="Y1825" s="221"/>
      <c r="Z1825" s="221"/>
      <c r="AA1825" s="221"/>
      <c r="AB1825" s="221"/>
      <c r="AC1825" s="221"/>
      <c r="AD1825" s="221"/>
      <c r="AE1825" s="221"/>
      <c r="AF1825" s="221"/>
      <c r="AG1825" s="221"/>
      <c r="AH1825" s="221"/>
      <c r="AI1825" s="221"/>
      <c r="AJ1825" s="221"/>
      <c r="AK1825" s="221"/>
      <c r="AL1825" s="221"/>
      <c r="AM1825" s="221"/>
      <c r="AN1825" s="221"/>
      <c r="AO1825" s="221"/>
      <c r="AP1825" s="221"/>
      <c r="AQ1825" s="221"/>
      <c r="AR1825" s="221"/>
      <c r="AS1825" s="221"/>
      <c r="AT1825" s="221"/>
      <c r="AU1825" s="221"/>
      <c r="AV1825" s="221"/>
      <c r="AW1825" s="221"/>
      <c r="AX1825" s="221"/>
      <c r="AY1825" s="221"/>
      <c r="AZ1825" s="221"/>
      <c r="BA1825" s="221"/>
    </row>
    <row r="1826" spans="1:53" x14ac:dyDescent="0.25">
      <c r="A1826" s="484" t="s">
        <v>541</v>
      </c>
      <c r="B1826" s="456"/>
      <c r="C1826" s="456"/>
      <c r="D1826" s="456"/>
      <c r="E1826" s="456"/>
      <c r="F1826" s="456"/>
      <c r="G1826" s="456"/>
      <c r="H1826" s="456"/>
      <c r="I1826" s="456"/>
      <c r="J1826" s="485"/>
      <c r="K1826" s="221"/>
      <c r="L1826" s="221"/>
      <c r="M1826" s="221"/>
      <c r="N1826" s="221"/>
      <c r="O1826" s="221"/>
      <c r="P1826" s="221"/>
      <c r="Q1826" s="221"/>
      <c r="R1826" s="221"/>
      <c r="S1826" s="221"/>
      <c r="T1826" s="221"/>
      <c r="U1826" s="221"/>
      <c r="V1826" s="221"/>
      <c r="W1826" s="221"/>
      <c r="X1826" s="221"/>
      <c r="Y1826" s="221"/>
      <c r="Z1826" s="221"/>
      <c r="AA1826" s="221"/>
      <c r="AB1826" s="221"/>
      <c r="AC1826" s="221"/>
      <c r="AD1826" s="221"/>
      <c r="AE1826" s="221"/>
      <c r="AF1826" s="221"/>
      <c r="AG1826" s="221"/>
      <c r="AH1826" s="221"/>
      <c r="AI1826" s="221"/>
      <c r="AJ1826" s="221"/>
      <c r="AK1826" s="221"/>
      <c r="AL1826" s="221"/>
      <c r="AM1826" s="221"/>
      <c r="AN1826" s="221"/>
      <c r="AO1826" s="221"/>
      <c r="AP1826" s="221"/>
      <c r="AQ1826" s="221"/>
      <c r="AR1826" s="221"/>
      <c r="AS1826" s="221"/>
      <c r="AT1826" s="221"/>
      <c r="AU1826" s="221"/>
      <c r="AV1826" s="221"/>
      <c r="AW1826" s="221"/>
      <c r="AX1826" s="221"/>
      <c r="AY1826" s="221"/>
      <c r="AZ1826" s="221"/>
      <c r="BA1826" s="221"/>
    </row>
    <row r="1827" spans="1:53" x14ac:dyDescent="0.25">
      <c r="A1827" s="486" t="s">
        <v>542</v>
      </c>
      <c r="B1827" s="487"/>
      <c r="C1827" s="487"/>
      <c r="D1827" s="487"/>
      <c r="E1827" s="487"/>
      <c r="F1827" s="487"/>
      <c r="G1827" s="487"/>
      <c r="H1827" s="487"/>
      <c r="I1827" s="487"/>
      <c r="J1827" s="488"/>
      <c r="K1827" s="221"/>
      <c r="L1827" s="221"/>
      <c r="M1827" s="221"/>
      <c r="N1827" s="221"/>
      <c r="O1827" s="221"/>
      <c r="P1827" s="221"/>
      <c r="Q1827" s="221"/>
      <c r="R1827" s="221"/>
      <c r="S1827" s="221"/>
      <c r="T1827" s="221"/>
      <c r="U1827" s="221"/>
      <c r="V1827" s="221"/>
      <c r="W1827" s="221"/>
      <c r="X1827" s="221"/>
      <c r="Y1827" s="221"/>
      <c r="Z1827" s="221"/>
      <c r="AA1827" s="221"/>
      <c r="AB1827" s="221"/>
      <c r="AC1827" s="221"/>
      <c r="AD1827" s="221"/>
      <c r="AE1827" s="221"/>
      <c r="AF1827" s="221"/>
      <c r="AG1827" s="221"/>
      <c r="AH1827" s="221"/>
      <c r="AI1827" s="221"/>
      <c r="AJ1827" s="221"/>
      <c r="AK1827" s="221"/>
      <c r="AL1827" s="221"/>
      <c r="AM1827" s="221"/>
      <c r="AN1827" s="221"/>
      <c r="AO1827" s="221"/>
      <c r="AP1827" s="221"/>
      <c r="AQ1827" s="221"/>
      <c r="AR1827" s="221"/>
      <c r="AS1827" s="221"/>
      <c r="AT1827" s="221"/>
      <c r="AU1827" s="221"/>
      <c r="AV1827" s="221"/>
      <c r="AW1827" s="221"/>
      <c r="AX1827" s="221"/>
      <c r="AY1827" s="221"/>
      <c r="AZ1827" s="221"/>
      <c r="BA1827" s="221"/>
    </row>
    <row r="1828" spans="1:53" x14ac:dyDescent="0.25">
      <c r="A1828" s="221"/>
      <c r="B1828" s="221"/>
      <c r="C1828" s="221"/>
      <c r="D1828" s="221"/>
      <c r="E1828" s="221"/>
      <c r="F1828" s="221"/>
      <c r="G1828" s="221"/>
      <c r="H1828" s="221"/>
      <c r="I1828" s="221"/>
      <c r="J1828" s="221"/>
      <c r="K1828" s="221"/>
      <c r="L1828" s="221"/>
      <c r="M1828" s="221"/>
      <c r="N1828" s="221"/>
      <c r="O1828" s="221"/>
      <c r="P1828" s="221"/>
      <c r="Q1828" s="221"/>
      <c r="R1828" s="221"/>
      <c r="S1828" s="221"/>
      <c r="T1828" s="221"/>
      <c r="U1828" s="221"/>
      <c r="V1828" s="221"/>
      <c r="W1828" s="221"/>
      <c r="X1828" s="221"/>
      <c r="Y1828" s="221"/>
      <c r="Z1828" s="221"/>
      <c r="AA1828" s="221"/>
      <c r="AB1828" s="221"/>
      <c r="AC1828" s="221"/>
      <c r="AD1828" s="221"/>
      <c r="AE1828" s="221"/>
      <c r="AF1828" s="221"/>
      <c r="AG1828" s="221"/>
      <c r="AH1828" s="221"/>
      <c r="AI1828" s="221"/>
      <c r="AJ1828" s="221"/>
      <c r="AK1828" s="221"/>
      <c r="AL1828" s="221"/>
      <c r="AM1828" s="221"/>
      <c r="AN1828" s="221"/>
      <c r="AO1828" s="221"/>
      <c r="AP1828" s="221"/>
      <c r="AQ1828" s="221"/>
      <c r="AR1828" s="221"/>
      <c r="AS1828" s="221"/>
      <c r="AT1828" s="221"/>
      <c r="AU1828" s="221"/>
      <c r="AV1828" s="221"/>
      <c r="AW1828" s="221"/>
      <c r="AX1828" s="221"/>
      <c r="AY1828" s="221"/>
      <c r="AZ1828" s="221"/>
      <c r="BA1828" s="221"/>
    </row>
    <row r="1829" spans="1:53" x14ac:dyDescent="0.25">
      <c r="A1829" s="457" t="s">
        <v>14</v>
      </c>
      <c r="B1829" s="458" t="s">
        <v>636</v>
      </c>
      <c r="C1829" s="459" t="s">
        <v>15</v>
      </c>
      <c r="D1829" s="456"/>
      <c r="E1829" s="456"/>
      <c r="F1829" s="456"/>
      <c r="G1829" s="456"/>
      <c r="H1829" s="456"/>
      <c r="I1829" s="221"/>
      <c r="J1829" s="221"/>
      <c r="K1829" s="221"/>
      <c r="L1829" s="221"/>
      <c r="M1829" s="221"/>
      <c r="N1829" s="221"/>
      <c r="O1829" s="221"/>
      <c r="P1829" s="221"/>
      <c r="Q1829" s="221"/>
      <c r="R1829" s="221"/>
      <c r="S1829" s="221"/>
      <c r="T1829" s="221"/>
      <c r="U1829" s="221"/>
      <c r="V1829" s="221"/>
      <c r="W1829" s="221"/>
      <c r="X1829" s="221"/>
      <c r="Y1829" s="221"/>
      <c r="Z1829" s="221"/>
      <c r="AA1829" s="221"/>
      <c r="AB1829" s="221"/>
      <c r="AC1829" s="221"/>
      <c r="AD1829" s="221"/>
      <c r="AE1829" s="221"/>
      <c r="AF1829" s="221"/>
      <c r="AG1829" s="221"/>
      <c r="AH1829" s="221"/>
      <c r="AI1829" s="221"/>
      <c r="AJ1829" s="221"/>
      <c r="AK1829" s="221"/>
      <c r="AL1829" s="221"/>
      <c r="AM1829" s="221"/>
      <c r="AN1829" s="221"/>
      <c r="AO1829" s="221"/>
      <c r="AP1829" s="221"/>
      <c r="AQ1829" s="221"/>
      <c r="AR1829" s="221"/>
      <c r="AS1829" s="221"/>
      <c r="AT1829" s="221"/>
      <c r="AU1829" s="221"/>
      <c r="AV1829" s="221"/>
      <c r="AW1829" s="221"/>
      <c r="AX1829" s="221"/>
      <c r="AY1829" s="221"/>
      <c r="AZ1829" s="221"/>
      <c r="BA1829" s="221"/>
    </row>
    <row r="1830" spans="1:53" x14ac:dyDescent="0.25">
      <c r="A1830" s="460" t="s">
        <v>16</v>
      </c>
      <c r="B1830" s="461"/>
      <c r="C1830" s="489">
        <v>2017</v>
      </c>
      <c r="D1830" s="464">
        <v>2018</v>
      </c>
      <c r="E1830" s="464">
        <v>2019</v>
      </c>
      <c r="F1830" s="476">
        <v>2020</v>
      </c>
      <c r="G1830" s="477">
        <v>2021</v>
      </c>
      <c r="H1830" s="477">
        <v>2022</v>
      </c>
      <c r="I1830" s="477">
        <v>2023</v>
      </c>
      <c r="J1830" s="221"/>
      <c r="K1830" s="221"/>
      <c r="L1830" s="221"/>
      <c r="M1830" s="221"/>
      <c r="N1830" s="221"/>
      <c r="O1830" s="221"/>
      <c r="P1830" s="221"/>
      <c r="Q1830" s="221"/>
      <c r="R1830" s="221"/>
      <c r="S1830" s="221"/>
      <c r="T1830" s="221"/>
      <c r="U1830" s="221"/>
      <c r="V1830" s="221"/>
      <c r="W1830" s="221"/>
      <c r="X1830" s="221"/>
      <c r="Y1830" s="221"/>
      <c r="Z1830" s="221"/>
      <c r="AA1830" s="221"/>
      <c r="AB1830" s="221"/>
      <c r="AC1830" s="221"/>
      <c r="AD1830" s="221"/>
      <c r="AE1830" s="221"/>
      <c r="AF1830" s="221"/>
      <c r="AG1830" s="221"/>
      <c r="AH1830" s="221"/>
      <c r="AI1830" s="221"/>
      <c r="AJ1830" s="221"/>
      <c r="AK1830" s="221"/>
      <c r="AL1830" s="221"/>
      <c r="AM1830" s="221"/>
      <c r="AN1830" s="221"/>
      <c r="AO1830" s="221"/>
      <c r="AP1830" s="221"/>
      <c r="AQ1830" s="221"/>
      <c r="AR1830" s="221"/>
      <c r="AS1830" s="221"/>
      <c r="AT1830" s="221"/>
      <c r="AU1830" s="221"/>
      <c r="AV1830" s="221"/>
      <c r="AW1830" s="221"/>
      <c r="AX1830" s="221"/>
      <c r="AY1830" s="221"/>
      <c r="AZ1830" s="221"/>
      <c r="BA1830" s="221"/>
    </row>
    <row r="1831" spans="1:53" x14ac:dyDescent="0.25">
      <c r="A1831" s="460" t="s">
        <v>17</v>
      </c>
      <c r="B1831" s="461"/>
      <c r="C1831" s="465">
        <v>3907</v>
      </c>
      <c r="D1831" s="465">
        <v>3907</v>
      </c>
      <c r="E1831" s="466">
        <v>3907</v>
      </c>
      <c r="F1831" s="478">
        <v>3907</v>
      </c>
      <c r="G1831" s="241">
        <v>3907</v>
      </c>
      <c r="H1831" s="241">
        <v>3907</v>
      </c>
      <c r="I1831" s="241">
        <v>3907</v>
      </c>
      <c r="J1831" s="221"/>
      <c r="K1831" s="221"/>
      <c r="L1831" s="221"/>
      <c r="M1831" s="221"/>
      <c r="N1831" s="221"/>
      <c r="O1831" s="221"/>
      <c r="P1831" s="221"/>
      <c r="Q1831" s="221"/>
      <c r="R1831" s="221"/>
      <c r="S1831" s="221"/>
      <c r="T1831" s="221"/>
      <c r="U1831" s="221"/>
      <c r="V1831" s="221"/>
      <c r="W1831" s="221"/>
      <c r="X1831" s="221"/>
      <c r="Y1831" s="221"/>
      <c r="Z1831" s="221"/>
      <c r="AA1831" s="221"/>
      <c r="AB1831" s="221"/>
      <c r="AC1831" s="221"/>
      <c r="AD1831" s="221"/>
      <c r="AE1831" s="221"/>
      <c r="AF1831" s="221"/>
      <c r="AG1831" s="221"/>
      <c r="AH1831" s="221"/>
      <c r="AI1831" s="221"/>
      <c r="AJ1831" s="221"/>
      <c r="AK1831" s="221"/>
      <c r="AL1831" s="221"/>
      <c r="AM1831" s="221"/>
      <c r="AN1831" s="221"/>
      <c r="AO1831" s="221"/>
      <c r="AP1831" s="221"/>
      <c r="AQ1831" s="221"/>
      <c r="AR1831" s="221"/>
      <c r="AS1831" s="221"/>
      <c r="AT1831" s="221"/>
      <c r="AU1831" s="221"/>
      <c r="AV1831" s="221"/>
      <c r="AW1831" s="221"/>
      <c r="AX1831" s="221"/>
      <c r="AY1831" s="221"/>
      <c r="AZ1831" s="221"/>
      <c r="BA1831" s="221"/>
    </row>
    <row r="1832" spans="1:53" x14ac:dyDescent="0.25">
      <c r="A1832" s="460" t="s">
        <v>18</v>
      </c>
      <c r="B1832" s="461"/>
      <c r="C1832" s="465">
        <v>4468.05</v>
      </c>
      <c r="D1832" s="465">
        <v>4493.05</v>
      </c>
      <c r="E1832" s="466">
        <v>4493.05</v>
      </c>
      <c r="F1832" s="478">
        <v>4493.05</v>
      </c>
      <c r="G1832" s="241">
        <v>4493.05</v>
      </c>
      <c r="H1832" s="241">
        <v>4493.05</v>
      </c>
      <c r="I1832" s="241">
        <v>4493.05</v>
      </c>
      <c r="J1832" s="221"/>
      <c r="K1832" s="221"/>
      <c r="L1832" s="221"/>
      <c r="M1832" s="221"/>
      <c r="N1832" s="221"/>
      <c r="O1832" s="221"/>
      <c r="P1832" s="221"/>
      <c r="Q1832" s="221"/>
      <c r="R1832" s="221"/>
      <c r="S1832" s="221"/>
      <c r="T1832" s="221"/>
      <c r="U1832" s="221"/>
      <c r="V1832" s="221"/>
      <c r="W1832" s="221"/>
      <c r="X1832" s="221"/>
      <c r="Y1832" s="221"/>
      <c r="Z1832" s="221"/>
      <c r="AA1832" s="221"/>
      <c r="AB1832" s="221"/>
      <c r="AC1832" s="221"/>
      <c r="AD1832" s="221"/>
      <c r="AE1832" s="221"/>
      <c r="AF1832" s="221"/>
      <c r="AG1832" s="221"/>
      <c r="AH1832" s="221"/>
      <c r="AI1832" s="221"/>
      <c r="AJ1832" s="221"/>
      <c r="AK1832" s="221"/>
      <c r="AL1832" s="221"/>
      <c r="AM1832" s="221"/>
      <c r="AN1832" s="221"/>
      <c r="AO1832" s="221"/>
      <c r="AP1832" s="221"/>
      <c r="AQ1832" s="221"/>
      <c r="AR1832" s="221"/>
      <c r="AS1832" s="221"/>
      <c r="AT1832" s="221"/>
      <c r="AU1832" s="221"/>
      <c r="AV1832" s="221"/>
      <c r="AW1832" s="221"/>
      <c r="AX1832" s="221"/>
      <c r="AY1832" s="221"/>
      <c r="AZ1832" s="221"/>
      <c r="BA1832" s="221"/>
    </row>
    <row r="1833" spans="1:53" x14ac:dyDescent="0.25">
      <c r="A1833" s="460" t="s">
        <v>19</v>
      </c>
      <c r="B1833" s="461"/>
      <c r="C1833" s="490"/>
      <c r="D1833" s="466"/>
      <c r="E1833" s="466"/>
      <c r="F1833" s="478"/>
      <c r="G1833" s="241"/>
      <c r="H1833" s="241"/>
      <c r="I1833" s="241"/>
      <c r="J1833" s="221"/>
      <c r="K1833" s="221"/>
      <c r="L1833" s="221"/>
      <c r="M1833" s="221"/>
      <c r="N1833" s="221"/>
      <c r="O1833" s="221"/>
      <c r="P1833" s="221"/>
      <c r="Q1833" s="221"/>
      <c r="R1833" s="221"/>
      <c r="S1833" s="221"/>
      <c r="T1833" s="221"/>
      <c r="U1833" s="221"/>
      <c r="V1833" s="221"/>
      <c r="W1833" s="221"/>
      <c r="X1833" s="221"/>
      <c r="Y1833" s="221"/>
      <c r="Z1833" s="221"/>
      <c r="AA1833" s="221"/>
      <c r="AB1833" s="221"/>
      <c r="AC1833" s="221"/>
      <c r="AD1833" s="221"/>
      <c r="AE1833" s="221"/>
      <c r="AF1833" s="221"/>
      <c r="AG1833" s="221"/>
      <c r="AH1833" s="221"/>
      <c r="AI1833" s="221"/>
      <c r="AJ1833" s="221"/>
      <c r="AK1833" s="221"/>
      <c r="AL1833" s="221"/>
      <c r="AM1833" s="221"/>
      <c r="AN1833" s="221"/>
      <c r="AO1833" s="221"/>
      <c r="AP1833" s="221"/>
      <c r="AQ1833" s="221"/>
      <c r="AR1833" s="221"/>
      <c r="AS1833" s="221"/>
      <c r="AT1833" s="221"/>
      <c r="AU1833" s="221"/>
      <c r="AV1833" s="221"/>
      <c r="AW1833" s="221"/>
      <c r="AX1833" s="221"/>
      <c r="AY1833" s="221"/>
      <c r="AZ1833" s="221"/>
      <c r="BA1833" s="221"/>
    </row>
    <row r="1834" spans="1:53" x14ac:dyDescent="0.25">
      <c r="A1834" s="460" t="s">
        <v>20</v>
      </c>
      <c r="B1834" s="461"/>
      <c r="C1834" s="491">
        <v>1404.81</v>
      </c>
      <c r="D1834" s="466">
        <v>1274.78</v>
      </c>
      <c r="E1834" s="466">
        <v>1736.49</v>
      </c>
      <c r="F1834" s="478">
        <v>1441.75</v>
      </c>
      <c r="G1834" s="241">
        <v>1141.8399999999999</v>
      </c>
      <c r="H1834" s="241">
        <v>1339.19</v>
      </c>
      <c r="I1834" s="241"/>
      <c r="J1834" s="221"/>
      <c r="K1834" s="221"/>
      <c r="L1834" s="221"/>
      <c r="M1834" s="221"/>
      <c r="N1834" s="221"/>
      <c r="O1834" s="221"/>
      <c r="P1834" s="221"/>
      <c r="Q1834" s="221"/>
      <c r="R1834" s="221"/>
      <c r="S1834" s="221"/>
      <c r="T1834" s="221"/>
      <c r="U1834" s="221"/>
      <c r="V1834" s="221"/>
      <c r="W1834" s="221"/>
      <c r="X1834" s="221"/>
      <c r="Y1834" s="221"/>
      <c r="Z1834" s="221"/>
      <c r="AA1834" s="221"/>
      <c r="AB1834" s="221"/>
      <c r="AC1834" s="221"/>
      <c r="AD1834" s="221"/>
      <c r="AE1834" s="221"/>
      <c r="AF1834" s="221"/>
      <c r="AG1834" s="221"/>
      <c r="AH1834" s="221"/>
      <c r="AI1834" s="221"/>
      <c r="AJ1834" s="221"/>
      <c r="AK1834" s="221"/>
      <c r="AL1834" s="221"/>
      <c r="AM1834" s="221"/>
      <c r="AN1834" s="221"/>
      <c r="AO1834" s="221"/>
      <c r="AP1834" s="221"/>
      <c r="AQ1834" s="221"/>
      <c r="AR1834" s="221"/>
      <c r="AS1834" s="221"/>
      <c r="AT1834" s="221"/>
      <c r="AU1834" s="221"/>
      <c r="AV1834" s="221"/>
      <c r="AW1834" s="221"/>
      <c r="AX1834" s="221"/>
      <c r="AY1834" s="221"/>
      <c r="AZ1834" s="221"/>
      <c r="BA1834" s="221"/>
    </row>
    <row r="1835" spans="1:53" x14ac:dyDescent="0.25">
      <c r="A1835" s="460" t="s">
        <v>21</v>
      </c>
      <c r="B1835" s="461"/>
      <c r="C1835" s="465">
        <v>3063.24</v>
      </c>
      <c r="D1835" s="466">
        <f>D1832-D1834</f>
        <v>3218.2700000000004</v>
      </c>
      <c r="E1835" s="466">
        <f>E1832-E1834</f>
        <v>2756.5600000000004</v>
      </c>
      <c r="F1835" s="466">
        <f>F1832-F1834</f>
        <v>3051.3</v>
      </c>
      <c r="G1835" s="241">
        <f>G1832-G1834</f>
        <v>3351.21</v>
      </c>
      <c r="H1835" s="241">
        <f>H1832-H1834</f>
        <v>3153.86</v>
      </c>
      <c r="I1835" s="241"/>
      <c r="J1835" s="221"/>
      <c r="K1835" s="221"/>
      <c r="L1835" s="221"/>
      <c r="M1835" s="221"/>
      <c r="N1835" s="221"/>
      <c r="O1835" s="221"/>
      <c r="P1835" s="221"/>
      <c r="Q1835" s="221"/>
      <c r="R1835" s="221"/>
      <c r="S1835" s="221"/>
      <c r="T1835" s="221"/>
      <c r="U1835" s="221"/>
      <c r="V1835" s="221"/>
      <c r="W1835" s="221"/>
      <c r="X1835" s="221"/>
      <c r="Y1835" s="221"/>
      <c r="Z1835" s="221"/>
      <c r="AA1835" s="221"/>
      <c r="AB1835" s="221"/>
      <c r="AC1835" s="221"/>
      <c r="AD1835" s="221"/>
      <c r="AE1835" s="221"/>
      <c r="AF1835" s="221"/>
      <c r="AG1835" s="221"/>
      <c r="AH1835" s="221"/>
      <c r="AI1835" s="221"/>
      <c r="AJ1835" s="221"/>
      <c r="AK1835" s="221"/>
      <c r="AL1835" s="221"/>
      <c r="AM1835" s="221"/>
      <c r="AN1835" s="221"/>
      <c r="AO1835" s="221"/>
      <c r="AP1835" s="221"/>
      <c r="AQ1835" s="221"/>
      <c r="AR1835" s="221"/>
      <c r="AS1835" s="221"/>
      <c r="AT1835" s="221"/>
      <c r="AU1835" s="221"/>
      <c r="AV1835" s="221"/>
      <c r="AW1835" s="221"/>
      <c r="AX1835" s="221"/>
      <c r="AY1835" s="221"/>
      <c r="AZ1835" s="221"/>
      <c r="BA1835" s="221"/>
    </row>
    <row r="1836" spans="1:53" x14ac:dyDescent="0.25">
      <c r="A1836" s="468" t="s">
        <v>22</v>
      </c>
      <c r="B1836" s="469"/>
      <c r="C1836" s="492">
        <v>2018</v>
      </c>
      <c r="D1836" s="470">
        <v>2019</v>
      </c>
      <c r="E1836" s="470">
        <v>2020</v>
      </c>
      <c r="F1836" s="479">
        <v>2021</v>
      </c>
      <c r="G1836" s="480">
        <v>2022</v>
      </c>
      <c r="H1836" s="480">
        <v>2023</v>
      </c>
      <c r="I1836" s="480">
        <v>2024</v>
      </c>
      <c r="J1836" s="221"/>
      <c r="K1836" s="221"/>
      <c r="L1836" s="221"/>
      <c r="M1836" s="221"/>
      <c r="N1836" s="221"/>
      <c r="O1836" s="221"/>
      <c r="P1836" s="221"/>
      <c r="Q1836" s="221"/>
      <c r="R1836" s="221"/>
      <c r="S1836" s="221"/>
      <c r="T1836" s="221"/>
      <c r="U1836" s="221"/>
      <c r="V1836" s="221"/>
      <c r="W1836" s="221"/>
      <c r="X1836" s="221"/>
      <c r="Y1836" s="221"/>
      <c r="Z1836" s="221"/>
      <c r="AA1836" s="221"/>
      <c r="AB1836" s="221"/>
      <c r="AC1836" s="221"/>
      <c r="AD1836" s="221"/>
      <c r="AE1836" s="221"/>
      <c r="AF1836" s="221"/>
      <c r="AG1836" s="221"/>
      <c r="AH1836" s="221"/>
      <c r="AI1836" s="221"/>
      <c r="AJ1836" s="221"/>
      <c r="AK1836" s="221"/>
      <c r="AL1836" s="221"/>
      <c r="AM1836" s="221"/>
      <c r="AN1836" s="221"/>
      <c r="AO1836" s="221"/>
      <c r="AP1836" s="221"/>
      <c r="AQ1836" s="221"/>
      <c r="AR1836" s="221"/>
      <c r="AS1836" s="221"/>
      <c r="AT1836" s="221"/>
      <c r="AU1836" s="221"/>
      <c r="AV1836" s="221"/>
      <c r="AW1836" s="221"/>
      <c r="AX1836" s="221"/>
      <c r="AY1836" s="221"/>
      <c r="AZ1836" s="221"/>
      <c r="BA1836" s="221"/>
    </row>
    <row r="1837" spans="1:53" x14ac:dyDescent="0.25">
      <c r="A1837" s="481" t="s">
        <v>120</v>
      </c>
      <c r="B1837" s="482"/>
      <c r="C1837" s="482"/>
      <c r="D1837" s="482"/>
      <c r="E1837" s="482"/>
      <c r="F1837" s="482"/>
      <c r="G1837" s="482"/>
      <c r="H1837" s="482"/>
      <c r="I1837" s="483"/>
      <c r="J1837" s="221"/>
      <c r="K1837" s="221"/>
      <c r="L1837" s="221"/>
      <c r="M1837" s="221"/>
      <c r="N1837" s="221"/>
      <c r="O1837" s="221"/>
      <c r="P1837" s="221"/>
      <c r="Q1837" s="221"/>
      <c r="R1837" s="221"/>
      <c r="S1837" s="221"/>
      <c r="T1837" s="221"/>
      <c r="U1837" s="221"/>
      <c r="V1837" s="221"/>
      <c r="W1837" s="221"/>
      <c r="X1837" s="221"/>
      <c r="Y1837" s="221"/>
      <c r="Z1837" s="221"/>
      <c r="AA1837" s="221"/>
      <c r="AB1837" s="221"/>
      <c r="AC1837" s="221"/>
      <c r="AD1837" s="221"/>
      <c r="AE1837" s="221"/>
      <c r="AF1837" s="221"/>
      <c r="AG1837" s="221"/>
      <c r="AH1837" s="221"/>
      <c r="AI1837" s="221"/>
      <c r="AJ1837" s="221"/>
      <c r="AK1837" s="221"/>
      <c r="AL1837" s="221"/>
      <c r="AM1837" s="221"/>
      <c r="AN1837" s="221"/>
      <c r="AO1837" s="221"/>
      <c r="AP1837" s="221"/>
      <c r="AQ1837" s="221"/>
      <c r="AR1837" s="221"/>
      <c r="AS1837" s="221"/>
      <c r="AT1837" s="221"/>
      <c r="AU1837" s="221"/>
      <c r="AV1837" s="221"/>
      <c r="AW1837" s="221"/>
      <c r="AX1837" s="221"/>
      <c r="AY1837" s="221"/>
      <c r="AZ1837" s="221"/>
      <c r="BA1837" s="221"/>
    </row>
    <row r="1838" spans="1:53" x14ac:dyDescent="0.25">
      <c r="A1838" s="484" t="s">
        <v>121</v>
      </c>
      <c r="B1838" s="456"/>
      <c r="C1838" s="456"/>
      <c r="D1838" s="456"/>
      <c r="E1838" s="456"/>
      <c r="F1838" s="456"/>
      <c r="G1838" s="456"/>
      <c r="H1838" s="456"/>
      <c r="I1838" s="485"/>
      <c r="J1838" s="221"/>
      <c r="K1838" s="221"/>
      <c r="L1838" s="221"/>
      <c r="M1838" s="221"/>
      <c r="N1838" s="221"/>
      <c r="O1838" s="221"/>
      <c r="P1838" s="221"/>
      <c r="Q1838" s="221"/>
      <c r="R1838" s="221"/>
      <c r="S1838" s="221"/>
      <c r="T1838" s="221"/>
      <c r="U1838" s="221"/>
      <c r="V1838" s="221"/>
      <c r="W1838" s="221"/>
      <c r="X1838" s="221"/>
      <c r="Y1838" s="221"/>
      <c r="Z1838" s="221"/>
      <c r="AA1838" s="221"/>
      <c r="AB1838" s="221"/>
      <c r="AC1838" s="221"/>
      <c r="AD1838" s="221"/>
      <c r="AE1838" s="221"/>
      <c r="AF1838" s="221"/>
      <c r="AG1838" s="221"/>
      <c r="AH1838" s="221"/>
      <c r="AI1838" s="221"/>
      <c r="AJ1838" s="221"/>
      <c r="AK1838" s="221"/>
      <c r="AL1838" s="221"/>
      <c r="AM1838" s="221"/>
      <c r="AN1838" s="221"/>
      <c r="AO1838" s="221"/>
      <c r="AP1838" s="221"/>
      <c r="AQ1838" s="221"/>
      <c r="AR1838" s="221"/>
      <c r="AS1838" s="221"/>
      <c r="AT1838" s="221"/>
      <c r="AU1838" s="221"/>
      <c r="AV1838" s="221"/>
      <c r="AW1838" s="221"/>
      <c r="AX1838" s="221"/>
      <c r="AY1838" s="221"/>
      <c r="AZ1838" s="221"/>
      <c r="BA1838" s="221"/>
    </row>
    <row r="1839" spans="1:53" x14ac:dyDescent="0.25">
      <c r="A1839" s="484" t="s">
        <v>122</v>
      </c>
      <c r="B1839" s="456"/>
      <c r="C1839" s="456"/>
      <c r="D1839" s="456"/>
      <c r="E1839" s="456"/>
      <c r="F1839" s="456"/>
      <c r="G1839" s="456"/>
      <c r="H1839" s="456"/>
      <c r="I1839" s="485"/>
      <c r="J1839" s="221"/>
      <c r="K1839" s="221"/>
      <c r="L1839" s="221"/>
      <c r="M1839" s="221"/>
      <c r="N1839" s="221"/>
      <c r="O1839" s="221"/>
      <c r="P1839" s="221"/>
      <c r="Q1839" s="221"/>
      <c r="R1839" s="221"/>
      <c r="S1839" s="221"/>
      <c r="T1839" s="221"/>
      <c r="U1839" s="221"/>
      <c r="V1839" s="221"/>
      <c r="W1839" s="221"/>
      <c r="X1839" s="221"/>
      <c r="Y1839" s="221"/>
      <c r="Z1839" s="221"/>
      <c r="AA1839" s="221"/>
      <c r="AB1839" s="221"/>
      <c r="AC1839" s="221"/>
      <c r="AD1839" s="221"/>
      <c r="AE1839" s="221"/>
      <c r="AF1839" s="221"/>
      <c r="AG1839" s="221"/>
      <c r="AH1839" s="221"/>
      <c r="AI1839" s="221"/>
      <c r="AJ1839" s="221"/>
      <c r="AK1839" s="221"/>
      <c r="AL1839" s="221"/>
      <c r="AM1839" s="221"/>
      <c r="AN1839" s="221"/>
      <c r="AO1839" s="221"/>
      <c r="AP1839" s="221"/>
      <c r="AQ1839" s="221"/>
      <c r="AR1839" s="221"/>
      <c r="AS1839" s="221"/>
      <c r="AT1839" s="221"/>
      <c r="AU1839" s="221"/>
      <c r="AV1839" s="221"/>
      <c r="AW1839" s="221"/>
      <c r="AX1839" s="221"/>
      <c r="AY1839" s="221"/>
      <c r="AZ1839" s="221"/>
      <c r="BA1839" s="221"/>
    </row>
    <row r="1840" spans="1:53" x14ac:dyDescent="0.25">
      <c r="A1840" s="484" t="s">
        <v>123</v>
      </c>
      <c r="B1840" s="456"/>
      <c r="C1840" s="456"/>
      <c r="D1840" s="456"/>
      <c r="E1840" s="456"/>
      <c r="F1840" s="456"/>
      <c r="G1840" s="456"/>
      <c r="H1840" s="456"/>
      <c r="I1840" s="485"/>
      <c r="J1840" s="221"/>
      <c r="K1840" s="221"/>
      <c r="L1840" s="221"/>
      <c r="M1840" s="221"/>
      <c r="N1840" s="221"/>
      <c r="O1840" s="221"/>
      <c r="P1840" s="221"/>
      <c r="Q1840" s="221"/>
      <c r="R1840" s="221"/>
      <c r="S1840" s="221"/>
      <c r="T1840" s="221"/>
      <c r="U1840" s="221"/>
      <c r="V1840" s="221"/>
      <c r="W1840" s="221"/>
      <c r="X1840" s="221"/>
      <c r="Y1840" s="221"/>
      <c r="Z1840" s="221"/>
      <c r="AA1840" s="221"/>
      <c r="AB1840" s="221"/>
      <c r="AC1840" s="221"/>
      <c r="AD1840" s="221"/>
      <c r="AE1840" s="221"/>
      <c r="AF1840" s="221"/>
      <c r="AG1840" s="221"/>
      <c r="AH1840" s="221"/>
      <c r="AI1840" s="221"/>
      <c r="AJ1840" s="221"/>
      <c r="AK1840" s="221"/>
      <c r="AL1840" s="221"/>
      <c r="AM1840" s="221"/>
      <c r="AN1840" s="221"/>
      <c r="AO1840" s="221"/>
      <c r="AP1840" s="221"/>
      <c r="AQ1840" s="221"/>
      <c r="AR1840" s="221"/>
      <c r="AS1840" s="221"/>
      <c r="AT1840" s="221"/>
      <c r="AU1840" s="221"/>
      <c r="AV1840" s="221"/>
      <c r="AW1840" s="221"/>
      <c r="AX1840" s="221"/>
      <c r="AY1840" s="221"/>
      <c r="AZ1840" s="221"/>
      <c r="BA1840" s="221"/>
    </row>
    <row r="1841" spans="1:53" x14ac:dyDescent="0.25">
      <c r="A1841" s="220" t="s">
        <v>303</v>
      </c>
      <c r="B1841" s="456"/>
      <c r="C1841" s="456"/>
      <c r="D1841" s="456"/>
      <c r="E1841" s="456"/>
      <c r="F1841" s="456"/>
      <c r="G1841" s="456"/>
      <c r="H1841" s="456"/>
      <c r="I1841" s="485"/>
      <c r="J1841" s="221"/>
      <c r="K1841" s="221"/>
      <c r="L1841" s="221"/>
      <c r="M1841" s="221"/>
      <c r="N1841" s="221"/>
      <c r="O1841" s="221"/>
      <c r="P1841" s="221"/>
      <c r="Q1841" s="221"/>
      <c r="R1841" s="221"/>
      <c r="S1841" s="221"/>
      <c r="T1841" s="221"/>
      <c r="U1841" s="221"/>
      <c r="V1841" s="221"/>
      <c r="W1841" s="221"/>
      <c r="X1841" s="221"/>
      <c r="Y1841" s="221"/>
      <c r="Z1841" s="221"/>
      <c r="AA1841" s="221"/>
      <c r="AB1841" s="221"/>
      <c r="AC1841" s="221"/>
      <c r="AD1841" s="221"/>
      <c r="AE1841" s="221"/>
      <c r="AF1841" s="221"/>
      <c r="AG1841" s="221"/>
      <c r="AH1841" s="221"/>
      <c r="AI1841" s="221"/>
      <c r="AJ1841" s="221"/>
      <c r="AK1841" s="221"/>
      <c r="AL1841" s="221"/>
      <c r="AM1841" s="221"/>
      <c r="AN1841" s="221"/>
      <c r="AO1841" s="221"/>
      <c r="AP1841" s="221"/>
      <c r="AQ1841" s="221"/>
      <c r="AR1841" s="221"/>
      <c r="AS1841" s="221"/>
      <c r="AT1841" s="221"/>
      <c r="AU1841" s="221"/>
      <c r="AV1841" s="221"/>
      <c r="AW1841" s="221"/>
      <c r="AX1841" s="221"/>
      <c r="AY1841" s="221"/>
      <c r="AZ1841" s="221"/>
      <c r="BA1841" s="221"/>
    </row>
    <row r="1842" spans="1:53" x14ac:dyDescent="0.25">
      <c r="A1842" s="484" t="s">
        <v>543</v>
      </c>
      <c r="B1842" s="456"/>
      <c r="C1842" s="456"/>
      <c r="D1842" s="456"/>
      <c r="E1842" s="456"/>
      <c r="F1842" s="456"/>
      <c r="G1842" s="456"/>
      <c r="H1842" s="456"/>
      <c r="I1842" s="485"/>
      <c r="J1842" s="221"/>
      <c r="K1842" s="221"/>
      <c r="L1842" s="221"/>
      <c r="M1842" s="221"/>
      <c r="N1842" s="221"/>
      <c r="O1842" s="221"/>
      <c r="P1842" s="221"/>
      <c r="Q1842" s="221"/>
      <c r="R1842" s="221"/>
      <c r="S1842" s="221"/>
      <c r="T1842" s="221"/>
      <c r="U1842" s="221"/>
      <c r="V1842" s="221"/>
      <c r="W1842" s="221"/>
      <c r="X1842" s="221"/>
      <c r="Y1842" s="221"/>
      <c r="Z1842" s="221"/>
      <c r="AA1842" s="221"/>
      <c r="AB1842" s="221"/>
      <c r="AC1842" s="221"/>
      <c r="AD1842" s="221"/>
      <c r="AE1842" s="221"/>
      <c r="AF1842" s="221"/>
      <c r="AG1842" s="221"/>
      <c r="AH1842" s="221"/>
      <c r="AI1842" s="221"/>
      <c r="AJ1842" s="221"/>
      <c r="AK1842" s="221"/>
      <c r="AL1842" s="221"/>
      <c r="AM1842" s="221"/>
      <c r="AN1842" s="221"/>
      <c r="AO1842" s="221"/>
      <c r="AP1842" s="221"/>
      <c r="AQ1842" s="221"/>
      <c r="AR1842" s="221"/>
      <c r="AS1842" s="221"/>
      <c r="AT1842" s="221"/>
      <c r="AU1842" s="221"/>
      <c r="AV1842" s="221"/>
      <c r="AW1842" s="221"/>
      <c r="AX1842" s="221"/>
      <c r="AY1842" s="221"/>
      <c r="AZ1842" s="221"/>
      <c r="BA1842" s="221"/>
    </row>
    <row r="1843" spans="1:53" x14ac:dyDescent="0.25">
      <c r="A1843" s="484" t="s">
        <v>684</v>
      </c>
      <c r="B1843" s="456"/>
      <c r="C1843" s="456"/>
      <c r="D1843" s="456"/>
      <c r="E1843" s="456"/>
      <c r="F1843" s="456"/>
      <c r="G1843" s="456"/>
      <c r="H1843" s="456"/>
      <c r="I1843" s="485"/>
      <c r="J1843" s="221"/>
      <c r="K1843" s="221"/>
      <c r="L1843" s="221"/>
      <c r="M1843" s="221"/>
      <c r="N1843" s="221"/>
      <c r="O1843" s="221"/>
      <c r="P1843" s="221"/>
      <c r="Q1843" s="221"/>
      <c r="R1843" s="221"/>
      <c r="S1843" s="221"/>
      <c r="T1843" s="221"/>
      <c r="U1843" s="221"/>
      <c r="V1843" s="221"/>
      <c r="W1843" s="221"/>
      <c r="X1843" s="221"/>
      <c r="Y1843" s="221"/>
      <c r="Z1843" s="221"/>
      <c r="AA1843" s="221"/>
      <c r="AB1843" s="221"/>
      <c r="AC1843" s="221"/>
      <c r="AD1843" s="221"/>
      <c r="AE1843" s="221"/>
      <c r="AF1843" s="221"/>
      <c r="AG1843" s="221"/>
      <c r="AH1843" s="221"/>
      <c r="AI1843" s="221"/>
      <c r="AJ1843" s="221"/>
      <c r="AK1843" s="221"/>
      <c r="AL1843" s="221"/>
      <c r="AM1843" s="221"/>
      <c r="AN1843" s="221"/>
      <c r="AO1843" s="221"/>
      <c r="AP1843" s="221"/>
      <c r="AQ1843" s="221"/>
      <c r="AR1843" s="221"/>
      <c r="AS1843" s="221"/>
      <c r="AT1843" s="221"/>
      <c r="AU1843" s="221"/>
      <c r="AV1843" s="221"/>
      <c r="AW1843" s="221"/>
      <c r="AX1843" s="221"/>
      <c r="AY1843" s="221"/>
      <c r="AZ1843" s="221"/>
      <c r="BA1843" s="221"/>
    </row>
    <row r="1844" spans="1:53" x14ac:dyDescent="0.25">
      <c r="A1844" s="486" t="s">
        <v>913</v>
      </c>
      <c r="B1844" s="487"/>
      <c r="C1844" s="487"/>
      <c r="D1844" s="487"/>
      <c r="E1844" s="487"/>
      <c r="F1844" s="487"/>
      <c r="G1844" s="487"/>
      <c r="H1844" s="487"/>
      <c r="I1844" s="488"/>
      <c r="J1844" s="221"/>
      <c r="K1844" s="221"/>
      <c r="L1844" s="221"/>
      <c r="M1844" s="221"/>
      <c r="N1844" s="221"/>
      <c r="O1844" s="221"/>
      <c r="P1844" s="221"/>
      <c r="Q1844" s="221"/>
      <c r="R1844" s="221"/>
      <c r="S1844" s="221"/>
      <c r="T1844" s="221"/>
      <c r="U1844" s="221"/>
      <c r="V1844" s="221"/>
      <c r="W1844" s="221"/>
      <c r="X1844" s="221"/>
      <c r="Y1844" s="221"/>
      <c r="Z1844" s="221"/>
      <c r="AA1844" s="221"/>
      <c r="AB1844" s="221"/>
      <c r="AC1844" s="221"/>
      <c r="AD1844" s="221"/>
      <c r="AE1844" s="221"/>
      <c r="AF1844" s="221"/>
      <c r="AG1844" s="221"/>
      <c r="AH1844" s="221"/>
      <c r="AI1844" s="221"/>
      <c r="AJ1844" s="221"/>
      <c r="AK1844" s="221"/>
      <c r="AL1844" s="221"/>
      <c r="AM1844" s="221"/>
      <c r="AN1844" s="221"/>
      <c r="AO1844" s="221"/>
      <c r="AP1844" s="221"/>
      <c r="AQ1844" s="221"/>
      <c r="AR1844" s="221"/>
      <c r="AS1844" s="221"/>
      <c r="AT1844" s="221"/>
      <c r="AU1844" s="221"/>
      <c r="AV1844" s="221"/>
      <c r="AW1844" s="221"/>
      <c r="AX1844" s="221"/>
      <c r="AY1844" s="221"/>
      <c r="AZ1844" s="221"/>
      <c r="BA1844" s="221"/>
    </row>
    <row r="1845" spans="1:53" x14ac:dyDescent="0.25">
      <c r="A1845" s="221"/>
      <c r="B1845" s="221"/>
      <c r="C1845" s="221"/>
      <c r="D1845" s="221"/>
      <c r="E1845" s="221"/>
      <c r="F1845" s="221"/>
      <c r="G1845" s="221"/>
      <c r="H1845" s="221"/>
      <c r="I1845" s="221"/>
      <c r="J1845" s="221"/>
      <c r="K1845" s="221"/>
      <c r="L1845" s="221"/>
      <c r="M1845" s="221"/>
      <c r="N1845" s="221"/>
      <c r="O1845" s="221"/>
      <c r="P1845" s="221"/>
      <c r="Q1845" s="221"/>
      <c r="R1845" s="221"/>
      <c r="S1845" s="221"/>
      <c r="T1845" s="221"/>
      <c r="U1845" s="221"/>
      <c r="V1845" s="221"/>
      <c r="W1845" s="221"/>
      <c r="X1845" s="221"/>
      <c r="Y1845" s="221"/>
      <c r="Z1845" s="221"/>
      <c r="AA1845" s="221"/>
      <c r="AB1845" s="221"/>
      <c r="AC1845" s="221"/>
      <c r="AD1845" s="221"/>
      <c r="AE1845" s="221"/>
      <c r="AF1845" s="221"/>
      <c r="AG1845" s="221"/>
      <c r="AH1845" s="221"/>
      <c r="AI1845" s="221"/>
      <c r="AJ1845" s="221"/>
      <c r="AK1845" s="221"/>
      <c r="AL1845" s="221"/>
      <c r="AM1845" s="221"/>
      <c r="AN1845" s="221"/>
      <c r="AO1845" s="221"/>
      <c r="AP1845" s="221"/>
      <c r="AQ1845" s="221"/>
      <c r="AR1845" s="221"/>
      <c r="AS1845" s="221"/>
      <c r="AT1845" s="221"/>
      <c r="AU1845" s="221"/>
      <c r="AV1845" s="221"/>
      <c r="AW1845" s="221"/>
      <c r="AX1845" s="221"/>
      <c r="AY1845" s="221"/>
      <c r="AZ1845" s="221"/>
      <c r="BA1845" s="221"/>
    </row>
    <row r="1846" spans="1:53" x14ac:dyDescent="0.25">
      <c r="A1846" s="457" t="s">
        <v>14</v>
      </c>
      <c r="B1846" s="458" t="s">
        <v>654</v>
      </c>
      <c r="C1846" s="459" t="s">
        <v>15</v>
      </c>
      <c r="D1846" s="456"/>
      <c r="E1846" s="456"/>
      <c r="F1846" s="456"/>
      <c r="G1846" s="456"/>
      <c r="H1846" s="456"/>
      <c r="I1846" s="221"/>
      <c r="J1846" s="221"/>
      <c r="K1846" s="221"/>
      <c r="L1846" s="221"/>
      <c r="M1846" s="221"/>
      <c r="N1846" s="221"/>
      <c r="O1846" s="221"/>
      <c r="P1846" s="221"/>
      <c r="Q1846" s="221"/>
      <c r="R1846" s="221"/>
      <c r="S1846" s="221"/>
      <c r="T1846" s="221"/>
      <c r="U1846" s="221"/>
      <c r="V1846" s="221"/>
      <c r="W1846" s="221"/>
      <c r="X1846" s="221"/>
      <c r="Y1846" s="221"/>
      <c r="Z1846" s="221"/>
      <c r="AA1846" s="221"/>
      <c r="AB1846" s="221"/>
      <c r="AC1846" s="221"/>
      <c r="AD1846" s="221"/>
      <c r="AE1846" s="221"/>
      <c r="AF1846" s="221"/>
      <c r="AG1846" s="221"/>
      <c r="AH1846" s="221"/>
      <c r="AI1846" s="221"/>
      <c r="AJ1846" s="221"/>
      <c r="AK1846" s="221"/>
      <c r="AL1846" s="221"/>
      <c r="AM1846" s="221"/>
      <c r="AN1846" s="221"/>
      <c r="AO1846" s="221"/>
      <c r="AP1846" s="221"/>
      <c r="AQ1846" s="221"/>
      <c r="AR1846" s="221"/>
      <c r="AS1846" s="221"/>
      <c r="AT1846" s="221"/>
      <c r="AU1846" s="221"/>
      <c r="AV1846" s="221"/>
      <c r="AW1846" s="221"/>
      <c r="AX1846" s="221"/>
      <c r="AY1846" s="221"/>
      <c r="AZ1846" s="221"/>
      <c r="BA1846" s="221"/>
    </row>
    <row r="1847" spans="1:53" x14ac:dyDescent="0.25">
      <c r="A1847" s="460" t="s">
        <v>16</v>
      </c>
      <c r="B1847" s="461"/>
      <c r="C1847" s="493">
        <v>2017</v>
      </c>
      <c r="D1847" s="494">
        <v>2018</v>
      </c>
      <c r="E1847" s="494">
        <v>2019</v>
      </c>
      <c r="F1847" s="495">
        <v>2020</v>
      </c>
      <c r="G1847" s="477">
        <v>2021</v>
      </c>
      <c r="H1847" s="477">
        <v>2022</v>
      </c>
      <c r="I1847" s="477">
        <v>2023</v>
      </c>
      <c r="J1847" s="221"/>
      <c r="K1847" s="221"/>
      <c r="L1847" s="221"/>
      <c r="M1847" s="221"/>
      <c r="N1847" s="221"/>
      <c r="O1847" s="221"/>
      <c r="P1847" s="221"/>
      <c r="Q1847" s="221"/>
      <c r="R1847" s="221"/>
      <c r="S1847" s="221"/>
      <c r="T1847" s="221"/>
      <c r="U1847" s="221"/>
      <c r="V1847" s="221"/>
      <c r="W1847" s="221"/>
      <c r="X1847" s="221"/>
      <c r="Y1847" s="221"/>
      <c r="Z1847" s="221"/>
      <c r="AA1847" s="221"/>
      <c r="AB1847" s="221"/>
      <c r="AC1847" s="221"/>
      <c r="AD1847" s="221"/>
      <c r="AE1847" s="221"/>
      <c r="AF1847" s="221"/>
      <c r="AG1847" s="221"/>
      <c r="AH1847" s="221"/>
      <c r="AI1847" s="221"/>
      <c r="AJ1847" s="221"/>
      <c r="AK1847" s="221"/>
      <c r="AL1847" s="221"/>
      <c r="AM1847" s="221"/>
      <c r="AN1847" s="221"/>
      <c r="AO1847" s="221"/>
      <c r="AP1847" s="221"/>
      <c r="AQ1847" s="221"/>
      <c r="AR1847" s="221"/>
      <c r="AS1847" s="221"/>
      <c r="AT1847" s="221"/>
      <c r="AU1847" s="221"/>
      <c r="AV1847" s="221"/>
      <c r="AW1847" s="221"/>
      <c r="AX1847" s="221"/>
      <c r="AY1847" s="221"/>
      <c r="AZ1847" s="221"/>
      <c r="BA1847" s="221"/>
    </row>
    <row r="1848" spans="1:53" x14ac:dyDescent="0.25">
      <c r="A1848" s="460" t="s">
        <v>17</v>
      </c>
      <c r="B1848" s="460"/>
      <c r="C1848" s="496">
        <v>100</v>
      </c>
      <c r="D1848" s="496">
        <v>100</v>
      </c>
      <c r="E1848" s="241">
        <v>100</v>
      </c>
      <c r="F1848" s="241">
        <v>100</v>
      </c>
      <c r="G1848" s="241">
        <v>100</v>
      </c>
      <c r="H1848" s="241">
        <v>100</v>
      </c>
      <c r="I1848" s="241">
        <v>100</v>
      </c>
      <c r="J1848" s="221"/>
      <c r="K1848" s="221"/>
      <c r="L1848" s="221"/>
      <c r="M1848" s="221"/>
      <c r="N1848" s="221"/>
      <c r="O1848" s="221"/>
      <c r="P1848" s="221"/>
      <c r="Q1848" s="221"/>
      <c r="R1848" s="221"/>
      <c r="S1848" s="221"/>
      <c r="T1848" s="221"/>
      <c r="U1848" s="221"/>
      <c r="V1848" s="221"/>
      <c r="W1848" s="221"/>
      <c r="X1848" s="221"/>
      <c r="Y1848" s="221"/>
      <c r="Z1848" s="221"/>
      <c r="AA1848" s="221"/>
      <c r="AB1848" s="221"/>
      <c r="AC1848" s="221"/>
      <c r="AD1848" s="221"/>
      <c r="AE1848" s="221"/>
      <c r="AF1848" s="221"/>
      <c r="AG1848" s="221"/>
      <c r="AH1848" s="221"/>
      <c r="AI1848" s="221"/>
      <c r="AJ1848" s="221"/>
      <c r="AK1848" s="221"/>
      <c r="AL1848" s="221"/>
      <c r="AM1848" s="221"/>
      <c r="AN1848" s="221"/>
      <c r="AO1848" s="221"/>
      <c r="AP1848" s="221"/>
      <c r="AQ1848" s="221"/>
      <c r="AR1848" s="221"/>
      <c r="AS1848" s="221"/>
      <c r="AT1848" s="221"/>
      <c r="AU1848" s="221"/>
      <c r="AV1848" s="221"/>
      <c r="AW1848" s="221"/>
      <c r="AX1848" s="221"/>
      <c r="AY1848" s="221"/>
      <c r="AZ1848" s="221"/>
      <c r="BA1848" s="221"/>
    </row>
    <row r="1849" spans="1:53" x14ac:dyDescent="0.25">
      <c r="A1849" s="460" t="s">
        <v>18</v>
      </c>
      <c r="B1849" s="460"/>
      <c r="C1849" s="496">
        <v>99.94</v>
      </c>
      <c r="D1849" s="496">
        <v>99.94</v>
      </c>
      <c r="E1849" s="241">
        <v>99.94</v>
      </c>
      <c r="F1849" s="241">
        <v>99.94</v>
      </c>
      <c r="G1849" s="241">
        <v>99.94</v>
      </c>
      <c r="H1849" s="241">
        <f>H1848-50-25-24.94+G1852</f>
        <v>100</v>
      </c>
      <c r="I1849" s="241">
        <f>I1848-50-25-24.94+H1852</f>
        <v>100.06</v>
      </c>
      <c r="J1849" s="221"/>
      <c r="K1849" s="221"/>
      <c r="L1849" s="221"/>
      <c r="M1849" s="221"/>
      <c r="N1849" s="221"/>
      <c r="O1849" s="221"/>
      <c r="P1849" s="221"/>
      <c r="Q1849" s="221"/>
      <c r="R1849" s="221"/>
      <c r="S1849" s="221"/>
      <c r="T1849" s="221"/>
      <c r="U1849" s="221"/>
      <c r="V1849" s="221"/>
      <c r="W1849" s="221"/>
      <c r="X1849" s="221"/>
      <c r="Y1849" s="221"/>
      <c r="Z1849" s="221"/>
      <c r="AA1849" s="221"/>
      <c r="AB1849" s="221"/>
      <c r="AC1849" s="221"/>
      <c r="AD1849" s="221"/>
      <c r="AE1849" s="221"/>
      <c r="AF1849" s="221"/>
      <c r="AG1849" s="221"/>
      <c r="AH1849" s="221"/>
      <c r="AI1849" s="221"/>
      <c r="AJ1849" s="221"/>
      <c r="AK1849" s="221"/>
      <c r="AL1849" s="221"/>
      <c r="AM1849" s="221"/>
      <c r="AN1849" s="221"/>
      <c r="AO1849" s="221"/>
      <c r="AP1849" s="221"/>
      <c r="AQ1849" s="221"/>
      <c r="AR1849" s="221"/>
      <c r="AS1849" s="221"/>
      <c r="AT1849" s="221"/>
      <c r="AU1849" s="221"/>
      <c r="AV1849" s="221"/>
      <c r="AW1849" s="221"/>
      <c r="AX1849" s="221"/>
      <c r="AY1849" s="221"/>
      <c r="AZ1849" s="221"/>
      <c r="BA1849" s="221"/>
    </row>
    <row r="1850" spans="1:53" x14ac:dyDescent="0.25">
      <c r="A1850" s="460" t="s">
        <v>19</v>
      </c>
      <c r="B1850" s="460"/>
      <c r="C1850" s="241"/>
      <c r="D1850" s="241"/>
      <c r="E1850" s="241"/>
      <c r="F1850" s="241"/>
      <c r="G1850" s="241"/>
      <c r="H1850" s="241"/>
      <c r="I1850" s="241"/>
      <c r="J1850" s="221"/>
      <c r="K1850" s="221"/>
      <c r="L1850" s="221"/>
      <c r="M1850" s="221"/>
      <c r="N1850" s="221"/>
      <c r="O1850" s="221"/>
      <c r="P1850" s="221"/>
      <c r="Q1850" s="221"/>
      <c r="R1850" s="221"/>
      <c r="S1850" s="221"/>
      <c r="T1850" s="221"/>
      <c r="U1850" s="221"/>
      <c r="V1850" s="221"/>
      <c r="W1850" s="221"/>
      <c r="X1850" s="221"/>
      <c r="Y1850" s="221"/>
      <c r="Z1850" s="221"/>
      <c r="AA1850" s="221"/>
      <c r="AB1850" s="221"/>
      <c r="AC1850" s="221"/>
      <c r="AD1850" s="221"/>
      <c r="AE1850" s="221"/>
      <c r="AF1850" s="221"/>
      <c r="AG1850" s="221"/>
      <c r="AH1850" s="221"/>
      <c r="AI1850" s="221"/>
      <c r="AJ1850" s="221"/>
      <c r="AK1850" s="221"/>
      <c r="AL1850" s="221"/>
      <c r="AM1850" s="221"/>
      <c r="AN1850" s="221"/>
      <c r="AO1850" s="221"/>
      <c r="AP1850" s="221"/>
      <c r="AQ1850" s="221"/>
      <c r="AR1850" s="221"/>
      <c r="AS1850" s="221"/>
      <c r="AT1850" s="221"/>
      <c r="AU1850" s="221"/>
      <c r="AV1850" s="221"/>
      <c r="AW1850" s="221"/>
      <c r="AX1850" s="221"/>
      <c r="AY1850" s="221"/>
      <c r="AZ1850" s="221"/>
      <c r="BA1850" s="221"/>
    </row>
    <row r="1851" spans="1:53" x14ac:dyDescent="0.25">
      <c r="A1851" s="460" t="s">
        <v>20</v>
      </c>
      <c r="B1851" s="460"/>
      <c r="C1851" s="496">
        <v>0</v>
      </c>
      <c r="D1851" s="496">
        <v>0</v>
      </c>
      <c r="E1851" s="496">
        <v>0</v>
      </c>
      <c r="F1851" s="241">
        <v>0</v>
      </c>
      <c r="G1851" s="241">
        <v>0</v>
      </c>
      <c r="H1851" s="241">
        <v>0</v>
      </c>
      <c r="I1851" s="241"/>
      <c r="J1851" s="221"/>
      <c r="K1851" s="221"/>
      <c r="L1851" s="221"/>
      <c r="M1851" s="221"/>
      <c r="N1851" s="221"/>
      <c r="O1851" s="221"/>
      <c r="P1851" s="221"/>
      <c r="Q1851" s="221"/>
      <c r="R1851" s="221"/>
      <c r="S1851" s="221"/>
      <c r="T1851" s="221"/>
      <c r="U1851" s="221"/>
      <c r="V1851" s="221"/>
      <c r="W1851" s="221"/>
      <c r="X1851" s="221"/>
      <c r="Y1851" s="221"/>
      <c r="Z1851" s="221"/>
      <c r="AA1851" s="221"/>
      <c r="AB1851" s="221"/>
      <c r="AC1851" s="221"/>
      <c r="AD1851" s="221"/>
      <c r="AE1851" s="221"/>
      <c r="AF1851" s="221"/>
      <c r="AG1851" s="221"/>
      <c r="AH1851" s="221"/>
      <c r="AI1851" s="221"/>
      <c r="AJ1851" s="221"/>
      <c r="AK1851" s="221"/>
      <c r="AL1851" s="221"/>
      <c r="AM1851" s="221"/>
      <c r="AN1851" s="221"/>
      <c r="AO1851" s="221"/>
      <c r="AP1851" s="221"/>
      <c r="AQ1851" s="221"/>
      <c r="AR1851" s="221"/>
      <c r="AS1851" s="221"/>
      <c r="AT1851" s="221"/>
      <c r="AU1851" s="221"/>
      <c r="AV1851" s="221"/>
      <c r="AW1851" s="221"/>
      <c r="AX1851" s="221"/>
      <c r="AY1851" s="221"/>
      <c r="AZ1851" s="221"/>
      <c r="BA1851" s="221"/>
    </row>
    <row r="1852" spans="1:53" x14ac:dyDescent="0.25">
      <c r="A1852" s="460" t="s">
        <v>21</v>
      </c>
      <c r="B1852" s="461"/>
      <c r="C1852" s="497">
        <v>99.94</v>
      </c>
      <c r="D1852" s="497">
        <v>99.94</v>
      </c>
      <c r="E1852" s="497">
        <v>99.94</v>
      </c>
      <c r="F1852" s="490">
        <v>99.94</v>
      </c>
      <c r="G1852" s="241">
        <v>99.94</v>
      </c>
      <c r="H1852" s="241">
        <f>H1848-H1851</f>
        <v>100</v>
      </c>
      <c r="I1852" s="241"/>
      <c r="J1852" s="221"/>
      <c r="K1852" s="221"/>
      <c r="L1852" s="221"/>
      <c r="M1852" s="221"/>
      <c r="N1852" s="221"/>
      <c r="O1852" s="221"/>
      <c r="P1852" s="221"/>
      <c r="Q1852" s="221"/>
      <c r="R1852" s="221"/>
      <c r="S1852" s="221"/>
      <c r="T1852" s="221"/>
      <c r="U1852" s="221"/>
      <c r="V1852" s="221"/>
      <c r="W1852" s="221"/>
      <c r="X1852" s="221"/>
      <c r="Y1852" s="221"/>
      <c r="Z1852" s="221"/>
      <c r="AA1852" s="221"/>
      <c r="AB1852" s="221"/>
      <c r="AC1852" s="221"/>
      <c r="AD1852" s="221"/>
      <c r="AE1852" s="221"/>
      <c r="AF1852" s="221"/>
      <c r="AG1852" s="221"/>
      <c r="AH1852" s="221"/>
      <c r="AI1852" s="221"/>
      <c r="AJ1852" s="221"/>
      <c r="AK1852" s="221"/>
      <c r="AL1852" s="221"/>
      <c r="AM1852" s="221"/>
      <c r="AN1852" s="221"/>
      <c r="AO1852" s="221"/>
      <c r="AP1852" s="221"/>
      <c r="AQ1852" s="221"/>
      <c r="AR1852" s="221"/>
      <c r="AS1852" s="221"/>
      <c r="AT1852" s="221"/>
      <c r="AU1852" s="221"/>
      <c r="AV1852" s="221"/>
      <c r="AW1852" s="221"/>
      <c r="AX1852" s="221"/>
      <c r="AY1852" s="221"/>
      <c r="AZ1852" s="221"/>
      <c r="BA1852" s="221"/>
    </row>
    <row r="1853" spans="1:53" x14ac:dyDescent="0.25">
      <c r="A1853" s="468" t="s">
        <v>22</v>
      </c>
      <c r="B1853" s="469"/>
      <c r="C1853" s="492">
        <v>2018</v>
      </c>
      <c r="D1853" s="470">
        <v>2019</v>
      </c>
      <c r="E1853" s="470">
        <v>2020</v>
      </c>
      <c r="F1853" s="479">
        <v>2021</v>
      </c>
      <c r="G1853" s="480">
        <v>2022</v>
      </c>
      <c r="H1853" s="480">
        <v>2023</v>
      </c>
      <c r="I1853" s="480">
        <v>2024</v>
      </c>
      <c r="J1853" s="221"/>
      <c r="K1853" s="221"/>
      <c r="L1853" s="221"/>
      <c r="M1853" s="221"/>
      <c r="N1853" s="221"/>
      <c r="O1853" s="221"/>
      <c r="P1853" s="221"/>
      <c r="Q1853" s="221"/>
      <c r="R1853" s="221"/>
      <c r="S1853" s="221"/>
      <c r="T1853" s="221"/>
      <c r="U1853" s="221"/>
      <c r="V1853" s="221"/>
      <c r="W1853" s="221"/>
      <c r="X1853" s="221"/>
      <c r="Y1853" s="221"/>
      <c r="Z1853" s="221"/>
      <c r="AA1853" s="221"/>
      <c r="AB1853" s="221"/>
      <c r="AC1853" s="221"/>
      <c r="AD1853" s="221"/>
      <c r="AE1853" s="221"/>
      <c r="AF1853" s="221"/>
      <c r="AG1853" s="221"/>
      <c r="AH1853" s="221"/>
      <c r="AI1853" s="221"/>
      <c r="AJ1853" s="221"/>
      <c r="AK1853" s="221"/>
      <c r="AL1853" s="221"/>
      <c r="AM1853" s="221"/>
      <c r="AN1853" s="221"/>
      <c r="AO1853" s="221"/>
      <c r="AP1853" s="221"/>
      <c r="AQ1853" s="221"/>
      <c r="AR1853" s="221"/>
      <c r="AS1853" s="221"/>
      <c r="AT1853" s="221"/>
      <c r="AU1853" s="221"/>
      <c r="AV1853" s="221"/>
      <c r="AW1853" s="221"/>
      <c r="AX1853" s="221"/>
      <c r="AY1853" s="221"/>
      <c r="AZ1853" s="221"/>
      <c r="BA1853" s="221"/>
    </row>
    <row r="1854" spans="1:53" x14ac:dyDescent="0.25">
      <c r="A1854" s="481" t="s">
        <v>124</v>
      </c>
      <c r="B1854" s="482"/>
      <c r="C1854" s="482"/>
      <c r="D1854" s="482"/>
      <c r="E1854" s="482"/>
      <c r="F1854" s="482"/>
      <c r="G1854" s="482"/>
      <c r="H1854" s="482"/>
      <c r="I1854" s="483"/>
      <c r="J1854" s="221"/>
      <c r="K1854" s="221"/>
      <c r="L1854" s="221"/>
      <c r="M1854" s="221"/>
      <c r="N1854" s="221"/>
      <c r="O1854" s="221"/>
      <c r="P1854" s="221"/>
      <c r="Q1854" s="221"/>
      <c r="R1854" s="221"/>
      <c r="S1854" s="221"/>
      <c r="T1854" s="221"/>
      <c r="U1854" s="221"/>
      <c r="V1854" s="221"/>
      <c r="W1854" s="221"/>
      <c r="X1854" s="221"/>
      <c r="Y1854" s="221"/>
      <c r="Z1854" s="221"/>
      <c r="AA1854" s="221"/>
      <c r="AB1854" s="221"/>
      <c r="AC1854" s="221"/>
      <c r="AD1854" s="221"/>
      <c r="AE1854" s="221"/>
      <c r="AF1854" s="221"/>
      <c r="AG1854" s="221"/>
      <c r="AH1854" s="221"/>
      <c r="AI1854" s="221"/>
      <c r="AJ1854" s="221"/>
      <c r="AK1854" s="221"/>
      <c r="AL1854" s="221"/>
      <c r="AM1854" s="221"/>
      <c r="AN1854" s="221"/>
      <c r="AO1854" s="221"/>
      <c r="AP1854" s="221"/>
      <c r="AQ1854" s="221"/>
      <c r="AR1854" s="221"/>
      <c r="AS1854" s="221"/>
      <c r="AT1854" s="221"/>
      <c r="AU1854" s="221"/>
      <c r="AV1854" s="221"/>
      <c r="AW1854" s="221"/>
      <c r="AX1854" s="221"/>
      <c r="AY1854" s="221"/>
      <c r="AZ1854" s="221"/>
      <c r="BA1854" s="221"/>
    </row>
    <row r="1855" spans="1:53" x14ac:dyDescent="0.25">
      <c r="A1855" s="484" t="s">
        <v>125</v>
      </c>
      <c r="B1855" s="456"/>
      <c r="C1855" s="456"/>
      <c r="D1855" s="456"/>
      <c r="E1855" s="456"/>
      <c r="F1855" s="456"/>
      <c r="G1855" s="456"/>
      <c r="H1855" s="456"/>
      <c r="I1855" s="485"/>
      <c r="J1855" s="221"/>
      <c r="K1855" s="221"/>
      <c r="L1855" s="221"/>
      <c r="M1855" s="221"/>
      <c r="N1855" s="221"/>
      <c r="O1855" s="221"/>
      <c r="P1855" s="221"/>
      <c r="Q1855" s="221"/>
      <c r="R1855" s="221"/>
      <c r="S1855" s="221"/>
      <c r="T1855" s="221"/>
      <c r="U1855" s="221"/>
      <c r="V1855" s="221"/>
      <c r="W1855" s="221"/>
      <c r="X1855" s="221"/>
      <c r="Y1855" s="221"/>
      <c r="Z1855" s="221"/>
      <c r="AA1855" s="221"/>
      <c r="AB1855" s="221"/>
      <c r="AC1855" s="221"/>
      <c r="AD1855" s="221"/>
      <c r="AE1855" s="221"/>
      <c r="AF1855" s="221"/>
      <c r="AG1855" s="221"/>
      <c r="AH1855" s="221"/>
      <c r="AI1855" s="221"/>
      <c r="AJ1855" s="221"/>
      <c r="AK1855" s="221"/>
      <c r="AL1855" s="221"/>
      <c r="AM1855" s="221"/>
      <c r="AN1855" s="221"/>
      <c r="AO1855" s="221"/>
      <c r="AP1855" s="221"/>
      <c r="AQ1855" s="221"/>
      <c r="AR1855" s="221"/>
      <c r="AS1855" s="221"/>
      <c r="AT1855" s="221"/>
      <c r="AU1855" s="221"/>
      <c r="AV1855" s="221"/>
      <c r="AW1855" s="221"/>
      <c r="AX1855" s="221"/>
      <c r="AY1855" s="221"/>
      <c r="AZ1855" s="221"/>
      <c r="BA1855" s="221"/>
    </row>
    <row r="1856" spans="1:53" x14ac:dyDescent="0.25">
      <c r="A1856" s="484" t="s">
        <v>126</v>
      </c>
      <c r="B1856" s="456"/>
      <c r="C1856" s="456"/>
      <c r="D1856" s="456"/>
      <c r="E1856" s="456"/>
      <c r="F1856" s="456"/>
      <c r="G1856" s="456"/>
      <c r="H1856" s="456"/>
      <c r="I1856" s="485"/>
      <c r="J1856" s="221"/>
      <c r="K1856" s="221"/>
      <c r="L1856" s="221"/>
      <c r="M1856" s="221"/>
      <c r="N1856" s="221"/>
      <c r="O1856" s="221"/>
      <c r="P1856" s="221"/>
      <c r="Q1856" s="221"/>
      <c r="R1856" s="221"/>
      <c r="S1856" s="221"/>
      <c r="T1856" s="221"/>
      <c r="U1856" s="221"/>
      <c r="V1856" s="221"/>
      <c r="W1856" s="221"/>
      <c r="X1856" s="221"/>
      <c r="Y1856" s="221"/>
      <c r="Z1856" s="221"/>
      <c r="AA1856" s="221"/>
      <c r="AB1856" s="221"/>
      <c r="AC1856" s="221"/>
      <c r="AD1856" s="221"/>
      <c r="AE1856" s="221"/>
      <c r="AF1856" s="221"/>
      <c r="AG1856" s="221"/>
      <c r="AH1856" s="221"/>
      <c r="AI1856" s="221"/>
      <c r="AJ1856" s="221"/>
      <c r="AK1856" s="221"/>
      <c r="AL1856" s="221"/>
      <c r="AM1856" s="221"/>
      <c r="AN1856" s="221"/>
      <c r="AO1856" s="221"/>
      <c r="AP1856" s="221"/>
      <c r="AQ1856" s="221"/>
      <c r="AR1856" s="221"/>
      <c r="AS1856" s="221"/>
      <c r="AT1856" s="221"/>
      <c r="AU1856" s="221"/>
      <c r="AV1856" s="221"/>
      <c r="AW1856" s="221"/>
      <c r="AX1856" s="221"/>
      <c r="AY1856" s="221"/>
      <c r="AZ1856" s="221"/>
      <c r="BA1856" s="221"/>
    </row>
    <row r="1857" spans="1:53" x14ac:dyDescent="0.25">
      <c r="A1857" s="484" t="s">
        <v>127</v>
      </c>
      <c r="B1857" s="456"/>
      <c r="C1857" s="456"/>
      <c r="D1857" s="456"/>
      <c r="E1857" s="456"/>
      <c r="F1857" s="456"/>
      <c r="G1857" s="456"/>
      <c r="H1857" s="456"/>
      <c r="I1857" s="485"/>
      <c r="J1857" s="221"/>
      <c r="K1857" s="221"/>
      <c r="L1857" s="221"/>
      <c r="M1857" s="221"/>
      <c r="N1857" s="221"/>
      <c r="O1857" s="221"/>
      <c r="P1857" s="221"/>
      <c r="Q1857" s="221"/>
      <c r="R1857" s="221"/>
      <c r="S1857" s="221"/>
      <c r="T1857" s="221"/>
      <c r="U1857" s="221"/>
      <c r="V1857" s="221"/>
      <c r="W1857" s="221"/>
      <c r="X1857" s="221"/>
      <c r="Y1857" s="221"/>
      <c r="Z1857" s="221"/>
      <c r="AA1857" s="221"/>
      <c r="AB1857" s="221"/>
      <c r="AC1857" s="221"/>
      <c r="AD1857" s="221"/>
      <c r="AE1857" s="221"/>
      <c r="AF1857" s="221"/>
      <c r="AG1857" s="221"/>
      <c r="AH1857" s="221"/>
      <c r="AI1857" s="221"/>
      <c r="AJ1857" s="221"/>
      <c r="AK1857" s="221"/>
      <c r="AL1857" s="221"/>
      <c r="AM1857" s="221"/>
      <c r="AN1857" s="221"/>
      <c r="AO1857" s="221"/>
      <c r="AP1857" s="221"/>
      <c r="AQ1857" s="221"/>
      <c r="AR1857" s="221"/>
      <c r="AS1857" s="221"/>
      <c r="AT1857" s="221"/>
      <c r="AU1857" s="221"/>
      <c r="AV1857" s="221"/>
      <c r="AW1857" s="221"/>
      <c r="AX1857" s="221"/>
      <c r="AY1857" s="221"/>
      <c r="AZ1857" s="221"/>
      <c r="BA1857" s="221"/>
    </row>
    <row r="1858" spans="1:53" x14ac:dyDescent="0.25">
      <c r="A1858" s="484" t="s">
        <v>304</v>
      </c>
      <c r="B1858" s="456"/>
      <c r="C1858" s="456"/>
      <c r="D1858" s="456"/>
      <c r="E1858" s="456"/>
      <c r="F1858" s="456"/>
      <c r="G1858" s="456"/>
      <c r="H1858" s="456"/>
      <c r="I1858" s="485"/>
      <c r="J1858" s="221"/>
      <c r="K1858" s="221"/>
      <c r="L1858" s="221"/>
      <c r="M1858" s="221"/>
      <c r="N1858" s="221"/>
      <c r="O1858" s="221"/>
      <c r="P1858" s="221"/>
      <c r="Q1858" s="221"/>
      <c r="R1858" s="221"/>
      <c r="S1858" s="221"/>
      <c r="T1858" s="221"/>
      <c r="U1858" s="221"/>
      <c r="V1858" s="221"/>
      <c r="W1858" s="221"/>
      <c r="X1858" s="221"/>
      <c r="Y1858" s="221"/>
      <c r="Z1858" s="221"/>
      <c r="AA1858" s="221"/>
      <c r="AB1858" s="221"/>
      <c r="AC1858" s="221"/>
      <c r="AD1858" s="221"/>
      <c r="AE1858" s="221"/>
      <c r="AF1858" s="221"/>
      <c r="AG1858" s="221"/>
      <c r="AH1858" s="221"/>
      <c r="AI1858" s="221"/>
      <c r="AJ1858" s="221"/>
      <c r="AK1858" s="221"/>
      <c r="AL1858" s="221"/>
      <c r="AM1858" s="221"/>
      <c r="AN1858" s="221"/>
      <c r="AO1858" s="221"/>
      <c r="AP1858" s="221"/>
      <c r="AQ1858" s="221"/>
      <c r="AR1858" s="221"/>
      <c r="AS1858" s="221"/>
      <c r="AT1858" s="221"/>
      <c r="AU1858" s="221"/>
      <c r="AV1858" s="221"/>
      <c r="AW1858" s="221"/>
      <c r="AX1858" s="221"/>
      <c r="AY1858" s="221"/>
      <c r="AZ1858" s="221"/>
      <c r="BA1858" s="221"/>
    </row>
    <row r="1859" spans="1:53" x14ac:dyDescent="0.25">
      <c r="A1859" s="484" t="s">
        <v>544</v>
      </c>
      <c r="B1859" s="456"/>
      <c r="C1859" s="456"/>
      <c r="D1859" s="456"/>
      <c r="E1859" s="456"/>
      <c r="F1859" s="456"/>
      <c r="G1859" s="456"/>
      <c r="H1859" s="456"/>
      <c r="I1859" s="485"/>
      <c r="J1859" s="221"/>
      <c r="K1859" s="221"/>
      <c r="L1859" s="221"/>
      <c r="M1859" s="221"/>
      <c r="N1859" s="221"/>
      <c r="O1859" s="221"/>
      <c r="P1859" s="221"/>
      <c r="Q1859" s="221"/>
      <c r="R1859" s="221"/>
      <c r="S1859" s="221"/>
      <c r="T1859" s="221"/>
      <c r="U1859" s="221"/>
      <c r="V1859" s="221"/>
      <c r="W1859" s="221"/>
      <c r="X1859" s="221"/>
      <c r="Y1859" s="221"/>
      <c r="Z1859" s="221"/>
      <c r="AA1859" s="221"/>
      <c r="AB1859" s="221"/>
      <c r="AC1859" s="221"/>
      <c r="AD1859" s="221"/>
      <c r="AE1859" s="221"/>
      <c r="AF1859" s="221"/>
      <c r="AG1859" s="221"/>
      <c r="AH1859" s="221"/>
      <c r="AI1859" s="221"/>
      <c r="AJ1859" s="221"/>
      <c r="AK1859" s="221"/>
      <c r="AL1859" s="221"/>
      <c r="AM1859" s="221"/>
      <c r="AN1859" s="221"/>
      <c r="AO1859" s="221"/>
      <c r="AP1859" s="221"/>
      <c r="AQ1859" s="221"/>
      <c r="AR1859" s="221"/>
      <c r="AS1859" s="221"/>
      <c r="AT1859" s="221"/>
      <c r="AU1859" s="221"/>
      <c r="AV1859" s="221"/>
      <c r="AW1859" s="221"/>
      <c r="AX1859" s="221"/>
      <c r="AY1859" s="221"/>
      <c r="AZ1859" s="221"/>
      <c r="BA1859" s="221"/>
    </row>
    <row r="1860" spans="1:53" x14ac:dyDescent="0.25">
      <c r="A1860" s="484" t="s">
        <v>585</v>
      </c>
      <c r="B1860" s="456"/>
      <c r="C1860" s="456"/>
      <c r="D1860" s="456"/>
      <c r="E1860" s="456"/>
      <c r="F1860" s="456"/>
      <c r="G1860" s="456"/>
      <c r="H1860" s="456"/>
      <c r="I1860" s="485"/>
      <c r="J1860" s="221"/>
      <c r="K1860" s="221"/>
      <c r="L1860" s="221"/>
      <c r="M1860" s="221"/>
      <c r="N1860" s="221"/>
      <c r="O1860" s="221"/>
      <c r="P1860" s="221"/>
      <c r="Q1860" s="221"/>
      <c r="R1860" s="221"/>
      <c r="S1860" s="221"/>
      <c r="T1860" s="221"/>
      <c r="U1860" s="221"/>
      <c r="V1860" s="221"/>
      <c r="W1860" s="221"/>
      <c r="X1860" s="221"/>
      <c r="Y1860" s="221"/>
      <c r="Z1860" s="221"/>
      <c r="AA1860" s="221"/>
      <c r="AB1860" s="221"/>
      <c r="AC1860" s="221"/>
      <c r="AD1860" s="221"/>
      <c r="AE1860" s="221"/>
      <c r="AF1860" s="221"/>
      <c r="AG1860" s="221"/>
      <c r="AH1860" s="221"/>
      <c r="AI1860" s="221"/>
      <c r="AJ1860" s="221"/>
      <c r="AK1860" s="221"/>
      <c r="AL1860" s="221"/>
      <c r="AM1860" s="221"/>
      <c r="AN1860" s="221"/>
      <c r="AO1860" s="221"/>
      <c r="AP1860" s="221"/>
      <c r="AQ1860" s="221"/>
      <c r="AR1860" s="221"/>
      <c r="AS1860" s="221"/>
      <c r="AT1860" s="221"/>
      <c r="AU1860" s="221"/>
      <c r="AV1860" s="221"/>
      <c r="AW1860" s="221"/>
      <c r="AX1860" s="221"/>
      <c r="AY1860" s="221"/>
      <c r="AZ1860" s="221"/>
      <c r="BA1860" s="221"/>
    </row>
    <row r="1861" spans="1:53" x14ac:dyDescent="0.25">
      <c r="A1861" s="486" t="s">
        <v>914</v>
      </c>
      <c r="B1861" s="487"/>
      <c r="C1861" s="487"/>
      <c r="D1861" s="487"/>
      <c r="E1861" s="487"/>
      <c r="F1861" s="487"/>
      <c r="G1861" s="487"/>
      <c r="H1861" s="487"/>
      <c r="I1861" s="488"/>
      <c r="J1861" s="221"/>
      <c r="K1861" s="221"/>
      <c r="L1861" s="221"/>
      <c r="M1861" s="221"/>
      <c r="N1861" s="221"/>
      <c r="O1861" s="221"/>
      <c r="P1861" s="221"/>
      <c r="Q1861" s="221"/>
      <c r="R1861" s="221"/>
      <c r="S1861" s="221"/>
      <c r="T1861" s="221"/>
      <c r="U1861" s="221"/>
      <c r="V1861" s="221"/>
      <c r="W1861" s="221"/>
      <c r="X1861" s="221"/>
      <c r="Y1861" s="221"/>
      <c r="Z1861" s="221"/>
      <c r="AA1861" s="221"/>
      <c r="AB1861" s="221"/>
      <c r="AC1861" s="221"/>
      <c r="AD1861" s="221"/>
      <c r="AE1861" s="221"/>
      <c r="AF1861" s="221"/>
      <c r="AG1861" s="221"/>
      <c r="AH1861" s="221"/>
      <c r="AI1861" s="221"/>
      <c r="AJ1861" s="221"/>
      <c r="AK1861" s="221"/>
      <c r="AL1861" s="221"/>
      <c r="AM1861" s="221"/>
      <c r="AN1861" s="221"/>
      <c r="AO1861" s="221"/>
      <c r="AP1861" s="221"/>
      <c r="AQ1861" s="221"/>
      <c r="AR1861" s="221"/>
      <c r="AS1861" s="221"/>
      <c r="AT1861" s="221"/>
      <c r="AU1861" s="221"/>
      <c r="AV1861" s="221"/>
      <c r="AW1861" s="221"/>
      <c r="AX1861" s="221"/>
      <c r="AY1861" s="221"/>
      <c r="AZ1861" s="221"/>
      <c r="BA1861" s="221"/>
    </row>
    <row r="1862" spans="1:53" x14ac:dyDescent="0.25">
      <c r="A1862" s="221"/>
      <c r="B1862" s="221"/>
      <c r="C1862" s="221"/>
      <c r="D1862" s="221"/>
      <c r="E1862" s="221"/>
      <c r="F1862" s="221"/>
      <c r="G1862" s="221"/>
      <c r="H1862" s="221"/>
      <c r="I1862" s="221"/>
      <c r="J1862" s="221"/>
      <c r="K1862" s="221"/>
      <c r="L1862" s="221"/>
      <c r="M1862" s="221"/>
      <c r="N1862" s="221"/>
      <c r="O1862" s="221"/>
      <c r="P1862" s="221"/>
      <c r="Q1862" s="221"/>
      <c r="R1862" s="221"/>
      <c r="S1862" s="221"/>
      <c r="T1862" s="221"/>
      <c r="U1862" s="221"/>
      <c r="V1862" s="221"/>
      <c r="W1862" s="221"/>
      <c r="X1862" s="221"/>
      <c r="Y1862" s="221"/>
      <c r="Z1862" s="221"/>
      <c r="AA1862" s="221"/>
      <c r="AB1862" s="221"/>
      <c r="AC1862" s="221"/>
      <c r="AD1862" s="221"/>
      <c r="AE1862" s="221"/>
      <c r="AF1862" s="221"/>
      <c r="AG1862" s="221"/>
      <c r="AH1862" s="221"/>
      <c r="AI1862" s="221"/>
      <c r="AJ1862" s="221"/>
      <c r="AK1862" s="221"/>
      <c r="AL1862" s="221"/>
      <c r="AM1862" s="221"/>
      <c r="AN1862" s="221"/>
      <c r="AO1862" s="221"/>
      <c r="AP1862" s="221"/>
      <c r="AQ1862" s="221"/>
      <c r="AR1862" s="221"/>
      <c r="AS1862" s="221"/>
      <c r="AT1862" s="221"/>
      <c r="AU1862" s="221"/>
      <c r="AV1862" s="221"/>
      <c r="AW1862" s="221"/>
      <c r="AX1862" s="221"/>
      <c r="AY1862" s="221"/>
      <c r="AZ1862" s="221"/>
      <c r="BA1862" s="221"/>
    </row>
    <row r="1863" spans="1:53" x14ac:dyDescent="0.25">
      <c r="A1863" s="457" t="s">
        <v>14</v>
      </c>
      <c r="B1863" s="458" t="s">
        <v>658</v>
      </c>
      <c r="C1863" s="459" t="s">
        <v>15</v>
      </c>
      <c r="D1863" s="456"/>
      <c r="E1863" s="456"/>
      <c r="F1863" s="456"/>
      <c r="G1863" s="221"/>
      <c r="H1863" s="221"/>
      <c r="I1863" s="221"/>
      <c r="J1863" s="221"/>
      <c r="K1863" s="221"/>
      <c r="L1863" s="221"/>
      <c r="M1863" s="221"/>
      <c r="N1863" s="221"/>
      <c r="O1863" s="221"/>
      <c r="P1863" s="221"/>
      <c r="Q1863" s="221"/>
      <c r="R1863" s="221"/>
      <c r="S1863" s="221"/>
      <c r="T1863" s="221"/>
      <c r="U1863" s="221"/>
      <c r="V1863" s="221"/>
      <c r="W1863" s="221"/>
      <c r="X1863" s="221"/>
      <c r="Y1863" s="221"/>
      <c r="Z1863" s="221"/>
      <c r="AA1863" s="221"/>
      <c r="AB1863" s="221"/>
      <c r="AC1863" s="221"/>
      <c r="AD1863" s="221"/>
      <c r="AE1863" s="221"/>
      <c r="AF1863" s="221"/>
      <c r="AG1863" s="221"/>
      <c r="AH1863" s="221"/>
      <c r="AI1863" s="221"/>
      <c r="AJ1863" s="221"/>
      <c r="AK1863" s="221"/>
      <c r="AL1863" s="221"/>
      <c r="AM1863" s="221"/>
      <c r="AN1863" s="221"/>
      <c r="AO1863" s="221"/>
      <c r="AP1863" s="221"/>
      <c r="AQ1863" s="221"/>
      <c r="AR1863" s="221"/>
      <c r="AS1863" s="221"/>
      <c r="AT1863" s="221"/>
      <c r="AU1863" s="221"/>
      <c r="AV1863" s="221"/>
      <c r="AW1863" s="221"/>
      <c r="AX1863" s="221"/>
      <c r="AY1863" s="221"/>
      <c r="AZ1863" s="221"/>
      <c r="BA1863" s="221"/>
    </row>
    <row r="1864" spans="1:53" x14ac:dyDescent="0.25">
      <c r="A1864" s="460" t="s">
        <v>16</v>
      </c>
      <c r="B1864" s="461"/>
      <c r="C1864" s="462">
        <v>2016</v>
      </c>
      <c r="D1864" s="476">
        <v>2017</v>
      </c>
      <c r="E1864" s="464">
        <v>2018</v>
      </c>
      <c r="F1864" s="476">
        <v>2019</v>
      </c>
      <c r="G1864" s="212">
        <v>2020</v>
      </c>
      <c r="H1864" s="212">
        <v>2021</v>
      </c>
      <c r="I1864" s="212">
        <v>2022</v>
      </c>
      <c r="J1864" s="212">
        <v>2023</v>
      </c>
      <c r="K1864" s="221"/>
      <c r="L1864" s="221"/>
      <c r="M1864" s="221"/>
      <c r="N1864" s="221"/>
      <c r="O1864" s="221"/>
      <c r="P1864" s="221"/>
      <c r="Q1864" s="221"/>
      <c r="R1864" s="221"/>
      <c r="S1864" s="221"/>
      <c r="T1864" s="221"/>
      <c r="U1864" s="221"/>
      <c r="V1864" s="221"/>
      <c r="W1864" s="221"/>
      <c r="X1864" s="221"/>
      <c r="Y1864" s="221"/>
      <c r="Z1864" s="221"/>
      <c r="AA1864" s="221"/>
      <c r="AB1864" s="221"/>
      <c r="AC1864" s="221"/>
      <c r="AD1864" s="221"/>
      <c r="AE1864" s="221"/>
      <c r="AF1864" s="221"/>
      <c r="AG1864" s="221"/>
      <c r="AH1864" s="221"/>
      <c r="AI1864" s="221"/>
      <c r="AJ1864" s="221"/>
      <c r="AK1864" s="221"/>
      <c r="AL1864" s="221"/>
      <c r="AM1864" s="221"/>
      <c r="AN1864" s="221"/>
      <c r="AO1864" s="221"/>
      <c r="AP1864" s="221"/>
      <c r="AQ1864" s="221"/>
      <c r="AR1864" s="221"/>
      <c r="AS1864" s="221"/>
      <c r="AT1864" s="221"/>
      <c r="AU1864" s="221"/>
      <c r="AV1864" s="221"/>
      <c r="AW1864" s="221"/>
      <c r="AX1864" s="221"/>
      <c r="AY1864" s="221"/>
      <c r="AZ1864" s="221"/>
      <c r="BA1864" s="221"/>
    </row>
    <row r="1865" spans="1:53" x14ac:dyDescent="0.25">
      <c r="A1865" s="460" t="s">
        <v>17</v>
      </c>
      <c r="B1865" s="461"/>
      <c r="C1865" s="498">
        <v>1083.79</v>
      </c>
      <c r="D1865" s="498">
        <v>1083.79</v>
      </c>
      <c r="E1865" s="461">
        <v>1272.8599999999999</v>
      </c>
      <c r="F1865" s="499">
        <v>1272.8599999999999</v>
      </c>
      <c r="G1865" s="226">
        <v>1272.8599999999999</v>
      </c>
      <c r="H1865" s="226">
        <v>1272.8599999999999</v>
      </c>
      <c r="I1865" s="215">
        <v>1341.14</v>
      </c>
      <c r="J1865" s="226">
        <v>1341.14</v>
      </c>
      <c r="K1865" s="221"/>
      <c r="L1865" s="221"/>
      <c r="M1865" s="221"/>
      <c r="N1865" s="221"/>
      <c r="O1865" s="221"/>
      <c r="P1865" s="221"/>
      <c r="Q1865" s="221"/>
      <c r="R1865" s="221"/>
      <c r="S1865" s="221"/>
      <c r="T1865" s="221"/>
      <c r="U1865" s="221"/>
      <c r="V1865" s="221"/>
      <c r="W1865" s="221"/>
      <c r="X1865" s="221"/>
      <c r="Y1865" s="221"/>
      <c r="Z1865" s="221"/>
      <c r="AA1865" s="221"/>
      <c r="AB1865" s="221"/>
      <c r="AC1865" s="221"/>
      <c r="AD1865" s="221"/>
      <c r="AE1865" s="221"/>
      <c r="AF1865" s="221"/>
      <c r="AG1865" s="221"/>
      <c r="AH1865" s="221"/>
      <c r="AI1865" s="221"/>
      <c r="AJ1865" s="221"/>
      <c r="AK1865" s="221"/>
      <c r="AL1865" s="221"/>
      <c r="AM1865" s="221"/>
      <c r="AN1865" s="221"/>
      <c r="AO1865" s="221"/>
      <c r="AP1865" s="221"/>
      <c r="AQ1865" s="221"/>
      <c r="AR1865" s="221"/>
      <c r="AS1865" s="221"/>
      <c r="AT1865" s="221"/>
      <c r="AU1865" s="221"/>
      <c r="AV1865" s="221"/>
      <c r="AW1865" s="221"/>
      <c r="AX1865" s="221"/>
      <c r="AY1865" s="221"/>
      <c r="AZ1865" s="221"/>
      <c r="BA1865" s="221"/>
    </row>
    <row r="1866" spans="1:53" x14ac:dyDescent="0.25">
      <c r="A1866" s="460" t="s">
        <v>18</v>
      </c>
      <c r="B1866" s="461"/>
      <c r="C1866" s="498">
        <v>1192.17</v>
      </c>
      <c r="D1866" s="498">
        <v>1192.17</v>
      </c>
      <c r="E1866" s="461">
        <v>1381.24</v>
      </c>
      <c r="F1866" s="499">
        <v>1400.15</v>
      </c>
      <c r="G1866" s="226">
        <v>1400.15</v>
      </c>
      <c r="H1866" s="226">
        <v>1400.15</v>
      </c>
      <c r="I1866" s="215">
        <f>I1865+0.1*H1865</f>
        <v>1468.4260000000002</v>
      </c>
      <c r="J1866" s="215">
        <f>J1865+I1869</f>
        <v>1447.6760000000002</v>
      </c>
      <c r="K1866" s="221"/>
      <c r="L1866" s="221"/>
      <c r="M1866" s="221"/>
      <c r="N1866" s="221"/>
      <c r="O1866" s="221"/>
      <c r="P1866" s="221"/>
      <c r="Q1866" s="221"/>
      <c r="R1866" s="221"/>
      <c r="S1866" s="221"/>
      <c r="T1866" s="221"/>
      <c r="U1866" s="221"/>
      <c r="V1866" s="221"/>
      <c r="W1866" s="221"/>
      <c r="X1866" s="221"/>
      <c r="Y1866" s="221"/>
      <c r="Z1866" s="221"/>
      <c r="AA1866" s="221"/>
      <c r="AB1866" s="221"/>
      <c r="AC1866" s="221"/>
      <c r="AD1866" s="221"/>
      <c r="AE1866" s="221"/>
      <c r="AF1866" s="221"/>
      <c r="AG1866" s="221"/>
      <c r="AH1866" s="221"/>
      <c r="AI1866" s="221"/>
      <c r="AJ1866" s="221"/>
      <c r="AK1866" s="221"/>
      <c r="AL1866" s="221"/>
      <c r="AM1866" s="221"/>
      <c r="AN1866" s="221"/>
      <c r="AO1866" s="221"/>
      <c r="AP1866" s="221"/>
      <c r="AQ1866" s="221"/>
      <c r="AR1866" s="221"/>
      <c r="AS1866" s="221"/>
      <c r="AT1866" s="221"/>
      <c r="AU1866" s="221"/>
      <c r="AV1866" s="221"/>
      <c r="AW1866" s="221"/>
      <c r="AX1866" s="221"/>
      <c r="AY1866" s="221"/>
      <c r="AZ1866" s="221"/>
      <c r="BA1866" s="221"/>
    </row>
    <row r="1867" spans="1:53" x14ac:dyDescent="0.25">
      <c r="A1867" s="460" t="s">
        <v>19</v>
      </c>
      <c r="B1867" s="461"/>
      <c r="C1867" s="461"/>
      <c r="D1867" s="499"/>
      <c r="E1867" s="461"/>
      <c r="F1867" s="499"/>
      <c r="G1867" s="226"/>
      <c r="H1867" s="226"/>
      <c r="I1867" s="215"/>
      <c r="J1867" s="226"/>
      <c r="K1867" s="221"/>
      <c r="L1867" s="221"/>
      <c r="M1867" s="221"/>
      <c r="N1867" s="221"/>
      <c r="O1867" s="221"/>
      <c r="P1867" s="221"/>
      <c r="Q1867" s="221"/>
      <c r="R1867" s="221"/>
      <c r="S1867" s="221"/>
      <c r="T1867" s="221"/>
      <c r="U1867" s="221"/>
      <c r="V1867" s="221"/>
      <c r="W1867" s="221"/>
      <c r="X1867" s="221"/>
      <c r="Y1867" s="221"/>
      <c r="Z1867" s="221"/>
      <c r="AA1867" s="221"/>
      <c r="AB1867" s="221"/>
      <c r="AC1867" s="221"/>
      <c r="AD1867" s="221"/>
      <c r="AE1867" s="221"/>
      <c r="AF1867" s="221"/>
      <c r="AG1867" s="221"/>
      <c r="AH1867" s="221"/>
      <c r="AI1867" s="221"/>
      <c r="AJ1867" s="221"/>
      <c r="AK1867" s="221"/>
      <c r="AL1867" s="221"/>
      <c r="AM1867" s="221"/>
      <c r="AN1867" s="221"/>
      <c r="AO1867" s="221"/>
      <c r="AP1867" s="221"/>
      <c r="AQ1867" s="221"/>
      <c r="AR1867" s="221"/>
      <c r="AS1867" s="221"/>
      <c r="AT1867" s="221"/>
      <c r="AU1867" s="221"/>
      <c r="AV1867" s="221"/>
      <c r="AW1867" s="221"/>
      <c r="AX1867" s="221"/>
      <c r="AY1867" s="221"/>
      <c r="AZ1867" s="221"/>
      <c r="BA1867" s="221"/>
    </row>
    <row r="1868" spans="1:53" x14ac:dyDescent="0.25">
      <c r="A1868" s="460" t="s">
        <v>20</v>
      </c>
      <c r="B1868" s="461"/>
      <c r="C1868" s="498">
        <v>1025.0999999999999</v>
      </c>
      <c r="D1868" s="499">
        <v>996.8</v>
      </c>
      <c r="E1868" s="461">
        <v>1028.26</v>
      </c>
      <c r="F1868" s="499">
        <v>1190.78</v>
      </c>
      <c r="G1868" s="226">
        <v>1184.99</v>
      </c>
      <c r="H1868" s="226">
        <v>1205.69</v>
      </c>
      <c r="I1868" s="215">
        <v>1361.89</v>
      </c>
      <c r="J1868" s="226"/>
      <c r="K1868" s="221"/>
      <c r="L1868" s="221"/>
      <c r="M1868" s="221"/>
      <c r="N1868" s="221"/>
      <c r="O1868" s="221"/>
      <c r="P1868" s="221"/>
      <c r="Q1868" s="221"/>
      <c r="R1868" s="221"/>
      <c r="S1868" s="221"/>
      <c r="T1868" s="221"/>
      <c r="U1868" s="221"/>
      <c r="V1868" s="221"/>
      <c r="W1868" s="221"/>
      <c r="X1868" s="221"/>
      <c r="Y1868" s="221"/>
      <c r="Z1868" s="221"/>
      <c r="AA1868" s="221"/>
      <c r="AB1868" s="221"/>
      <c r="AC1868" s="221"/>
      <c r="AD1868" s="221"/>
      <c r="AE1868" s="221"/>
      <c r="AF1868" s="221"/>
      <c r="AG1868" s="221"/>
      <c r="AH1868" s="221"/>
      <c r="AI1868" s="221"/>
      <c r="AJ1868" s="221"/>
      <c r="AK1868" s="221"/>
      <c r="AL1868" s="221"/>
      <c r="AM1868" s="221"/>
      <c r="AN1868" s="221"/>
      <c r="AO1868" s="221"/>
      <c r="AP1868" s="221"/>
      <c r="AQ1868" s="221"/>
      <c r="AR1868" s="221"/>
      <c r="AS1868" s="221"/>
      <c r="AT1868" s="221"/>
      <c r="AU1868" s="221"/>
      <c r="AV1868" s="221"/>
      <c r="AW1868" s="221"/>
      <c r="AX1868" s="221"/>
      <c r="AY1868" s="221"/>
      <c r="AZ1868" s="221"/>
      <c r="BA1868" s="221"/>
    </row>
    <row r="1869" spans="1:53" x14ac:dyDescent="0.25">
      <c r="A1869" s="460" t="s">
        <v>21</v>
      </c>
      <c r="B1869" s="461"/>
      <c r="C1869" s="498">
        <f t="shared" ref="C1869:I1869" si="47">C1866-C1868</f>
        <v>167.07000000000016</v>
      </c>
      <c r="D1869" s="498">
        <f t="shared" si="47"/>
        <v>195.37000000000012</v>
      </c>
      <c r="E1869" s="498">
        <f t="shared" si="47"/>
        <v>352.98</v>
      </c>
      <c r="F1869" s="498">
        <f t="shared" si="47"/>
        <v>209.37000000000012</v>
      </c>
      <c r="G1869" s="498">
        <f t="shared" si="47"/>
        <v>215.16000000000008</v>
      </c>
      <c r="H1869" s="226">
        <f t="shared" si="47"/>
        <v>194.46000000000004</v>
      </c>
      <c r="I1869" s="215">
        <f t="shared" si="47"/>
        <v>106.53600000000006</v>
      </c>
      <c r="J1869" s="226"/>
      <c r="K1869" s="221"/>
      <c r="L1869" s="221"/>
      <c r="M1869" s="221"/>
      <c r="N1869" s="221"/>
      <c r="O1869" s="221"/>
      <c r="P1869" s="221"/>
      <c r="Q1869" s="221"/>
      <c r="R1869" s="221"/>
      <c r="S1869" s="221"/>
      <c r="T1869" s="221"/>
      <c r="U1869" s="221"/>
      <c r="V1869" s="221"/>
      <c r="W1869" s="221"/>
      <c r="X1869" s="221"/>
      <c r="Y1869" s="221"/>
      <c r="Z1869" s="221"/>
      <c r="AA1869" s="221"/>
      <c r="AB1869" s="221"/>
      <c r="AC1869" s="221"/>
      <c r="AD1869" s="221"/>
      <c r="AE1869" s="221"/>
      <c r="AF1869" s="221"/>
      <c r="AG1869" s="221"/>
      <c r="AH1869" s="221"/>
      <c r="AI1869" s="221"/>
      <c r="AJ1869" s="221"/>
      <c r="AK1869" s="221"/>
      <c r="AL1869" s="221"/>
      <c r="AM1869" s="221"/>
      <c r="AN1869" s="221"/>
      <c r="AO1869" s="221"/>
      <c r="AP1869" s="221"/>
      <c r="AQ1869" s="221"/>
      <c r="AR1869" s="221"/>
      <c r="AS1869" s="221"/>
      <c r="AT1869" s="221"/>
      <c r="AU1869" s="221"/>
      <c r="AV1869" s="221"/>
      <c r="AW1869" s="221"/>
      <c r="AX1869" s="221"/>
      <c r="AY1869" s="221"/>
      <c r="AZ1869" s="221"/>
      <c r="BA1869" s="221"/>
    </row>
    <row r="1870" spans="1:53" x14ac:dyDescent="0.25">
      <c r="A1870" s="468" t="s">
        <v>22</v>
      </c>
      <c r="B1870" s="469"/>
      <c r="C1870" s="470">
        <v>2017</v>
      </c>
      <c r="D1870" s="479">
        <v>2018</v>
      </c>
      <c r="E1870" s="470">
        <v>2019</v>
      </c>
      <c r="F1870" s="479">
        <v>2020</v>
      </c>
      <c r="G1870" s="244">
        <v>2021</v>
      </c>
      <c r="H1870" s="244">
        <v>2022</v>
      </c>
      <c r="I1870" s="244">
        <v>2023</v>
      </c>
      <c r="J1870" s="244">
        <v>2024</v>
      </c>
      <c r="K1870" s="221"/>
      <c r="L1870" s="221"/>
      <c r="M1870" s="221"/>
      <c r="N1870" s="221"/>
      <c r="O1870" s="221"/>
      <c r="P1870" s="221"/>
      <c r="Q1870" s="221"/>
      <c r="R1870" s="221"/>
      <c r="S1870" s="221"/>
      <c r="T1870" s="221"/>
      <c r="U1870" s="221"/>
      <c r="V1870" s="221"/>
      <c r="W1870" s="221"/>
      <c r="X1870" s="221"/>
      <c r="Y1870" s="221"/>
      <c r="Z1870" s="221"/>
      <c r="AA1870" s="221"/>
      <c r="AB1870" s="221"/>
      <c r="AC1870" s="221"/>
      <c r="AD1870" s="221"/>
      <c r="AE1870" s="221"/>
      <c r="AF1870" s="221"/>
      <c r="AG1870" s="221"/>
      <c r="AH1870" s="221"/>
      <c r="AI1870" s="221"/>
      <c r="AJ1870" s="221"/>
      <c r="AK1870" s="221"/>
      <c r="AL1870" s="221"/>
      <c r="AM1870" s="221"/>
      <c r="AN1870" s="221"/>
      <c r="AO1870" s="221"/>
      <c r="AP1870" s="221"/>
      <c r="AQ1870" s="221"/>
      <c r="AR1870" s="221"/>
      <c r="AS1870" s="221"/>
      <c r="AT1870" s="221"/>
      <c r="AU1870" s="221"/>
      <c r="AV1870" s="221"/>
      <c r="AW1870" s="221"/>
      <c r="AX1870" s="221"/>
      <c r="AY1870" s="221"/>
      <c r="AZ1870" s="221"/>
      <c r="BA1870" s="221"/>
    </row>
    <row r="1871" spans="1:53" x14ac:dyDescent="0.25">
      <c r="A1871" s="481" t="s">
        <v>546</v>
      </c>
      <c r="B1871" s="482"/>
      <c r="C1871" s="500"/>
      <c r="D1871" s="500"/>
      <c r="E1871" s="500"/>
      <c r="F1871" s="500"/>
      <c r="G1871" s="280"/>
      <c r="H1871" s="280"/>
      <c r="I1871" s="280"/>
      <c r="J1871" s="245"/>
      <c r="K1871" s="221"/>
      <c r="L1871" s="221"/>
      <c r="M1871" s="221"/>
      <c r="N1871" s="221"/>
      <c r="O1871" s="221"/>
      <c r="P1871" s="221"/>
      <c r="Q1871" s="221"/>
      <c r="R1871" s="221"/>
      <c r="S1871" s="221"/>
      <c r="T1871" s="221"/>
      <c r="U1871" s="221"/>
      <c r="V1871" s="221"/>
      <c r="W1871" s="221"/>
      <c r="X1871" s="221"/>
      <c r="Y1871" s="221"/>
      <c r="Z1871" s="221"/>
      <c r="AA1871" s="221"/>
      <c r="AB1871" s="221"/>
      <c r="AC1871" s="221"/>
      <c r="AD1871" s="221"/>
      <c r="AE1871" s="221"/>
      <c r="AF1871" s="221"/>
      <c r="AG1871" s="221"/>
      <c r="AH1871" s="221"/>
      <c r="AI1871" s="221"/>
      <c r="AJ1871" s="221"/>
      <c r="AK1871" s="221"/>
      <c r="AL1871" s="221"/>
      <c r="AM1871" s="221"/>
      <c r="AN1871" s="221"/>
      <c r="AO1871" s="221"/>
      <c r="AP1871" s="221"/>
      <c r="AQ1871" s="221"/>
      <c r="AR1871" s="221"/>
      <c r="AS1871" s="221"/>
      <c r="AT1871" s="221"/>
      <c r="AU1871" s="221"/>
      <c r="AV1871" s="221"/>
      <c r="AW1871" s="221"/>
      <c r="AX1871" s="221"/>
      <c r="AY1871" s="221"/>
      <c r="AZ1871" s="221"/>
      <c r="BA1871" s="221"/>
    </row>
    <row r="1872" spans="1:53" x14ac:dyDescent="0.25">
      <c r="A1872" s="484" t="s">
        <v>128</v>
      </c>
      <c r="B1872" s="456"/>
      <c r="C1872" s="456"/>
      <c r="D1872" s="456"/>
      <c r="E1872" s="456"/>
      <c r="F1872" s="456"/>
      <c r="G1872" s="221"/>
      <c r="H1872" s="221"/>
      <c r="I1872" s="221"/>
      <c r="J1872" s="222"/>
      <c r="K1872" s="221"/>
      <c r="L1872" s="221"/>
      <c r="M1872" s="221"/>
      <c r="N1872" s="221"/>
      <c r="O1872" s="221"/>
      <c r="P1872" s="221"/>
      <c r="Q1872" s="221"/>
      <c r="R1872" s="221"/>
      <c r="S1872" s="221"/>
      <c r="T1872" s="221"/>
      <c r="U1872" s="221"/>
      <c r="V1872" s="221"/>
      <c r="W1872" s="221"/>
      <c r="X1872" s="221"/>
      <c r="Y1872" s="221"/>
      <c r="Z1872" s="221"/>
      <c r="AA1872" s="221"/>
      <c r="AB1872" s="221"/>
      <c r="AC1872" s="221"/>
      <c r="AD1872" s="221"/>
      <c r="AE1872" s="221"/>
      <c r="AF1872" s="221"/>
      <c r="AG1872" s="221"/>
      <c r="AH1872" s="221"/>
      <c r="AI1872" s="221"/>
      <c r="AJ1872" s="221"/>
      <c r="AK1872" s="221"/>
      <c r="AL1872" s="221"/>
      <c r="AM1872" s="221"/>
      <c r="AN1872" s="221"/>
      <c r="AO1872" s="221"/>
      <c r="AP1872" s="221"/>
      <c r="AQ1872" s="221"/>
      <c r="AR1872" s="221"/>
      <c r="AS1872" s="221"/>
      <c r="AT1872" s="221"/>
      <c r="AU1872" s="221"/>
      <c r="AV1872" s="221"/>
      <c r="AW1872" s="221"/>
      <c r="AX1872" s="221"/>
      <c r="AY1872" s="221"/>
      <c r="AZ1872" s="221"/>
      <c r="BA1872" s="221"/>
    </row>
    <row r="1873" spans="1:53" x14ac:dyDescent="0.25">
      <c r="A1873" s="484" t="s">
        <v>129</v>
      </c>
      <c r="B1873" s="456"/>
      <c r="C1873" s="456"/>
      <c r="D1873" s="456"/>
      <c r="E1873" s="456"/>
      <c r="F1873" s="456"/>
      <c r="G1873" s="221"/>
      <c r="H1873" s="221"/>
      <c r="I1873" s="221"/>
      <c r="J1873" s="222"/>
      <c r="K1873" s="221"/>
      <c r="L1873" s="221"/>
      <c r="M1873" s="221"/>
      <c r="N1873" s="221"/>
      <c r="O1873" s="221"/>
      <c r="P1873" s="221"/>
      <c r="Q1873" s="221"/>
      <c r="R1873" s="221"/>
      <c r="S1873" s="221"/>
      <c r="T1873" s="221"/>
      <c r="U1873" s="221"/>
      <c r="V1873" s="221"/>
      <c r="W1873" s="221"/>
      <c r="X1873" s="221"/>
      <c r="Y1873" s="221"/>
      <c r="Z1873" s="221"/>
      <c r="AA1873" s="221"/>
      <c r="AB1873" s="221"/>
      <c r="AC1873" s="221"/>
      <c r="AD1873" s="221"/>
      <c r="AE1873" s="221"/>
      <c r="AF1873" s="221"/>
      <c r="AG1873" s="221"/>
      <c r="AH1873" s="221"/>
      <c r="AI1873" s="221"/>
      <c r="AJ1873" s="221"/>
      <c r="AK1873" s="221"/>
      <c r="AL1873" s="221"/>
      <c r="AM1873" s="221"/>
      <c r="AN1873" s="221"/>
      <c r="AO1873" s="221"/>
      <c r="AP1873" s="221"/>
      <c r="AQ1873" s="221"/>
      <c r="AR1873" s="221"/>
      <c r="AS1873" s="221"/>
      <c r="AT1873" s="221"/>
      <c r="AU1873" s="221"/>
      <c r="AV1873" s="221"/>
      <c r="AW1873" s="221"/>
      <c r="AX1873" s="221"/>
      <c r="AY1873" s="221"/>
      <c r="AZ1873" s="221"/>
      <c r="BA1873" s="221"/>
    </row>
    <row r="1874" spans="1:53" x14ac:dyDescent="0.25">
      <c r="A1874" s="484" t="s">
        <v>130</v>
      </c>
      <c r="B1874" s="456"/>
      <c r="C1874" s="456"/>
      <c r="D1874" s="456"/>
      <c r="E1874" s="456"/>
      <c r="F1874" s="456"/>
      <c r="G1874" s="221"/>
      <c r="H1874" s="221"/>
      <c r="I1874" s="221"/>
      <c r="J1874" s="222"/>
      <c r="K1874" s="221"/>
      <c r="L1874" s="221"/>
      <c r="M1874" s="221"/>
      <c r="N1874" s="221"/>
      <c r="O1874" s="221"/>
      <c r="P1874" s="221"/>
      <c r="Q1874" s="221"/>
      <c r="R1874" s="221"/>
      <c r="S1874" s="221"/>
      <c r="T1874" s="221"/>
      <c r="U1874" s="221"/>
      <c r="V1874" s="221"/>
      <c r="W1874" s="221"/>
      <c r="X1874" s="221"/>
      <c r="Y1874" s="221"/>
      <c r="Z1874" s="221"/>
      <c r="AA1874" s="221"/>
      <c r="AB1874" s="221"/>
      <c r="AC1874" s="221"/>
      <c r="AD1874" s="221"/>
      <c r="AE1874" s="221"/>
      <c r="AF1874" s="221"/>
      <c r="AG1874" s="221"/>
      <c r="AH1874" s="221"/>
      <c r="AI1874" s="221"/>
      <c r="AJ1874" s="221"/>
      <c r="AK1874" s="221"/>
      <c r="AL1874" s="221"/>
      <c r="AM1874" s="221"/>
      <c r="AN1874" s="221"/>
      <c r="AO1874" s="221"/>
      <c r="AP1874" s="221"/>
      <c r="AQ1874" s="221"/>
      <c r="AR1874" s="221"/>
      <c r="AS1874" s="221"/>
      <c r="AT1874" s="221"/>
      <c r="AU1874" s="221"/>
      <c r="AV1874" s="221"/>
      <c r="AW1874" s="221"/>
      <c r="AX1874" s="221"/>
      <c r="AY1874" s="221"/>
      <c r="AZ1874" s="221"/>
      <c r="BA1874" s="221"/>
    </row>
    <row r="1875" spans="1:53" x14ac:dyDescent="0.25">
      <c r="A1875" s="484" t="s">
        <v>131</v>
      </c>
      <c r="B1875" s="456"/>
      <c r="C1875" s="456"/>
      <c r="D1875" s="456"/>
      <c r="E1875" s="456"/>
      <c r="F1875" s="456"/>
      <c r="G1875" s="221"/>
      <c r="H1875" s="221"/>
      <c r="I1875" s="221"/>
      <c r="J1875" s="222"/>
      <c r="K1875" s="221"/>
      <c r="L1875" s="221"/>
      <c r="M1875" s="221"/>
      <c r="N1875" s="221"/>
      <c r="O1875" s="221"/>
      <c r="P1875" s="221"/>
      <c r="Q1875" s="221"/>
      <c r="R1875" s="221"/>
      <c r="S1875" s="221"/>
      <c r="T1875" s="221"/>
      <c r="U1875" s="221"/>
      <c r="V1875" s="221"/>
      <c r="W1875" s="221"/>
      <c r="X1875" s="221"/>
      <c r="Y1875" s="221"/>
      <c r="Z1875" s="221"/>
      <c r="AA1875" s="221"/>
      <c r="AB1875" s="221"/>
      <c r="AC1875" s="221"/>
      <c r="AD1875" s="221"/>
      <c r="AE1875" s="221"/>
      <c r="AF1875" s="221"/>
      <c r="AG1875" s="221"/>
      <c r="AH1875" s="221"/>
      <c r="AI1875" s="221"/>
      <c r="AJ1875" s="221"/>
      <c r="AK1875" s="221"/>
      <c r="AL1875" s="221"/>
      <c r="AM1875" s="221"/>
      <c r="AN1875" s="221"/>
      <c r="AO1875" s="221"/>
      <c r="AP1875" s="221"/>
      <c r="AQ1875" s="221"/>
      <c r="AR1875" s="221"/>
      <c r="AS1875" s="221"/>
      <c r="AT1875" s="221"/>
      <c r="AU1875" s="221"/>
      <c r="AV1875" s="221"/>
      <c r="AW1875" s="221"/>
      <c r="AX1875" s="221"/>
      <c r="AY1875" s="221"/>
      <c r="AZ1875" s="221"/>
      <c r="BA1875" s="221"/>
    </row>
    <row r="1876" spans="1:53" x14ac:dyDescent="0.25">
      <c r="A1876" s="484" t="s">
        <v>305</v>
      </c>
      <c r="B1876" s="456"/>
      <c r="C1876" s="456"/>
      <c r="D1876" s="456"/>
      <c r="E1876" s="456"/>
      <c r="F1876" s="456"/>
      <c r="G1876" s="221"/>
      <c r="H1876" s="221"/>
      <c r="I1876" s="221"/>
      <c r="J1876" s="222"/>
      <c r="K1876" s="221"/>
      <c r="L1876" s="221"/>
      <c r="M1876" s="221"/>
      <c r="N1876" s="221"/>
      <c r="O1876" s="221"/>
      <c r="P1876" s="221"/>
      <c r="Q1876" s="221"/>
      <c r="R1876" s="221"/>
      <c r="S1876" s="221"/>
      <c r="T1876" s="221"/>
      <c r="U1876" s="221"/>
      <c r="V1876" s="221"/>
      <c r="W1876" s="221"/>
      <c r="X1876" s="221"/>
      <c r="Y1876" s="221"/>
      <c r="Z1876" s="221"/>
      <c r="AA1876" s="221"/>
      <c r="AB1876" s="221"/>
      <c r="AC1876" s="221"/>
      <c r="AD1876" s="221"/>
      <c r="AE1876" s="221"/>
      <c r="AF1876" s="221"/>
      <c r="AG1876" s="221"/>
      <c r="AH1876" s="221"/>
      <c r="AI1876" s="221"/>
      <c r="AJ1876" s="221"/>
      <c r="AK1876" s="221"/>
      <c r="AL1876" s="221"/>
      <c r="AM1876" s="221"/>
      <c r="AN1876" s="221"/>
      <c r="AO1876" s="221"/>
      <c r="AP1876" s="221"/>
      <c r="AQ1876" s="221"/>
      <c r="AR1876" s="221"/>
      <c r="AS1876" s="221"/>
      <c r="AT1876" s="221"/>
      <c r="AU1876" s="221"/>
      <c r="AV1876" s="221"/>
      <c r="AW1876" s="221"/>
      <c r="AX1876" s="221"/>
      <c r="AY1876" s="221"/>
      <c r="AZ1876" s="221"/>
      <c r="BA1876" s="221"/>
    </row>
    <row r="1877" spans="1:53" x14ac:dyDescent="0.25">
      <c r="A1877" s="484" t="s">
        <v>545</v>
      </c>
      <c r="B1877" s="456"/>
      <c r="C1877" s="456"/>
      <c r="D1877" s="456"/>
      <c r="E1877" s="456"/>
      <c r="F1877" s="456"/>
      <c r="G1877" s="221"/>
      <c r="H1877" s="221"/>
      <c r="I1877" s="221"/>
      <c r="J1877" s="222"/>
      <c r="K1877" s="221"/>
      <c r="L1877" s="221"/>
      <c r="M1877" s="221"/>
      <c r="N1877" s="221"/>
      <c r="O1877" s="221"/>
      <c r="P1877" s="221"/>
      <c r="Q1877" s="221"/>
      <c r="R1877" s="221"/>
      <c r="S1877" s="221"/>
      <c r="T1877" s="221"/>
      <c r="U1877" s="221"/>
      <c r="V1877" s="221"/>
      <c r="W1877" s="221"/>
      <c r="X1877" s="221"/>
      <c r="Y1877" s="221"/>
      <c r="Z1877" s="221"/>
      <c r="AA1877" s="221"/>
      <c r="AB1877" s="221"/>
      <c r="AC1877" s="221"/>
      <c r="AD1877" s="221"/>
      <c r="AE1877" s="221"/>
      <c r="AF1877" s="221"/>
      <c r="AG1877" s="221"/>
      <c r="AH1877" s="221"/>
      <c r="AI1877" s="221"/>
      <c r="AJ1877" s="221"/>
      <c r="AK1877" s="221"/>
      <c r="AL1877" s="221"/>
      <c r="AM1877" s="221"/>
      <c r="AN1877" s="221"/>
      <c r="AO1877" s="221"/>
      <c r="AP1877" s="221"/>
      <c r="AQ1877" s="221"/>
      <c r="AR1877" s="221"/>
      <c r="AS1877" s="221"/>
      <c r="AT1877" s="221"/>
      <c r="AU1877" s="221"/>
      <c r="AV1877" s="221"/>
      <c r="AW1877" s="221"/>
      <c r="AX1877" s="221"/>
      <c r="AY1877" s="221"/>
      <c r="AZ1877" s="221"/>
      <c r="BA1877" s="221"/>
    </row>
    <row r="1878" spans="1:53" x14ac:dyDescent="0.25">
      <c r="A1878" s="484" t="s">
        <v>686</v>
      </c>
      <c r="B1878" s="456"/>
      <c r="C1878" s="456"/>
      <c r="D1878" s="456"/>
      <c r="E1878" s="456"/>
      <c r="F1878" s="456"/>
      <c r="G1878" s="221"/>
      <c r="H1878" s="221"/>
      <c r="I1878" s="221"/>
      <c r="J1878" s="222"/>
      <c r="K1878" s="221"/>
      <c r="L1878" s="221"/>
      <c r="M1878" s="221"/>
      <c r="N1878" s="221"/>
      <c r="O1878" s="221"/>
      <c r="P1878" s="221"/>
      <c r="Q1878" s="221"/>
      <c r="R1878" s="221"/>
      <c r="S1878" s="221"/>
      <c r="T1878" s="221"/>
      <c r="U1878" s="221"/>
      <c r="V1878" s="221"/>
      <c r="W1878" s="221"/>
      <c r="X1878" s="221"/>
      <c r="Y1878" s="221"/>
      <c r="Z1878" s="221"/>
      <c r="AA1878" s="221"/>
      <c r="AB1878" s="221"/>
      <c r="AC1878" s="221"/>
      <c r="AD1878" s="221"/>
      <c r="AE1878" s="221"/>
      <c r="AF1878" s="221"/>
      <c r="AG1878" s="221"/>
      <c r="AH1878" s="221"/>
      <c r="AI1878" s="221"/>
      <c r="AJ1878" s="221"/>
      <c r="AK1878" s="221"/>
      <c r="AL1878" s="221"/>
      <c r="AM1878" s="221"/>
      <c r="AN1878" s="221"/>
      <c r="AO1878" s="221"/>
      <c r="AP1878" s="221"/>
      <c r="AQ1878" s="221"/>
      <c r="AR1878" s="221"/>
      <c r="AS1878" s="221"/>
      <c r="AT1878" s="221"/>
      <c r="AU1878" s="221"/>
      <c r="AV1878" s="221"/>
      <c r="AW1878" s="221"/>
      <c r="AX1878" s="221"/>
      <c r="AY1878" s="221"/>
      <c r="AZ1878" s="221"/>
      <c r="BA1878" s="221"/>
    </row>
    <row r="1879" spans="1:53" x14ac:dyDescent="0.25">
      <c r="A1879" s="484" t="s">
        <v>915</v>
      </c>
      <c r="B1879" s="456"/>
      <c r="C1879" s="456"/>
      <c r="D1879" s="456"/>
      <c r="E1879" s="456"/>
      <c r="F1879" s="456"/>
      <c r="G1879" s="221"/>
      <c r="H1879" s="221"/>
      <c r="I1879" s="221"/>
      <c r="J1879" s="222"/>
      <c r="K1879" s="221"/>
      <c r="L1879" s="221"/>
      <c r="M1879" s="221"/>
      <c r="N1879" s="221"/>
      <c r="O1879" s="221"/>
      <c r="P1879" s="221"/>
      <c r="Q1879" s="221"/>
      <c r="R1879" s="221"/>
      <c r="S1879" s="221"/>
      <c r="T1879" s="221"/>
      <c r="U1879" s="221"/>
      <c r="V1879" s="221"/>
      <c r="W1879" s="221"/>
      <c r="X1879" s="221"/>
      <c r="Y1879" s="221"/>
      <c r="Z1879" s="221"/>
      <c r="AA1879" s="221"/>
      <c r="AB1879" s="221"/>
      <c r="AC1879" s="221"/>
      <c r="AD1879" s="221"/>
      <c r="AE1879" s="221"/>
      <c r="AF1879" s="221"/>
      <c r="AG1879" s="221"/>
      <c r="AH1879" s="221"/>
      <c r="AI1879" s="221"/>
      <c r="AJ1879" s="221"/>
      <c r="AK1879" s="221"/>
      <c r="AL1879" s="221"/>
      <c r="AM1879" s="221"/>
      <c r="AN1879" s="221"/>
      <c r="AO1879" s="221"/>
      <c r="AP1879" s="221"/>
      <c r="AQ1879" s="221"/>
      <c r="AR1879" s="221"/>
      <c r="AS1879" s="221"/>
      <c r="AT1879" s="221"/>
      <c r="AU1879" s="221"/>
      <c r="AV1879" s="221"/>
      <c r="AW1879" s="221"/>
      <c r="AX1879" s="221"/>
      <c r="AY1879" s="221"/>
      <c r="AZ1879" s="221"/>
      <c r="BA1879" s="221"/>
    </row>
    <row r="1880" spans="1:53" x14ac:dyDescent="0.25">
      <c r="A1880" s="220" t="s">
        <v>547</v>
      </c>
      <c r="B1880" s="221"/>
      <c r="C1880" s="221"/>
      <c r="D1880" s="221"/>
      <c r="E1880" s="221"/>
      <c r="F1880" s="221"/>
      <c r="G1880" s="221"/>
      <c r="H1880" s="221"/>
      <c r="I1880" s="221"/>
      <c r="J1880" s="222"/>
      <c r="K1880" s="221"/>
      <c r="L1880" s="221"/>
      <c r="M1880" s="221"/>
      <c r="N1880" s="221"/>
      <c r="O1880" s="221"/>
      <c r="P1880" s="221"/>
      <c r="Q1880" s="221"/>
      <c r="R1880" s="221"/>
      <c r="S1880" s="221"/>
      <c r="T1880" s="221"/>
      <c r="U1880" s="221"/>
      <c r="V1880" s="221"/>
      <c r="W1880" s="221"/>
      <c r="X1880" s="221"/>
      <c r="Y1880" s="221"/>
      <c r="Z1880" s="221"/>
      <c r="AA1880" s="221"/>
      <c r="AB1880" s="221"/>
      <c r="AC1880" s="221"/>
      <c r="AD1880" s="221"/>
      <c r="AE1880" s="221"/>
      <c r="AF1880" s="221"/>
      <c r="AG1880" s="221"/>
      <c r="AH1880" s="221"/>
      <c r="AI1880" s="221"/>
      <c r="AJ1880" s="221"/>
      <c r="AK1880" s="221"/>
      <c r="AL1880" s="221"/>
      <c r="AM1880" s="221"/>
      <c r="AN1880" s="221"/>
      <c r="AO1880" s="221"/>
      <c r="AP1880" s="221"/>
      <c r="AQ1880" s="221"/>
      <c r="AR1880" s="221"/>
      <c r="AS1880" s="221"/>
      <c r="AT1880" s="221"/>
      <c r="AU1880" s="221"/>
      <c r="AV1880" s="221"/>
      <c r="AW1880" s="221"/>
      <c r="AX1880" s="221"/>
      <c r="AY1880" s="221"/>
      <c r="AZ1880" s="221"/>
      <c r="BA1880" s="221"/>
    </row>
    <row r="1881" spans="1:53" x14ac:dyDescent="0.25">
      <c r="A1881" s="220" t="s">
        <v>687</v>
      </c>
      <c r="B1881" s="221"/>
      <c r="C1881" s="221"/>
      <c r="D1881" s="221"/>
      <c r="E1881" s="221"/>
      <c r="F1881" s="221"/>
      <c r="G1881" s="221"/>
      <c r="H1881" s="221"/>
      <c r="I1881" s="221"/>
      <c r="J1881" s="222"/>
      <c r="K1881" s="221"/>
      <c r="L1881" s="221"/>
      <c r="M1881" s="221"/>
      <c r="N1881" s="221"/>
      <c r="O1881" s="221"/>
      <c r="P1881" s="221"/>
      <c r="Q1881" s="221"/>
      <c r="R1881" s="221"/>
      <c r="S1881" s="221"/>
      <c r="T1881" s="221"/>
      <c r="U1881" s="221"/>
      <c r="V1881" s="221"/>
      <c r="W1881" s="221"/>
      <c r="X1881" s="221"/>
      <c r="Y1881" s="221"/>
      <c r="Z1881" s="221"/>
      <c r="AA1881" s="221"/>
      <c r="AB1881" s="221"/>
      <c r="AC1881" s="221"/>
      <c r="AD1881" s="221"/>
      <c r="AE1881" s="221"/>
      <c r="AF1881" s="221"/>
      <c r="AG1881" s="221"/>
      <c r="AH1881" s="221"/>
      <c r="AI1881" s="221"/>
      <c r="AJ1881" s="221"/>
      <c r="AK1881" s="221"/>
      <c r="AL1881" s="221"/>
      <c r="AM1881" s="221"/>
      <c r="AN1881" s="221"/>
      <c r="AO1881" s="221"/>
      <c r="AP1881" s="221"/>
      <c r="AQ1881" s="221"/>
      <c r="AR1881" s="221"/>
      <c r="AS1881" s="221"/>
      <c r="AT1881" s="221"/>
      <c r="AU1881" s="221"/>
      <c r="AV1881" s="221"/>
      <c r="AW1881" s="221"/>
      <c r="AX1881" s="221"/>
      <c r="AY1881" s="221"/>
      <c r="AZ1881" s="221"/>
      <c r="BA1881" s="221"/>
    </row>
    <row r="1882" spans="1:53" x14ac:dyDescent="0.25">
      <c r="A1882" s="211" t="s">
        <v>916</v>
      </c>
      <c r="B1882" s="223"/>
      <c r="C1882" s="223"/>
      <c r="D1882" s="223"/>
      <c r="E1882" s="223"/>
      <c r="F1882" s="223"/>
      <c r="G1882" s="223"/>
      <c r="H1882" s="223"/>
      <c r="I1882" s="223"/>
      <c r="J1882" s="224"/>
      <c r="K1882" s="221"/>
      <c r="L1882" s="221"/>
      <c r="M1882" s="221"/>
      <c r="N1882" s="221"/>
      <c r="O1882" s="221"/>
      <c r="P1882" s="221"/>
      <c r="Q1882" s="221"/>
      <c r="R1882" s="221"/>
      <c r="S1882" s="221"/>
      <c r="T1882" s="221"/>
      <c r="U1882" s="221"/>
      <c r="V1882" s="221"/>
      <c r="W1882" s="221"/>
      <c r="X1882" s="221"/>
      <c r="Y1882" s="221"/>
      <c r="Z1882" s="221"/>
      <c r="AA1882" s="221"/>
      <c r="AB1882" s="221"/>
      <c r="AC1882" s="221"/>
      <c r="AD1882" s="221"/>
      <c r="AE1882" s="221"/>
      <c r="AF1882" s="221"/>
      <c r="AG1882" s="221"/>
      <c r="AH1882" s="221"/>
      <c r="AI1882" s="221"/>
      <c r="AJ1882" s="221"/>
      <c r="AK1882" s="221"/>
      <c r="AL1882" s="221"/>
      <c r="AM1882" s="221"/>
      <c r="AN1882" s="221"/>
      <c r="AO1882" s="221"/>
      <c r="AP1882" s="221"/>
      <c r="AQ1882" s="221"/>
      <c r="AR1882" s="221"/>
      <c r="AS1882" s="221"/>
      <c r="AT1882" s="221"/>
      <c r="AU1882" s="221"/>
      <c r="AV1882" s="221"/>
      <c r="AW1882" s="221"/>
      <c r="AX1882" s="221"/>
      <c r="AY1882" s="221"/>
      <c r="AZ1882" s="221"/>
      <c r="BA1882" s="221"/>
    </row>
    <row r="1883" spans="1:53" x14ac:dyDescent="0.25">
      <c r="A1883" s="221"/>
      <c r="B1883" s="221"/>
      <c r="C1883" s="221"/>
      <c r="D1883" s="221"/>
      <c r="E1883" s="221"/>
      <c r="F1883" s="221"/>
      <c r="G1883" s="221"/>
      <c r="H1883" s="221"/>
      <c r="I1883" s="221"/>
      <c r="J1883" s="221"/>
      <c r="K1883" s="221"/>
      <c r="L1883" s="221"/>
      <c r="M1883" s="221"/>
      <c r="N1883" s="221"/>
      <c r="O1883" s="221"/>
      <c r="P1883" s="221"/>
      <c r="Q1883" s="221"/>
      <c r="R1883" s="221"/>
      <c r="S1883" s="221"/>
      <c r="T1883" s="221"/>
      <c r="U1883" s="221"/>
      <c r="V1883" s="221"/>
      <c r="W1883" s="221"/>
      <c r="X1883" s="221"/>
      <c r="Y1883" s="221"/>
      <c r="Z1883" s="221"/>
      <c r="AA1883" s="221"/>
      <c r="AB1883" s="221"/>
      <c r="AC1883" s="221"/>
      <c r="AD1883" s="221"/>
      <c r="AE1883" s="221"/>
      <c r="AF1883" s="221"/>
      <c r="AG1883" s="221"/>
      <c r="AH1883" s="221"/>
      <c r="AI1883" s="221"/>
      <c r="AJ1883" s="221"/>
      <c r="AK1883" s="221"/>
      <c r="AL1883" s="221"/>
      <c r="AM1883" s="221"/>
      <c r="AN1883" s="221"/>
      <c r="AO1883" s="221"/>
      <c r="AP1883" s="221"/>
      <c r="AQ1883" s="221"/>
      <c r="AR1883" s="221"/>
      <c r="AS1883" s="221"/>
      <c r="AT1883" s="221"/>
      <c r="AU1883" s="221"/>
      <c r="AV1883" s="221"/>
      <c r="AW1883" s="221"/>
      <c r="AX1883" s="221"/>
      <c r="AY1883" s="221"/>
      <c r="AZ1883" s="221"/>
      <c r="BA1883" s="221"/>
    </row>
    <row r="1884" spans="1:53" x14ac:dyDescent="0.25">
      <c r="A1884" s="221"/>
      <c r="B1884" s="221"/>
      <c r="C1884" s="221"/>
      <c r="D1884" s="221"/>
      <c r="E1884" s="221"/>
      <c r="F1884" s="221"/>
      <c r="G1884" s="221"/>
      <c r="H1884" s="221"/>
      <c r="I1884" s="221"/>
      <c r="J1884" s="221"/>
      <c r="K1884" s="221"/>
      <c r="L1884" s="221"/>
      <c r="M1884" s="221"/>
      <c r="N1884" s="221"/>
      <c r="O1884" s="221"/>
      <c r="P1884" s="221"/>
      <c r="Q1884" s="221"/>
      <c r="R1884" s="221"/>
      <c r="S1884" s="221"/>
      <c r="T1884" s="221"/>
      <c r="U1884" s="221"/>
      <c r="V1884" s="221"/>
      <c r="W1884" s="221"/>
      <c r="X1884" s="221"/>
      <c r="Y1884" s="221"/>
      <c r="Z1884" s="221"/>
      <c r="AA1884" s="221"/>
      <c r="AB1884" s="221"/>
      <c r="AC1884" s="221"/>
      <c r="AD1884" s="221"/>
      <c r="AE1884" s="221"/>
      <c r="AF1884" s="221"/>
      <c r="AG1884" s="221"/>
      <c r="AH1884" s="221"/>
      <c r="AI1884" s="221"/>
      <c r="AJ1884" s="221"/>
      <c r="AK1884" s="221"/>
      <c r="AL1884" s="221"/>
      <c r="AM1884" s="221"/>
      <c r="AN1884" s="221"/>
      <c r="AO1884" s="221"/>
      <c r="AP1884" s="221"/>
      <c r="AQ1884" s="221"/>
      <c r="AR1884" s="221"/>
      <c r="AS1884" s="221"/>
      <c r="AT1884" s="221"/>
      <c r="AU1884" s="221"/>
      <c r="AV1884" s="221"/>
      <c r="AW1884" s="221"/>
      <c r="AX1884" s="221"/>
      <c r="AY1884" s="221"/>
      <c r="AZ1884" s="221"/>
      <c r="BA1884" s="221"/>
    </row>
    <row r="1885" spans="1:53" x14ac:dyDescent="0.25">
      <c r="A1885" s="556" t="s">
        <v>24</v>
      </c>
      <c r="B1885" s="550" t="s">
        <v>548</v>
      </c>
      <c r="C1885" s="221"/>
      <c r="D1885" s="221"/>
      <c r="E1885" s="221"/>
      <c r="F1885" s="221"/>
      <c r="G1885" s="221"/>
      <c r="H1885" s="221"/>
      <c r="I1885" s="221"/>
      <c r="J1885" s="221"/>
      <c r="K1885" s="221"/>
      <c r="L1885" s="221"/>
      <c r="M1885" s="221"/>
      <c r="N1885" s="221"/>
      <c r="O1885" s="221"/>
      <c r="P1885" s="221"/>
      <c r="Q1885" s="221"/>
      <c r="R1885" s="221"/>
      <c r="S1885" s="221"/>
      <c r="T1885" s="221"/>
      <c r="U1885" s="221"/>
      <c r="V1885" s="221"/>
      <c r="W1885" s="221"/>
      <c r="X1885" s="221"/>
      <c r="Y1885" s="221"/>
      <c r="Z1885" s="221"/>
      <c r="AA1885" s="221"/>
      <c r="AB1885" s="221"/>
      <c r="AC1885" s="221"/>
      <c r="AD1885" s="221"/>
      <c r="AE1885" s="221"/>
      <c r="AF1885" s="221"/>
      <c r="AG1885" s="221"/>
      <c r="AH1885" s="221"/>
      <c r="AI1885" s="221"/>
      <c r="AJ1885" s="221"/>
      <c r="AK1885" s="221"/>
      <c r="AL1885" s="221"/>
      <c r="AM1885" s="221"/>
      <c r="AN1885" s="221"/>
      <c r="AO1885" s="221"/>
      <c r="AP1885" s="221"/>
      <c r="AQ1885" s="221"/>
      <c r="AR1885" s="221"/>
      <c r="AS1885" s="221"/>
      <c r="AT1885" s="221"/>
      <c r="AU1885" s="221"/>
      <c r="AV1885" s="221"/>
      <c r="AW1885" s="221"/>
      <c r="AX1885" s="221"/>
      <c r="AY1885" s="221"/>
      <c r="AZ1885" s="221"/>
      <c r="BA1885" s="221"/>
    </row>
    <row r="1886" spans="1:53" x14ac:dyDescent="0.25">
      <c r="A1886" s="361" t="s">
        <v>14</v>
      </c>
      <c r="B1886" s="362" t="s">
        <v>637</v>
      </c>
      <c r="C1886" s="434" t="s">
        <v>26</v>
      </c>
      <c r="D1886" s="221"/>
      <c r="E1886" s="221"/>
      <c r="F1886" s="221"/>
      <c r="G1886" s="221"/>
      <c r="H1886" s="221"/>
      <c r="I1886" s="221"/>
      <c r="J1886" s="221"/>
      <c r="K1886" s="221"/>
      <c r="L1886" s="221"/>
      <c r="M1886" s="221"/>
      <c r="N1886" s="221"/>
      <c r="O1886" s="221"/>
      <c r="P1886" s="221"/>
      <c r="Q1886" s="221"/>
      <c r="R1886" s="221"/>
      <c r="S1886" s="221"/>
      <c r="T1886" s="221"/>
      <c r="U1886" s="221"/>
      <c r="V1886" s="221"/>
      <c r="W1886" s="221"/>
      <c r="X1886" s="221"/>
      <c r="Y1886" s="221"/>
      <c r="Z1886" s="221"/>
      <c r="AA1886" s="221"/>
      <c r="AB1886" s="221"/>
      <c r="AC1886" s="221"/>
      <c r="AD1886" s="221"/>
      <c r="AE1886" s="221"/>
      <c r="AF1886" s="221"/>
      <c r="AG1886" s="221"/>
      <c r="AH1886" s="221"/>
      <c r="AI1886" s="221"/>
      <c r="AJ1886" s="221"/>
      <c r="AK1886" s="221"/>
      <c r="AL1886" s="221"/>
      <c r="AM1886" s="221"/>
      <c r="AN1886" s="221"/>
      <c r="AO1886" s="221"/>
      <c r="AP1886" s="221"/>
      <c r="AQ1886" s="221"/>
      <c r="AR1886" s="221"/>
      <c r="AS1886" s="221"/>
      <c r="AT1886" s="221"/>
      <c r="AU1886" s="221"/>
      <c r="AV1886" s="221"/>
      <c r="AW1886" s="221"/>
      <c r="AX1886" s="221"/>
      <c r="AY1886" s="221"/>
      <c r="AZ1886" s="221"/>
      <c r="BA1886" s="221"/>
    </row>
    <row r="1887" spans="1:53" x14ac:dyDescent="0.25">
      <c r="A1887" s="435" t="s">
        <v>27</v>
      </c>
      <c r="B1887" s="342">
        <v>2016</v>
      </c>
      <c r="C1887" s="212">
        <v>2017</v>
      </c>
      <c r="D1887" s="424">
        <v>2018</v>
      </c>
      <c r="E1887" s="212">
        <v>2019</v>
      </c>
      <c r="F1887" s="212">
        <v>2020</v>
      </c>
      <c r="G1887" s="212">
        <v>2021</v>
      </c>
      <c r="H1887" s="212">
        <v>2022</v>
      </c>
      <c r="I1887" s="212">
        <v>2023</v>
      </c>
      <c r="J1887" s="221"/>
      <c r="K1887" s="221"/>
      <c r="L1887" s="221"/>
      <c r="M1887" s="221"/>
      <c r="N1887" s="221"/>
      <c r="O1887" s="221"/>
      <c r="P1887" s="221"/>
      <c r="Q1887" s="221"/>
      <c r="R1887" s="221"/>
      <c r="S1887" s="221"/>
      <c r="T1887" s="221"/>
      <c r="U1887" s="221"/>
      <c r="V1887" s="221"/>
      <c r="W1887" s="221"/>
      <c r="X1887" s="221"/>
      <c r="Y1887" s="221"/>
      <c r="Z1887" s="221"/>
      <c r="AA1887" s="221"/>
      <c r="AB1887" s="221"/>
      <c r="AC1887" s="221"/>
      <c r="AD1887" s="221"/>
      <c r="AE1887" s="221"/>
      <c r="AF1887" s="221"/>
      <c r="AG1887" s="221"/>
      <c r="AH1887" s="221"/>
      <c r="AI1887" s="221"/>
      <c r="AJ1887" s="221"/>
      <c r="AK1887" s="221"/>
      <c r="AL1887" s="221"/>
      <c r="AM1887" s="221"/>
      <c r="AN1887" s="221"/>
      <c r="AO1887" s="221"/>
      <c r="AP1887" s="221"/>
      <c r="AQ1887" s="221"/>
      <c r="AR1887" s="221"/>
      <c r="AS1887" s="221"/>
      <c r="AT1887" s="221"/>
      <c r="AU1887" s="221"/>
      <c r="AV1887" s="221"/>
      <c r="AW1887" s="221"/>
      <c r="AX1887" s="221"/>
      <c r="AY1887" s="221"/>
      <c r="AZ1887" s="221"/>
      <c r="BA1887" s="221"/>
    </row>
    <row r="1888" spans="1:53" x14ac:dyDescent="0.25">
      <c r="A1888" s="226" t="s">
        <v>28</v>
      </c>
      <c r="B1888" s="325">
        <v>250</v>
      </c>
      <c r="C1888" s="325">
        <v>250</v>
      </c>
      <c r="D1888" s="325">
        <v>300</v>
      </c>
      <c r="E1888" s="325">
        <v>300</v>
      </c>
      <c r="F1888" s="215">
        <v>300</v>
      </c>
      <c r="G1888" s="226">
        <v>337.5</v>
      </c>
      <c r="H1888" s="226">
        <v>337.5</v>
      </c>
      <c r="I1888" s="226">
        <v>337.5</v>
      </c>
      <c r="J1888" s="221"/>
      <c r="K1888" s="221"/>
      <c r="L1888" s="221"/>
      <c r="M1888" s="221"/>
      <c r="N1888" s="221"/>
      <c r="O1888" s="221"/>
      <c r="P1888" s="221"/>
      <c r="Q1888" s="221"/>
      <c r="R1888" s="221"/>
      <c r="S1888" s="221"/>
      <c r="T1888" s="221"/>
      <c r="U1888" s="221"/>
      <c r="V1888" s="221"/>
      <c r="W1888" s="221"/>
      <c r="X1888" s="221"/>
      <c r="Y1888" s="221"/>
      <c r="Z1888" s="221"/>
      <c r="AA1888" s="221"/>
      <c r="AB1888" s="221"/>
      <c r="AC1888" s="221"/>
      <c r="AD1888" s="221"/>
      <c r="AE1888" s="221"/>
      <c r="AF1888" s="221"/>
      <c r="AG1888" s="221"/>
      <c r="AH1888" s="221"/>
      <c r="AI1888" s="221"/>
      <c r="AJ1888" s="221"/>
      <c r="AK1888" s="221"/>
      <c r="AL1888" s="221"/>
      <c r="AM1888" s="221"/>
      <c r="AN1888" s="221"/>
      <c r="AO1888" s="221"/>
      <c r="AP1888" s="221"/>
      <c r="AQ1888" s="221"/>
      <c r="AR1888" s="221"/>
      <c r="AS1888" s="221"/>
      <c r="AT1888" s="221"/>
      <c r="AU1888" s="221"/>
      <c r="AV1888" s="221"/>
      <c r="AW1888" s="221"/>
      <c r="AX1888" s="221"/>
      <c r="AY1888" s="221"/>
      <c r="AZ1888" s="221"/>
      <c r="BA1888" s="221"/>
    </row>
    <row r="1889" spans="1:53" x14ac:dyDescent="0.25">
      <c r="A1889" s="226" t="s">
        <v>29</v>
      </c>
      <c r="B1889" s="325">
        <v>-415.21000000000004</v>
      </c>
      <c r="C1889" s="325">
        <f>B1892+C1888+60+150+114</f>
        <v>-128.19000000000005</v>
      </c>
      <c r="D1889" s="325">
        <f>C1892+D1888</f>
        <v>-129.54000000000008</v>
      </c>
      <c r="E1889" s="325">
        <f>E1888+D1892</f>
        <v>5.0099999999999341</v>
      </c>
      <c r="F1889" s="325">
        <f>E1892+F1888</f>
        <v>84.089999999999947</v>
      </c>
      <c r="G1889" s="325">
        <f>G1888+F1892</f>
        <v>175.66999999999996</v>
      </c>
      <c r="H1889" s="325">
        <f>H1888+G1892</f>
        <v>214.65699999999998</v>
      </c>
      <c r="I1889" s="325">
        <f>I1888+H1892</f>
        <v>234.81599999999997</v>
      </c>
      <c r="J1889" s="221"/>
      <c r="K1889" s="221"/>
      <c r="L1889" s="221"/>
      <c r="M1889" s="221"/>
      <c r="N1889" s="221"/>
      <c r="O1889" s="221"/>
      <c r="P1889" s="221"/>
      <c r="Q1889" s="221"/>
      <c r="R1889" s="221"/>
      <c r="S1889" s="221"/>
      <c r="T1889" s="221"/>
      <c r="U1889" s="221"/>
      <c r="V1889" s="221"/>
      <c r="W1889" s="221"/>
      <c r="X1889" s="221"/>
      <c r="Y1889" s="221"/>
      <c r="Z1889" s="221"/>
      <c r="AA1889" s="221"/>
      <c r="AB1889" s="221"/>
      <c r="AC1889" s="221"/>
      <c r="AD1889" s="221"/>
      <c r="AE1889" s="221"/>
      <c r="AF1889" s="221"/>
      <c r="AG1889" s="221"/>
      <c r="AH1889" s="221"/>
      <c r="AI1889" s="221"/>
      <c r="AJ1889" s="221"/>
      <c r="AK1889" s="221"/>
      <c r="AL1889" s="221"/>
      <c r="AM1889" s="221"/>
      <c r="AN1889" s="221"/>
      <c r="AO1889" s="221"/>
      <c r="AP1889" s="221"/>
      <c r="AQ1889" s="221"/>
      <c r="AR1889" s="221"/>
      <c r="AS1889" s="221"/>
      <c r="AT1889" s="221"/>
      <c r="AU1889" s="221"/>
      <c r="AV1889" s="221"/>
      <c r="AW1889" s="221"/>
      <c r="AX1889" s="221"/>
      <c r="AY1889" s="221"/>
      <c r="AZ1889" s="221"/>
      <c r="BA1889" s="221"/>
    </row>
    <row r="1890" spans="1:53" x14ac:dyDescent="0.25">
      <c r="A1890" s="226" t="s">
        <v>30</v>
      </c>
      <c r="B1890" s="436"/>
      <c r="C1890" s="501" t="s">
        <v>551</v>
      </c>
      <c r="D1890" s="436" t="s">
        <v>552</v>
      </c>
      <c r="E1890" s="436" t="s">
        <v>553</v>
      </c>
      <c r="F1890" s="436" t="s">
        <v>556</v>
      </c>
      <c r="G1890" s="436" t="s">
        <v>558</v>
      </c>
      <c r="H1890" s="436" t="s">
        <v>713</v>
      </c>
      <c r="I1890" s="436" t="s">
        <v>893</v>
      </c>
      <c r="J1890" s="221"/>
      <c r="K1890" s="221"/>
      <c r="L1890" s="221"/>
      <c r="M1890" s="221"/>
      <c r="N1890" s="221"/>
      <c r="O1890" s="221"/>
      <c r="P1890" s="221"/>
      <c r="Q1890" s="221"/>
      <c r="R1890" s="221"/>
      <c r="S1890" s="221"/>
      <c r="T1890" s="221"/>
      <c r="U1890" s="221"/>
      <c r="V1890" s="221"/>
      <c r="W1890" s="221"/>
      <c r="X1890" s="221"/>
      <c r="Y1890" s="221"/>
      <c r="Z1890" s="221"/>
      <c r="AA1890" s="221"/>
      <c r="AB1890" s="221"/>
      <c r="AC1890" s="221"/>
      <c r="AD1890" s="221"/>
      <c r="AE1890" s="221"/>
      <c r="AF1890" s="221"/>
      <c r="AG1890" s="221"/>
      <c r="AH1890" s="221"/>
      <c r="AI1890" s="221"/>
      <c r="AJ1890" s="221"/>
      <c r="AK1890" s="221"/>
      <c r="AL1890" s="221"/>
      <c r="AM1890" s="221"/>
      <c r="AN1890" s="221"/>
      <c r="AO1890" s="221"/>
      <c r="AP1890" s="221"/>
      <c r="AQ1890" s="221"/>
      <c r="AR1890" s="221"/>
      <c r="AS1890" s="221"/>
      <c r="AT1890" s="221"/>
      <c r="AU1890" s="221"/>
      <c r="AV1890" s="221"/>
      <c r="AW1890" s="221"/>
      <c r="AX1890" s="221"/>
      <c r="AY1890" s="221"/>
      <c r="AZ1890" s="221"/>
      <c r="BA1890" s="221"/>
    </row>
    <row r="1891" spans="1:53" x14ac:dyDescent="0.25">
      <c r="A1891" s="226" t="s">
        <v>31</v>
      </c>
      <c r="B1891" s="325">
        <v>286.98</v>
      </c>
      <c r="C1891" s="325">
        <v>301.35000000000002</v>
      </c>
      <c r="D1891" s="325">
        <v>165.45</v>
      </c>
      <c r="E1891" s="325">
        <v>220.92</v>
      </c>
      <c r="F1891" s="215">
        <v>245.92</v>
      </c>
      <c r="G1891" s="226">
        <v>298.51299999999998</v>
      </c>
      <c r="H1891" s="226">
        <v>317.34100000000001</v>
      </c>
      <c r="I1891" s="226"/>
      <c r="J1891" s="221"/>
      <c r="K1891" s="221"/>
      <c r="L1891" s="221"/>
      <c r="M1891" s="221"/>
      <c r="N1891" s="221"/>
      <c r="O1891" s="221"/>
      <c r="P1891" s="221"/>
      <c r="Q1891" s="221"/>
      <c r="R1891" s="221"/>
      <c r="S1891" s="221"/>
      <c r="T1891" s="221"/>
      <c r="U1891" s="221"/>
      <c r="V1891" s="221"/>
      <c r="W1891" s="221"/>
      <c r="X1891" s="221"/>
      <c r="Y1891" s="221"/>
      <c r="Z1891" s="221"/>
      <c r="AA1891" s="221"/>
      <c r="AB1891" s="221"/>
      <c r="AC1891" s="221"/>
      <c r="AD1891" s="221"/>
      <c r="AE1891" s="221"/>
      <c r="AF1891" s="221"/>
      <c r="AG1891" s="221"/>
      <c r="AH1891" s="221"/>
      <c r="AI1891" s="221"/>
      <c r="AJ1891" s="221"/>
      <c r="AK1891" s="221"/>
      <c r="AL1891" s="221"/>
      <c r="AM1891" s="221"/>
      <c r="AN1891" s="221"/>
      <c r="AO1891" s="221"/>
      <c r="AP1891" s="221"/>
      <c r="AQ1891" s="221"/>
      <c r="AR1891" s="221"/>
      <c r="AS1891" s="221"/>
      <c r="AT1891" s="221"/>
      <c r="AU1891" s="221"/>
      <c r="AV1891" s="221"/>
      <c r="AW1891" s="221"/>
      <c r="AX1891" s="221"/>
      <c r="AY1891" s="221"/>
      <c r="AZ1891" s="221"/>
      <c r="BA1891" s="221"/>
    </row>
    <row r="1892" spans="1:53" x14ac:dyDescent="0.25">
      <c r="A1892" s="226" t="s">
        <v>32</v>
      </c>
      <c r="B1892" s="325">
        <f t="shared" ref="B1892:H1892" si="48">B1889-B1891</f>
        <v>-702.19</v>
      </c>
      <c r="C1892" s="325">
        <f t="shared" si="48"/>
        <v>-429.54000000000008</v>
      </c>
      <c r="D1892" s="325">
        <f t="shared" si="48"/>
        <v>-294.99000000000007</v>
      </c>
      <c r="E1892" s="325">
        <f t="shared" si="48"/>
        <v>-215.91000000000005</v>
      </c>
      <c r="F1892" s="325">
        <f t="shared" si="48"/>
        <v>-161.83000000000004</v>
      </c>
      <c r="G1892" s="215">
        <f t="shared" si="48"/>
        <v>-122.84300000000002</v>
      </c>
      <c r="H1892" s="215">
        <f t="shared" si="48"/>
        <v>-102.68400000000003</v>
      </c>
      <c r="I1892" s="226"/>
      <c r="J1892" s="221"/>
      <c r="K1892" s="221"/>
      <c r="L1892" s="221"/>
      <c r="M1892" s="221"/>
      <c r="N1892" s="221"/>
      <c r="O1892" s="221"/>
      <c r="P1892" s="221"/>
      <c r="Q1892" s="221"/>
      <c r="R1892" s="221"/>
      <c r="S1892" s="221"/>
      <c r="T1892" s="221"/>
      <c r="U1892" s="221"/>
      <c r="V1892" s="221"/>
      <c r="W1892" s="221"/>
      <c r="X1892" s="221"/>
      <c r="Y1892" s="221"/>
      <c r="Z1892" s="221"/>
      <c r="AA1892" s="221"/>
      <c r="AB1892" s="221"/>
      <c r="AC1892" s="221"/>
      <c r="AD1892" s="221"/>
      <c r="AE1892" s="221"/>
      <c r="AF1892" s="221"/>
      <c r="AG1892" s="221"/>
      <c r="AH1892" s="221"/>
      <c r="AI1892" s="221"/>
      <c r="AJ1892" s="221"/>
      <c r="AK1892" s="221"/>
      <c r="AL1892" s="221"/>
      <c r="AM1892" s="221"/>
      <c r="AN1892" s="221"/>
      <c r="AO1892" s="221"/>
      <c r="AP1892" s="221"/>
      <c r="AQ1892" s="221"/>
      <c r="AR1892" s="221"/>
      <c r="AS1892" s="221"/>
      <c r="AT1892" s="221"/>
      <c r="AU1892" s="221"/>
      <c r="AV1892" s="221"/>
      <c r="AW1892" s="221"/>
      <c r="AX1892" s="221"/>
      <c r="AY1892" s="221"/>
      <c r="AZ1892" s="221"/>
      <c r="BA1892" s="221"/>
    </row>
    <row r="1893" spans="1:53" x14ac:dyDescent="0.25">
      <c r="A1893" s="218" t="s">
        <v>33</v>
      </c>
      <c r="B1893" s="244">
        <v>2018</v>
      </c>
      <c r="C1893" s="244">
        <v>2018</v>
      </c>
      <c r="D1893" s="244">
        <v>2019</v>
      </c>
      <c r="E1893" s="244">
        <v>2020</v>
      </c>
      <c r="F1893" s="244">
        <v>2021</v>
      </c>
      <c r="G1893" s="244">
        <v>2022</v>
      </c>
      <c r="H1893" s="244">
        <v>2023</v>
      </c>
      <c r="I1893" s="244">
        <v>2024</v>
      </c>
      <c r="J1893" s="221"/>
      <c r="K1893" s="221"/>
      <c r="L1893" s="221"/>
      <c r="M1893" s="221"/>
      <c r="N1893" s="221"/>
      <c r="O1893" s="221"/>
      <c r="P1893" s="221"/>
      <c r="Q1893" s="221"/>
      <c r="R1893" s="221"/>
      <c r="S1893" s="221"/>
      <c r="T1893" s="221"/>
      <c r="U1893" s="221"/>
      <c r="V1893" s="221"/>
      <c r="W1893" s="221"/>
      <c r="X1893" s="221"/>
      <c r="Y1893" s="221"/>
      <c r="Z1893" s="221"/>
      <c r="AA1893" s="221"/>
      <c r="AB1893" s="221"/>
      <c r="AC1893" s="221"/>
      <c r="AD1893" s="221"/>
      <c r="AE1893" s="221"/>
      <c r="AF1893" s="221"/>
      <c r="AG1893" s="221"/>
      <c r="AH1893" s="221"/>
      <c r="AI1893" s="221"/>
      <c r="AJ1893" s="221"/>
      <c r="AK1893" s="221"/>
      <c r="AL1893" s="221"/>
      <c r="AM1893" s="221"/>
      <c r="AN1893" s="221"/>
      <c r="AO1893" s="221"/>
      <c r="AP1893" s="221"/>
      <c r="AQ1893" s="221"/>
      <c r="AR1893" s="221"/>
      <c r="AS1893" s="221"/>
      <c r="AT1893" s="221"/>
      <c r="AU1893" s="221"/>
      <c r="AV1893" s="221"/>
      <c r="AW1893" s="221"/>
      <c r="AX1893" s="221"/>
      <c r="AY1893" s="221"/>
      <c r="AZ1893" s="221"/>
      <c r="BA1893" s="221"/>
    </row>
    <row r="1894" spans="1:53" x14ac:dyDescent="0.25">
      <c r="A1894" s="218" t="s">
        <v>550</v>
      </c>
      <c r="B1894" s="280"/>
      <c r="C1894" s="280"/>
      <c r="D1894" s="280"/>
      <c r="E1894" s="280"/>
      <c r="F1894" s="280"/>
      <c r="G1894" s="219"/>
      <c r="H1894" s="217"/>
      <c r="I1894" s="217"/>
      <c r="J1894" s="221"/>
      <c r="K1894" s="221"/>
      <c r="L1894" s="221"/>
      <c r="M1894" s="221"/>
      <c r="N1894" s="221"/>
      <c r="O1894" s="221"/>
      <c r="P1894" s="221"/>
      <c r="Q1894" s="221"/>
      <c r="R1894" s="221"/>
      <c r="S1894" s="221"/>
      <c r="T1894" s="221"/>
      <c r="U1894" s="221"/>
      <c r="V1894" s="221"/>
      <c r="W1894" s="221"/>
      <c r="X1894" s="221"/>
      <c r="Y1894" s="221"/>
      <c r="Z1894" s="221"/>
      <c r="AA1894" s="221"/>
      <c r="AB1894" s="221"/>
      <c r="AC1894" s="221"/>
      <c r="AD1894" s="221"/>
      <c r="AE1894" s="221"/>
      <c r="AF1894" s="221"/>
      <c r="AG1894" s="221"/>
      <c r="AH1894" s="221"/>
      <c r="AI1894" s="221"/>
      <c r="AJ1894" s="221"/>
      <c r="AK1894" s="221"/>
      <c r="AL1894" s="221"/>
      <c r="AM1894" s="221"/>
      <c r="AN1894" s="221"/>
      <c r="AO1894" s="221"/>
      <c r="AP1894" s="221"/>
      <c r="AQ1894" s="221"/>
      <c r="AR1894" s="221"/>
      <c r="AS1894" s="221"/>
      <c r="AT1894" s="221"/>
      <c r="AU1894" s="221"/>
      <c r="AV1894" s="221"/>
      <c r="AW1894" s="221"/>
      <c r="AX1894" s="221"/>
      <c r="AY1894" s="221"/>
      <c r="AZ1894" s="221"/>
      <c r="BA1894" s="221"/>
    </row>
    <row r="1895" spans="1:53" x14ac:dyDescent="0.25">
      <c r="A1895" s="220" t="s">
        <v>554</v>
      </c>
      <c r="B1895" s="437"/>
      <c r="C1895" s="437"/>
      <c r="D1895" s="437"/>
      <c r="E1895" s="437"/>
      <c r="F1895" s="437"/>
      <c r="G1895" s="221"/>
      <c r="H1895" s="222"/>
      <c r="I1895" s="222"/>
      <c r="J1895" s="221"/>
      <c r="K1895" s="221"/>
      <c r="L1895" s="221"/>
      <c r="M1895" s="221"/>
      <c r="N1895" s="221"/>
      <c r="O1895" s="221"/>
      <c r="P1895" s="221"/>
      <c r="Q1895" s="221"/>
      <c r="R1895" s="221"/>
      <c r="S1895" s="221"/>
      <c r="T1895" s="221"/>
      <c r="U1895" s="221"/>
      <c r="V1895" s="221"/>
      <c r="W1895" s="221"/>
      <c r="X1895" s="221"/>
      <c r="Y1895" s="221"/>
      <c r="Z1895" s="221"/>
      <c r="AA1895" s="221"/>
      <c r="AB1895" s="221"/>
      <c r="AC1895" s="221"/>
      <c r="AD1895" s="221"/>
      <c r="AE1895" s="221"/>
      <c r="AF1895" s="221"/>
      <c r="AG1895" s="221"/>
      <c r="AH1895" s="221"/>
      <c r="AI1895" s="221"/>
      <c r="AJ1895" s="221"/>
      <c r="AK1895" s="221"/>
      <c r="AL1895" s="221"/>
      <c r="AM1895" s="221"/>
      <c r="AN1895" s="221"/>
      <c r="AO1895" s="221"/>
      <c r="AP1895" s="221"/>
      <c r="AQ1895" s="221"/>
      <c r="AR1895" s="221"/>
      <c r="AS1895" s="221"/>
      <c r="AT1895" s="221"/>
      <c r="AU1895" s="221"/>
      <c r="AV1895" s="221"/>
      <c r="AW1895" s="221"/>
      <c r="AX1895" s="221"/>
      <c r="AY1895" s="221"/>
      <c r="AZ1895" s="221"/>
      <c r="BA1895" s="221"/>
    </row>
    <row r="1896" spans="1:53" x14ac:dyDescent="0.25">
      <c r="A1896" s="220" t="s">
        <v>555</v>
      </c>
      <c r="B1896" s="437"/>
      <c r="C1896" s="437"/>
      <c r="D1896" s="437"/>
      <c r="E1896" s="437"/>
      <c r="F1896" s="437"/>
      <c r="G1896" s="221"/>
      <c r="H1896" s="222"/>
      <c r="I1896" s="222"/>
      <c r="J1896" s="221"/>
      <c r="K1896" s="221"/>
      <c r="L1896" s="221"/>
      <c r="M1896" s="221"/>
      <c r="N1896" s="221"/>
      <c r="O1896" s="221"/>
      <c r="P1896" s="221"/>
      <c r="Q1896" s="221"/>
      <c r="R1896" s="221"/>
      <c r="S1896" s="221"/>
      <c r="T1896" s="221"/>
      <c r="U1896" s="221"/>
      <c r="V1896" s="221"/>
      <c r="W1896" s="221"/>
      <c r="X1896" s="221"/>
      <c r="Y1896" s="221"/>
      <c r="Z1896" s="221"/>
      <c r="AA1896" s="221"/>
      <c r="AB1896" s="221"/>
      <c r="AC1896" s="221"/>
      <c r="AD1896" s="221"/>
      <c r="AE1896" s="221"/>
      <c r="AF1896" s="221"/>
      <c r="AG1896" s="221"/>
      <c r="AH1896" s="221"/>
      <c r="AI1896" s="221"/>
      <c r="AJ1896" s="221"/>
      <c r="AK1896" s="221"/>
      <c r="AL1896" s="221"/>
      <c r="AM1896" s="221"/>
      <c r="AN1896" s="221"/>
      <c r="AO1896" s="221"/>
      <c r="AP1896" s="221"/>
      <c r="AQ1896" s="221"/>
      <c r="AR1896" s="221"/>
      <c r="AS1896" s="221"/>
      <c r="AT1896" s="221"/>
      <c r="AU1896" s="221"/>
      <c r="AV1896" s="221"/>
      <c r="AW1896" s="221"/>
      <c r="AX1896" s="221"/>
      <c r="AY1896" s="221"/>
      <c r="AZ1896" s="221"/>
      <c r="BA1896" s="221"/>
    </row>
    <row r="1897" spans="1:53" x14ac:dyDescent="0.25">
      <c r="A1897" s="220" t="s">
        <v>557</v>
      </c>
      <c r="B1897" s="437"/>
      <c r="C1897" s="437"/>
      <c r="D1897" s="437"/>
      <c r="E1897" s="437"/>
      <c r="F1897" s="437"/>
      <c r="G1897" s="221"/>
      <c r="H1897" s="222"/>
      <c r="I1897" s="222"/>
      <c r="J1897" s="221"/>
      <c r="K1897" s="221"/>
      <c r="L1897" s="221"/>
      <c r="M1897" s="221"/>
      <c r="N1897" s="221"/>
      <c r="O1897" s="221"/>
      <c r="P1897" s="221"/>
      <c r="Q1897" s="221"/>
      <c r="R1897" s="221"/>
      <c r="S1897" s="221"/>
      <c r="T1897" s="221"/>
      <c r="U1897" s="221"/>
      <c r="V1897" s="221"/>
      <c r="W1897" s="221"/>
      <c r="X1897" s="221"/>
      <c r="Y1897" s="221"/>
      <c r="Z1897" s="221"/>
      <c r="AA1897" s="221"/>
      <c r="AB1897" s="221"/>
      <c r="AC1897" s="221"/>
      <c r="AD1897" s="221"/>
      <c r="AE1897" s="221"/>
      <c r="AF1897" s="221"/>
      <c r="AG1897" s="221"/>
      <c r="AH1897" s="221"/>
      <c r="AI1897" s="221"/>
      <c r="AJ1897" s="221"/>
      <c r="AK1897" s="221"/>
      <c r="AL1897" s="221"/>
      <c r="AM1897" s="221"/>
      <c r="AN1897" s="221"/>
      <c r="AO1897" s="221"/>
      <c r="AP1897" s="221"/>
      <c r="AQ1897" s="221"/>
      <c r="AR1897" s="221"/>
      <c r="AS1897" s="221"/>
      <c r="AT1897" s="221"/>
      <c r="AU1897" s="221"/>
      <c r="AV1897" s="221"/>
      <c r="AW1897" s="221"/>
      <c r="AX1897" s="221"/>
      <c r="AY1897" s="221"/>
      <c r="AZ1897" s="221"/>
      <c r="BA1897" s="221"/>
    </row>
    <row r="1898" spans="1:53" x14ac:dyDescent="0.25">
      <c r="A1898" s="220" t="s">
        <v>559</v>
      </c>
      <c r="B1898" s="437"/>
      <c r="C1898" s="437"/>
      <c r="D1898" s="437"/>
      <c r="E1898" s="437"/>
      <c r="F1898" s="437"/>
      <c r="G1898" s="221"/>
      <c r="H1898" s="222"/>
      <c r="I1898" s="222"/>
      <c r="J1898" s="221"/>
      <c r="K1898" s="221"/>
      <c r="L1898" s="221"/>
      <c r="M1898" s="221"/>
      <c r="N1898" s="221"/>
      <c r="O1898" s="221"/>
      <c r="P1898" s="221"/>
      <c r="Q1898" s="221"/>
      <c r="R1898" s="221"/>
      <c r="S1898" s="221"/>
      <c r="T1898" s="221"/>
      <c r="U1898" s="221"/>
      <c r="V1898" s="221"/>
      <c r="W1898" s="221"/>
      <c r="X1898" s="221"/>
      <c r="Y1898" s="221"/>
      <c r="Z1898" s="221"/>
      <c r="AA1898" s="221"/>
      <c r="AB1898" s="221"/>
      <c r="AC1898" s="221"/>
      <c r="AD1898" s="221"/>
      <c r="AE1898" s="221"/>
      <c r="AF1898" s="221"/>
      <c r="AG1898" s="221"/>
      <c r="AH1898" s="221"/>
      <c r="AI1898" s="221"/>
      <c r="AJ1898" s="221"/>
      <c r="AK1898" s="221"/>
      <c r="AL1898" s="221"/>
      <c r="AM1898" s="221"/>
      <c r="AN1898" s="221"/>
      <c r="AO1898" s="221"/>
      <c r="AP1898" s="221"/>
      <c r="AQ1898" s="221"/>
      <c r="AR1898" s="221"/>
      <c r="AS1898" s="221"/>
      <c r="AT1898" s="221"/>
      <c r="AU1898" s="221"/>
      <c r="AV1898" s="221"/>
      <c r="AW1898" s="221"/>
      <c r="AX1898" s="221"/>
      <c r="AY1898" s="221"/>
      <c r="AZ1898" s="221"/>
      <c r="BA1898" s="221"/>
    </row>
    <row r="1899" spans="1:53" x14ac:dyDescent="0.25">
      <c r="A1899" s="220" t="s">
        <v>714</v>
      </c>
      <c r="B1899" s="437"/>
      <c r="C1899" s="437"/>
      <c r="D1899" s="437"/>
      <c r="E1899" s="437"/>
      <c r="F1899" s="437"/>
      <c r="G1899" s="221"/>
      <c r="H1899" s="222"/>
      <c r="I1899" s="222"/>
      <c r="J1899" s="221"/>
      <c r="K1899" s="221"/>
      <c r="L1899" s="221"/>
      <c r="M1899" s="221"/>
      <c r="N1899" s="221"/>
      <c r="O1899" s="221"/>
      <c r="P1899" s="221"/>
      <c r="Q1899" s="221"/>
      <c r="R1899" s="221"/>
      <c r="S1899" s="221"/>
      <c r="T1899" s="221"/>
      <c r="U1899" s="221"/>
      <c r="V1899" s="221"/>
      <c r="W1899" s="221"/>
      <c r="X1899" s="221"/>
      <c r="Y1899" s="221"/>
      <c r="Z1899" s="221"/>
      <c r="AA1899" s="221"/>
      <c r="AB1899" s="221"/>
      <c r="AC1899" s="221"/>
      <c r="AD1899" s="221"/>
      <c r="AE1899" s="221"/>
      <c r="AF1899" s="221"/>
      <c r="AG1899" s="221"/>
      <c r="AH1899" s="221"/>
      <c r="AI1899" s="221"/>
      <c r="AJ1899" s="221"/>
      <c r="AK1899" s="221"/>
      <c r="AL1899" s="221"/>
      <c r="AM1899" s="221"/>
      <c r="AN1899" s="221"/>
      <c r="AO1899" s="221"/>
      <c r="AP1899" s="221"/>
      <c r="AQ1899" s="221"/>
      <c r="AR1899" s="221"/>
      <c r="AS1899" s="221"/>
      <c r="AT1899" s="221"/>
      <c r="AU1899" s="221"/>
      <c r="AV1899" s="221"/>
      <c r="AW1899" s="221"/>
      <c r="AX1899" s="221"/>
      <c r="AY1899" s="221"/>
      <c r="AZ1899" s="221"/>
      <c r="BA1899" s="221"/>
    </row>
    <row r="1900" spans="1:53" x14ac:dyDescent="0.25">
      <c r="A1900" s="220" t="s">
        <v>894</v>
      </c>
      <c r="B1900" s="437"/>
      <c r="C1900" s="437"/>
      <c r="D1900" s="437"/>
      <c r="E1900" s="437"/>
      <c r="F1900" s="437"/>
      <c r="G1900" s="221"/>
      <c r="H1900" s="222"/>
      <c r="I1900" s="222"/>
      <c r="J1900" s="221"/>
      <c r="K1900" s="221"/>
      <c r="L1900" s="221"/>
      <c r="M1900" s="221"/>
      <c r="N1900" s="221"/>
      <c r="O1900" s="221"/>
      <c r="P1900" s="221"/>
      <c r="Q1900" s="221"/>
      <c r="R1900" s="221"/>
      <c r="S1900" s="221"/>
      <c r="T1900" s="221"/>
      <c r="U1900" s="221"/>
      <c r="V1900" s="221"/>
      <c r="W1900" s="221"/>
      <c r="X1900" s="221"/>
      <c r="Y1900" s="221"/>
      <c r="Z1900" s="221"/>
      <c r="AA1900" s="221"/>
      <c r="AB1900" s="221"/>
      <c r="AC1900" s="221"/>
      <c r="AD1900" s="221"/>
      <c r="AE1900" s="221"/>
      <c r="AF1900" s="221"/>
      <c r="AG1900" s="221"/>
      <c r="AH1900" s="221"/>
      <c r="AI1900" s="221"/>
      <c r="AJ1900" s="221"/>
      <c r="AK1900" s="221"/>
      <c r="AL1900" s="221"/>
      <c r="AM1900" s="221"/>
      <c r="AN1900" s="221"/>
      <c r="AO1900" s="221"/>
      <c r="AP1900" s="221"/>
      <c r="AQ1900" s="221"/>
      <c r="AR1900" s="221"/>
      <c r="AS1900" s="221"/>
      <c r="AT1900" s="221"/>
      <c r="AU1900" s="221"/>
      <c r="AV1900" s="221"/>
      <c r="AW1900" s="221"/>
      <c r="AX1900" s="221"/>
      <c r="AY1900" s="221"/>
      <c r="AZ1900" s="221"/>
      <c r="BA1900" s="221"/>
    </row>
    <row r="1901" spans="1:53" x14ac:dyDescent="0.25">
      <c r="A1901" s="211" t="s">
        <v>549</v>
      </c>
      <c r="B1901" s="502"/>
      <c r="C1901" s="502"/>
      <c r="D1901" s="502"/>
      <c r="E1901" s="502"/>
      <c r="F1901" s="502"/>
      <c r="G1901" s="223"/>
      <c r="H1901" s="224"/>
      <c r="I1901" s="224"/>
      <c r="J1901" s="221"/>
      <c r="K1901" s="221"/>
      <c r="L1901" s="221"/>
      <c r="M1901" s="221"/>
      <c r="N1901" s="221"/>
      <c r="O1901" s="221"/>
      <c r="P1901" s="221"/>
      <c r="Q1901" s="221"/>
      <c r="R1901" s="221"/>
      <c r="S1901" s="221"/>
      <c r="T1901" s="221"/>
      <c r="U1901" s="221"/>
      <c r="V1901" s="221"/>
      <c r="W1901" s="221"/>
      <c r="X1901" s="221"/>
      <c r="Y1901" s="221"/>
      <c r="Z1901" s="221"/>
      <c r="AA1901" s="221"/>
      <c r="AB1901" s="221"/>
      <c r="AC1901" s="221"/>
      <c r="AD1901" s="221"/>
      <c r="AE1901" s="221"/>
      <c r="AF1901" s="221"/>
      <c r="AG1901" s="221"/>
      <c r="AH1901" s="221"/>
      <c r="AI1901" s="221"/>
      <c r="AJ1901" s="221"/>
      <c r="AK1901" s="221"/>
      <c r="AL1901" s="221"/>
      <c r="AM1901" s="221"/>
      <c r="AN1901" s="221"/>
      <c r="AO1901" s="221"/>
      <c r="AP1901" s="221"/>
      <c r="AQ1901" s="221"/>
      <c r="AR1901" s="221"/>
      <c r="AS1901" s="221"/>
      <c r="AT1901" s="221"/>
      <c r="AU1901" s="221"/>
      <c r="AV1901" s="221"/>
      <c r="AW1901" s="221"/>
      <c r="AX1901" s="221"/>
      <c r="AY1901" s="221"/>
      <c r="AZ1901" s="221"/>
      <c r="BA1901" s="221"/>
    </row>
    <row r="1902" spans="1:53" x14ac:dyDescent="0.25">
      <c r="A1902" s="360"/>
      <c r="B1902" s="360"/>
      <c r="C1902" s="221"/>
      <c r="D1902" s="221"/>
      <c r="E1902" s="221"/>
      <c r="F1902" s="221"/>
      <c r="G1902" s="221"/>
      <c r="H1902" s="221"/>
      <c r="I1902" s="221"/>
      <c r="J1902" s="221"/>
      <c r="K1902" s="221"/>
      <c r="L1902" s="221"/>
      <c r="M1902" s="221"/>
      <c r="N1902" s="221"/>
      <c r="O1902" s="221"/>
      <c r="P1902" s="221"/>
      <c r="Q1902" s="221"/>
      <c r="R1902" s="221"/>
      <c r="S1902" s="221"/>
      <c r="T1902" s="221"/>
      <c r="U1902" s="221"/>
      <c r="V1902" s="221"/>
      <c r="W1902" s="221"/>
      <c r="X1902" s="221"/>
      <c r="Y1902" s="221"/>
      <c r="Z1902" s="221"/>
      <c r="AA1902" s="221"/>
      <c r="AB1902" s="221"/>
      <c r="AC1902" s="221"/>
      <c r="AD1902" s="221"/>
      <c r="AE1902" s="221"/>
      <c r="AF1902" s="221"/>
      <c r="AG1902" s="221"/>
      <c r="AH1902" s="221"/>
      <c r="AI1902" s="221"/>
      <c r="AJ1902" s="221"/>
      <c r="AK1902" s="221"/>
      <c r="AL1902" s="221"/>
      <c r="AM1902" s="221"/>
      <c r="AN1902" s="221"/>
      <c r="AO1902" s="221"/>
      <c r="AP1902" s="221"/>
      <c r="AQ1902" s="221"/>
      <c r="AR1902" s="221"/>
      <c r="AS1902" s="221"/>
      <c r="AT1902" s="221"/>
      <c r="AU1902" s="221"/>
      <c r="AV1902" s="221"/>
      <c r="AW1902" s="221"/>
      <c r="AX1902" s="221"/>
      <c r="AY1902" s="221"/>
      <c r="AZ1902" s="221"/>
      <c r="BA1902" s="221"/>
    </row>
    <row r="1903" spans="1:53" x14ac:dyDescent="0.25">
      <c r="A1903" s="260" t="s">
        <v>14</v>
      </c>
      <c r="B1903" s="274" t="s">
        <v>636</v>
      </c>
      <c r="C1903" s="434" t="s">
        <v>26</v>
      </c>
      <c r="D1903" s="221"/>
      <c r="E1903" s="221"/>
      <c r="F1903" s="221"/>
      <c r="G1903" s="221"/>
      <c r="H1903" s="221"/>
      <c r="I1903" s="221"/>
      <c r="J1903" s="221"/>
      <c r="K1903" s="221"/>
      <c r="L1903" s="221"/>
      <c r="M1903" s="221"/>
      <c r="N1903" s="221"/>
      <c r="O1903" s="221"/>
      <c r="P1903" s="221"/>
      <c r="Q1903" s="221"/>
      <c r="R1903" s="221"/>
      <c r="S1903" s="221"/>
      <c r="T1903" s="221"/>
      <c r="U1903" s="221"/>
      <c r="V1903" s="221"/>
      <c r="W1903" s="221"/>
      <c r="X1903" s="221"/>
      <c r="Y1903" s="221"/>
      <c r="Z1903" s="221"/>
      <c r="AA1903" s="221"/>
      <c r="AB1903" s="221"/>
      <c r="AC1903" s="221"/>
      <c r="AD1903" s="221"/>
      <c r="AE1903" s="221"/>
      <c r="AF1903" s="221"/>
      <c r="AG1903" s="221"/>
      <c r="AH1903" s="221"/>
      <c r="AI1903" s="221"/>
      <c r="AJ1903" s="221"/>
      <c r="AK1903" s="221"/>
      <c r="AL1903" s="221"/>
      <c r="AM1903" s="221"/>
      <c r="AN1903" s="221"/>
      <c r="AO1903" s="221"/>
      <c r="AP1903" s="221"/>
      <c r="AQ1903" s="221"/>
      <c r="AR1903" s="221"/>
      <c r="AS1903" s="221"/>
      <c r="AT1903" s="221"/>
      <c r="AU1903" s="221"/>
      <c r="AV1903" s="221"/>
      <c r="AW1903" s="221"/>
      <c r="AX1903" s="221"/>
      <c r="AY1903" s="221"/>
      <c r="AZ1903" s="221"/>
      <c r="BA1903" s="221"/>
    </row>
    <row r="1904" spans="1:53" x14ac:dyDescent="0.25">
      <c r="A1904" s="435" t="s">
        <v>27</v>
      </c>
      <c r="B1904" s="212">
        <v>2016</v>
      </c>
      <c r="C1904" s="212">
        <v>2017</v>
      </c>
      <c r="D1904" s="424">
        <v>2018</v>
      </c>
      <c r="E1904" s="212">
        <v>2019</v>
      </c>
      <c r="F1904" s="212">
        <v>2020</v>
      </c>
      <c r="G1904" s="212">
        <v>2021</v>
      </c>
      <c r="H1904" s="212">
        <v>2022</v>
      </c>
      <c r="I1904" s="212">
        <v>2023</v>
      </c>
      <c r="J1904" s="221"/>
      <c r="K1904" s="221"/>
      <c r="L1904" s="221"/>
      <c r="M1904" s="221"/>
      <c r="N1904" s="221"/>
      <c r="O1904" s="221"/>
      <c r="P1904" s="221"/>
      <c r="Q1904" s="221"/>
      <c r="R1904" s="221"/>
      <c r="S1904" s="221"/>
      <c r="T1904" s="221"/>
      <c r="U1904" s="221"/>
      <c r="V1904" s="221"/>
      <c r="W1904" s="221"/>
      <c r="X1904" s="221"/>
      <c r="Y1904" s="221"/>
      <c r="Z1904" s="221"/>
      <c r="AA1904" s="221"/>
      <c r="AB1904" s="221"/>
      <c r="AC1904" s="221"/>
      <c r="AD1904" s="221"/>
      <c r="AE1904" s="221"/>
      <c r="AF1904" s="221"/>
      <c r="AG1904" s="221"/>
      <c r="AH1904" s="221"/>
      <c r="AI1904" s="221"/>
      <c r="AJ1904" s="221"/>
      <c r="AK1904" s="221"/>
      <c r="AL1904" s="221"/>
      <c r="AM1904" s="221"/>
      <c r="AN1904" s="221"/>
      <c r="AO1904" s="221"/>
      <c r="AP1904" s="221"/>
      <c r="AQ1904" s="221"/>
      <c r="AR1904" s="221"/>
      <c r="AS1904" s="221"/>
      <c r="AT1904" s="221"/>
      <c r="AU1904" s="221"/>
      <c r="AV1904" s="221"/>
      <c r="AW1904" s="221"/>
      <c r="AX1904" s="221"/>
      <c r="AY1904" s="221"/>
      <c r="AZ1904" s="221"/>
      <c r="BA1904" s="221"/>
    </row>
    <row r="1905" spans="1:53" x14ac:dyDescent="0.25">
      <c r="A1905" s="226" t="s">
        <v>28</v>
      </c>
      <c r="B1905" s="325">
        <v>85</v>
      </c>
      <c r="C1905" s="325">
        <v>85</v>
      </c>
      <c r="D1905" s="325">
        <v>85</v>
      </c>
      <c r="E1905" s="325">
        <v>85</v>
      </c>
      <c r="F1905" s="215">
        <v>85</v>
      </c>
      <c r="G1905" s="215">
        <v>85</v>
      </c>
      <c r="H1905" s="215">
        <v>85</v>
      </c>
      <c r="I1905" s="215">
        <v>85</v>
      </c>
      <c r="J1905" s="221"/>
      <c r="K1905" s="221"/>
      <c r="L1905" s="221"/>
      <c r="M1905" s="221"/>
      <c r="N1905" s="221"/>
      <c r="O1905" s="221"/>
      <c r="P1905" s="221"/>
      <c r="Q1905" s="221"/>
      <c r="R1905" s="221"/>
      <c r="S1905" s="221"/>
      <c r="T1905" s="221"/>
      <c r="U1905" s="221"/>
      <c r="V1905" s="221"/>
      <c r="W1905" s="221"/>
      <c r="X1905" s="221"/>
      <c r="Y1905" s="221"/>
      <c r="Z1905" s="221"/>
      <c r="AA1905" s="221"/>
      <c r="AB1905" s="221"/>
      <c r="AC1905" s="221"/>
      <c r="AD1905" s="221"/>
      <c r="AE1905" s="221"/>
      <c r="AF1905" s="221"/>
      <c r="AG1905" s="221"/>
      <c r="AH1905" s="221"/>
      <c r="AI1905" s="221"/>
      <c r="AJ1905" s="221"/>
      <c r="AK1905" s="221"/>
      <c r="AL1905" s="221"/>
      <c r="AM1905" s="221"/>
      <c r="AN1905" s="221"/>
      <c r="AO1905" s="221"/>
      <c r="AP1905" s="221"/>
      <c r="AQ1905" s="221"/>
      <c r="AR1905" s="221"/>
      <c r="AS1905" s="221"/>
      <c r="AT1905" s="221"/>
      <c r="AU1905" s="221"/>
      <c r="AV1905" s="221"/>
      <c r="AW1905" s="221"/>
      <c r="AX1905" s="221"/>
      <c r="AY1905" s="221"/>
      <c r="AZ1905" s="221"/>
      <c r="BA1905" s="221"/>
    </row>
    <row r="1906" spans="1:53" x14ac:dyDescent="0.25">
      <c r="A1906" s="226" t="s">
        <v>29</v>
      </c>
      <c r="B1906" s="325">
        <f>B1905*1.5</f>
        <v>127.5</v>
      </c>
      <c r="C1906" s="325">
        <f>C1905+0.5*B1905-12.75</f>
        <v>114.75</v>
      </c>
      <c r="D1906" s="325">
        <f>D1905+0.4*B1905-12.75</f>
        <v>106.25</v>
      </c>
      <c r="E1906" s="325">
        <f>E1905+0.4*C1905</f>
        <v>119</v>
      </c>
      <c r="F1906" s="325">
        <f>F1905+0.4*D1905</f>
        <v>119</v>
      </c>
      <c r="G1906" s="325">
        <f>G1905+0.4*E1905</f>
        <v>119</v>
      </c>
      <c r="H1906" s="325">
        <f>H1905+0.4*F1905</f>
        <v>119</v>
      </c>
      <c r="I1906" s="325">
        <f>I1905+0.4*G1905</f>
        <v>119</v>
      </c>
      <c r="J1906" s="221"/>
      <c r="K1906" s="221"/>
      <c r="L1906" s="221"/>
      <c r="M1906" s="221"/>
      <c r="N1906" s="221"/>
      <c r="O1906" s="221"/>
      <c r="P1906" s="221"/>
      <c r="Q1906" s="221"/>
      <c r="R1906" s="221"/>
      <c r="S1906" s="221"/>
      <c r="T1906" s="221"/>
      <c r="U1906" s="221"/>
      <c r="V1906" s="221"/>
      <c r="W1906" s="221"/>
      <c r="X1906" s="221"/>
      <c r="Y1906" s="221"/>
      <c r="Z1906" s="221"/>
      <c r="AA1906" s="221"/>
      <c r="AB1906" s="221"/>
      <c r="AC1906" s="221"/>
      <c r="AD1906" s="221"/>
      <c r="AE1906" s="221"/>
      <c r="AF1906" s="221"/>
      <c r="AG1906" s="221"/>
      <c r="AH1906" s="221"/>
      <c r="AI1906" s="221"/>
      <c r="AJ1906" s="221"/>
      <c r="AK1906" s="221"/>
      <c r="AL1906" s="221"/>
      <c r="AM1906" s="221"/>
      <c r="AN1906" s="221"/>
      <c r="AO1906" s="221"/>
      <c r="AP1906" s="221"/>
      <c r="AQ1906" s="221"/>
      <c r="AR1906" s="221"/>
      <c r="AS1906" s="221"/>
      <c r="AT1906" s="221"/>
      <c r="AU1906" s="221"/>
      <c r="AV1906" s="221"/>
      <c r="AW1906" s="221"/>
      <c r="AX1906" s="221"/>
      <c r="AY1906" s="221"/>
      <c r="AZ1906" s="221"/>
      <c r="BA1906" s="221"/>
    </row>
    <row r="1907" spans="1:53" x14ac:dyDescent="0.25">
      <c r="A1907" s="226" t="s">
        <v>30</v>
      </c>
      <c r="B1907" s="328" t="s">
        <v>560</v>
      </c>
      <c r="C1907" s="328" t="s">
        <v>563</v>
      </c>
      <c r="D1907" s="328" t="s">
        <v>564</v>
      </c>
      <c r="E1907" s="328" t="s">
        <v>565</v>
      </c>
      <c r="F1907" s="328" t="s">
        <v>565</v>
      </c>
      <c r="G1907" s="328" t="s">
        <v>565</v>
      </c>
      <c r="H1907" s="328" t="s">
        <v>565</v>
      </c>
      <c r="I1907" s="328" t="s">
        <v>565</v>
      </c>
      <c r="J1907" s="221"/>
      <c r="K1907" s="221"/>
      <c r="L1907" s="221"/>
      <c r="M1907" s="221"/>
      <c r="N1907" s="221"/>
      <c r="O1907" s="221"/>
      <c r="P1907" s="221"/>
      <c r="Q1907" s="221"/>
      <c r="R1907" s="221"/>
      <c r="S1907" s="221"/>
      <c r="T1907" s="221"/>
      <c r="U1907" s="221"/>
      <c r="V1907" s="221"/>
      <c r="W1907" s="221"/>
      <c r="X1907" s="221"/>
      <c r="Y1907" s="221"/>
      <c r="Z1907" s="221"/>
      <c r="AA1907" s="221"/>
      <c r="AB1907" s="221"/>
      <c r="AC1907" s="221"/>
      <c r="AD1907" s="221"/>
      <c r="AE1907" s="221"/>
      <c r="AF1907" s="221"/>
      <c r="AG1907" s="221"/>
      <c r="AH1907" s="221"/>
      <c r="AI1907" s="221"/>
      <c r="AJ1907" s="221"/>
      <c r="AK1907" s="221"/>
      <c r="AL1907" s="221"/>
      <c r="AM1907" s="221"/>
      <c r="AN1907" s="221"/>
      <c r="AO1907" s="221"/>
      <c r="AP1907" s="221"/>
      <c r="AQ1907" s="221"/>
      <c r="AR1907" s="221"/>
      <c r="AS1907" s="221"/>
      <c r="AT1907" s="221"/>
      <c r="AU1907" s="221"/>
      <c r="AV1907" s="221"/>
      <c r="AW1907" s="221"/>
      <c r="AX1907" s="221"/>
      <c r="AY1907" s="221"/>
      <c r="AZ1907" s="221"/>
      <c r="BA1907" s="221"/>
    </row>
    <row r="1908" spans="1:53" x14ac:dyDescent="0.25">
      <c r="A1908" s="226" t="s">
        <v>31</v>
      </c>
      <c r="B1908" s="325">
        <v>52.75</v>
      </c>
      <c r="C1908" s="325">
        <v>52.26</v>
      </c>
      <c r="D1908" s="325">
        <v>30.79</v>
      </c>
      <c r="E1908" s="325">
        <v>31.39</v>
      </c>
      <c r="F1908" s="215">
        <v>14.36</v>
      </c>
      <c r="G1908" s="215">
        <v>13.391</v>
      </c>
      <c r="H1908" s="215"/>
      <c r="I1908" s="215"/>
      <c r="J1908" s="221"/>
      <c r="K1908" s="221"/>
      <c r="L1908" s="221"/>
      <c r="M1908" s="221"/>
      <c r="N1908" s="221"/>
      <c r="O1908" s="221"/>
      <c r="P1908" s="221"/>
      <c r="Q1908" s="221"/>
      <c r="R1908" s="221"/>
      <c r="S1908" s="221"/>
      <c r="T1908" s="221"/>
      <c r="U1908" s="221"/>
      <c r="V1908" s="221"/>
      <c r="W1908" s="221"/>
      <c r="X1908" s="221"/>
      <c r="Y1908" s="221"/>
      <c r="Z1908" s="221"/>
      <c r="AA1908" s="221"/>
      <c r="AB1908" s="221"/>
      <c r="AC1908" s="221"/>
      <c r="AD1908" s="221"/>
      <c r="AE1908" s="221"/>
      <c r="AF1908" s="221"/>
      <c r="AG1908" s="221"/>
      <c r="AH1908" s="221"/>
      <c r="AI1908" s="221"/>
      <c r="AJ1908" s="221"/>
      <c r="AK1908" s="221"/>
      <c r="AL1908" s="221"/>
      <c r="AM1908" s="221"/>
      <c r="AN1908" s="221"/>
      <c r="AO1908" s="221"/>
      <c r="AP1908" s="221"/>
      <c r="AQ1908" s="221"/>
      <c r="AR1908" s="221"/>
      <c r="AS1908" s="221"/>
      <c r="AT1908" s="221"/>
      <c r="AU1908" s="221"/>
      <c r="AV1908" s="221"/>
      <c r="AW1908" s="221"/>
      <c r="AX1908" s="221"/>
      <c r="AY1908" s="221"/>
      <c r="AZ1908" s="221"/>
      <c r="BA1908" s="221"/>
    </row>
    <row r="1909" spans="1:53" x14ac:dyDescent="0.25">
      <c r="A1909" s="226" t="s">
        <v>32</v>
      </c>
      <c r="B1909" s="325">
        <f t="shared" ref="B1909:G1909" si="49">B1906-B1908</f>
        <v>74.75</v>
      </c>
      <c r="C1909" s="325">
        <f t="shared" si="49"/>
        <v>62.49</v>
      </c>
      <c r="D1909" s="325">
        <f t="shared" si="49"/>
        <v>75.460000000000008</v>
      </c>
      <c r="E1909" s="325">
        <f t="shared" si="49"/>
        <v>87.61</v>
      </c>
      <c r="F1909" s="325">
        <f t="shared" si="49"/>
        <v>104.64</v>
      </c>
      <c r="G1909" s="215">
        <f t="shared" si="49"/>
        <v>105.60899999999999</v>
      </c>
      <c r="H1909" s="215"/>
      <c r="I1909" s="215"/>
      <c r="J1909" s="221"/>
      <c r="K1909" s="221"/>
      <c r="L1909" s="221"/>
      <c r="M1909" s="221"/>
      <c r="N1909" s="221"/>
      <c r="O1909" s="221"/>
      <c r="P1909" s="221"/>
      <c r="Q1909" s="221"/>
      <c r="R1909" s="221"/>
      <c r="S1909" s="221"/>
      <c r="T1909" s="221"/>
      <c r="U1909" s="221"/>
      <c r="V1909" s="221"/>
      <c r="W1909" s="221"/>
      <c r="X1909" s="221"/>
      <c r="Y1909" s="221"/>
      <c r="Z1909" s="221"/>
      <c r="AA1909" s="221"/>
      <c r="AB1909" s="221"/>
      <c r="AC1909" s="221"/>
      <c r="AD1909" s="221"/>
      <c r="AE1909" s="221"/>
      <c r="AF1909" s="221"/>
      <c r="AG1909" s="221"/>
      <c r="AH1909" s="221"/>
      <c r="AI1909" s="221"/>
      <c r="AJ1909" s="221"/>
      <c r="AK1909" s="221"/>
      <c r="AL1909" s="221"/>
      <c r="AM1909" s="221"/>
      <c r="AN1909" s="221"/>
      <c r="AO1909" s="221"/>
      <c r="AP1909" s="221"/>
      <c r="AQ1909" s="221"/>
      <c r="AR1909" s="221"/>
      <c r="AS1909" s="221"/>
      <c r="AT1909" s="221"/>
      <c r="AU1909" s="221"/>
      <c r="AV1909" s="221"/>
      <c r="AW1909" s="221"/>
      <c r="AX1909" s="221"/>
      <c r="AY1909" s="221"/>
      <c r="AZ1909" s="221"/>
      <c r="BA1909" s="221"/>
    </row>
    <row r="1910" spans="1:53" x14ac:dyDescent="0.25">
      <c r="A1910" s="218" t="s">
        <v>33</v>
      </c>
      <c r="B1910" s="244">
        <v>2018</v>
      </c>
      <c r="C1910" s="244">
        <v>2019</v>
      </c>
      <c r="D1910" s="428">
        <v>2020</v>
      </c>
      <c r="E1910" s="244">
        <v>2021</v>
      </c>
      <c r="F1910" s="244">
        <v>2022</v>
      </c>
      <c r="G1910" s="244">
        <v>2023</v>
      </c>
      <c r="H1910" s="244">
        <v>2024</v>
      </c>
      <c r="I1910" s="244">
        <v>2025</v>
      </c>
      <c r="J1910" s="221"/>
      <c r="K1910" s="221"/>
      <c r="L1910" s="221"/>
      <c r="M1910" s="221"/>
      <c r="N1910" s="221"/>
      <c r="O1910" s="221"/>
      <c r="P1910" s="221"/>
      <c r="Q1910" s="221"/>
      <c r="R1910" s="221"/>
      <c r="S1910" s="221"/>
      <c r="T1910" s="221"/>
      <c r="U1910" s="221"/>
      <c r="V1910" s="221"/>
      <c r="W1910" s="221"/>
      <c r="X1910" s="221"/>
      <c r="Y1910" s="221"/>
      <c r="Z1910" s="221"/>
      <c r="AA1910" s="221"/>
      <c r="AB1910" s="221"/>
      <c r="AC1910" s="221"/>
      <c r="AD1910" s="221"/>
      <c r="AE1910" s="221"/>
      <c r="AF1910" s="221"/>
      <c r="AG1910" s="221"/>
      <c r="AH1910" s="221"/>
      <c r="AI1910" s="221"/>
      <c r="AJ1910" s="221"/>
      <c r="AK1910" s="221"/>
      <c r="AL1910" s="221"/>
      <c r="AM1910" s="221"/>
      <c r="AN1910" s="221"/>
      <c r="AO1910" s="221"/>
      <c r="AP1910" s="221"/>
      <c r="AQ1910" s="221"/>
      <c r="AR1910" s="221"/>
      <c r="AS1910" s="221"/>
      <c r="AT1910" s="221"/>
      <c r="AU1910" s="221"/>
      <c r="AV1910" s="221"/>
      <c r="AW1910" s="221"/>
      <c r="AX1910" s="221"/>
      <c r="AY1910" s="221"/>
      <c r="AZ1910" s="221"/>
      <c r="BA1910" s="221"/>
    </row>
    <row r="1911" spans="1:53" ht="13.2" customHeight="1" x14ac:dyDescent="0.25">
      <c r="A1911" s="218" t="s">
        <v>509</v>
      </c>
      <c r="B1911" s="379"/>
      <c r="C1911" s="379"/>
      <c r="D1911" s="379"/>
      <c r="E1911" s="379"/>
      <c r="F1911" s="379"/>
      <c r="G1911" s="379"/>
      <c r="H1911" s="380"/>
      <c r="I1911" s="380"/>
      <c r="J1911" s="368"/>
      <c r="K1911" s="221"/>
      <c r="L1911" s="221"/>
      <c r="M1911" s="221"/>
      <c r="N1911" s="221"/>
      <c r="O1911" s="221"/>
      <c r="P1911" s="221"/>
      <c r="Q1911" s="221"/>
      <c r="R1911" s="221"/>
      <c r="S1911" s="221"/>
      <c r="T1911" s="221"/>
      <c r="U1911" s="221"/>
      <c r="V1911" s="221"/>
      <c r="W1911" s="221"/>
      <c r="X1911" s="221"/>
      <c r="Y1911" s="221"/>
      <c r="Z1911" s="221"/>
      <c r="AA1911" s="221"/>
      <c r="AB1911" s="221"/>
      <c r="AC1911" s="221"/>
      <c r="AD1911" s="221"/>
      <c r="AE1911" s="221"/>
      <c r="AF1911" s="221"/>
      <c r="AG1911" s="221"/>
      <c r="AH1911" s="221"/>
      <c r="AI1911" s="221"/>
      <c r="AJ1911" s="221"/>
      <c r="AK1911" s="221"/>
      <c r="AL1911" s="221"/>
      <c r="AM1911" s="221"/>
      <c r="AN1911" s="221"/>
      <c r="AO1911" s="221"/>
      <c r="AP1911" s="221"/>
      <c r="AQ1911" s="221"/>
      <c r="AR1911" s="221"/>
      <c r="AS1911" s="221"/>
      <c r="AT1911" s="221"/>
      <c r="AU1911" s="221"/>
      <c r="AV1911" s="221"/>
      <c r="AW1911" s="221"/>
      <c r="AX1911" s="221"/>
      <c r="AY1911" s="221"/>
      <c r="AZ1911" s="221"/>
      <c r="BA1911" s="221"/>
    </row>
    <row r="1912" spans="1:53" x14ac:dyDescent="0.25">
      <c r="A1912" s="273" t="s">
        <v>510</v>
      </c>
      <c r="B1912" s="509"/>
      <c r="C1912" s="509"/>
      <c r="D1912" s="509"/>
      <c r="E1912" s="509"/>
      <c r="F1912" s="509"/>
      <c r="G1912" s="509"/>
      <c r="H1912" s="567"/>
      <c r="I1912" s="567"/>
      <c r="J1912" s="509"/>
      <c r="K1912" s="221"/>
      <c r="L1912" s="221"/>
      <c r="M1912" s="221"/>
      <c r="N1912" s="221"/>
      <c r="O1912" s="221"/>
      <c r="P1912" s="221"/>
      <c r="Q1912" s="221"/>
      <c r="R1912" s="221"/>
      <c r="S1912" s="221"/>
      <c r="T1912" s="221"/>
      <c r="U1912" s="221"/>
      <c r="V1912" s="221"/>
      <c r="W1912" s="221"/>
      <c r="X1912" s="221"/>
      <c r="Y1912" s="221"/>
      <c r="Z1912" s="221"/>
      <c r="AA1912" s="221"/>
      <c r="AB1912" s="221"/>
      <c r="AC1912" s="221"/>
      <c r="AD1912" s="221"/>
      <c r="AE1912" s="221"/>
      <c r="AF1912" s="221"/>
      <c r="AG1912" s="221"/>
      <c r="AH1912" s="221"/>
      <c r="AI1912" s="221"/>
      <c r="AJ1912" s="221"/>
      <c r="AK1912" s="221"/>
      <c r="AL1912" s="221"/>
      <c r="AM1912" s="221"/>
      <c r="AN1912" s="221"/>
      <c r="AO1912" s="221"/>
      <c r="AP1912" s="221"/>
      <c r="AQ1912" s="221"/>
      <c r="AR1912" s="221"/>
      <c r="AS1912" s="221"/>
      <c r="AT1912" s="221"/>
      <c r="AU1912" s="221"/>
      <c r="AV1912" s="221"/>
      <c r="AW1912" s="221"/>
      <c r="AX1912" s="221"/>
      <c r="AY1912" s="221"/>
      <c r="AZ1912" s="221"/>
      <c r="BA1912" s="221"/>
    </row>
    <row r="1913" spans="1:53" x14ac:dyDescent="0.25">
      <c r="A1913" s="220" t="s">
        <v>561</v>
      </c>
      <c r="B1913" s="221"/>
      <c r="C1913" s="221"/>
      <c r="D1913" s="221"/>
      <c r="E1913" s="221"/>
      <c r="F1913" s="221"/>
      <c r="G1913" s="221"/>
      <c r="H1913" s="222"/>
      <c r="I1913" s="222"/>
      <c r="J1913" s="221"/>
      <c r="K1913" s="221"/>
      <c r="L1913" s="221"/>
      <c r="M1913" s="221"/>
      <c r="N1913" s="221"/>
      <c r="O1913" s="221"/>
      <c r="P1913" s="221"/>
      <c r="Q1913" s="221"/>
      <c r="R1913" s="221"/>
      <c r="S1913" s="221"/>
      <c r="T1913" s="221"/>
      <c r="U1913" s="221"/>
      <c r="V1913" s="221"/>
      <c r="W1913" s="221"/>
      <c r="X1913" s="221"/>
      <c r="Y1913" s="221"/>
      <c r="Z1913" s="221"/>
      <c r="AA1913" s="221"/>
      <c r="AB1913" s="221"/>
      <c r="AC1913" s="221"/>
      <c r="AD1913" s="221"/>
      <c r="AE1913" s="221"/>
      <c r="AF1913" s="221"/>
      <c r="AG1913" s="221"/>
      <c r="AH1913" s="221"/>
      <c r="AI1913" s="221"/>
      <c r="AJ1913" s="221"/>
      <c r="AK1913" s="221"/>
      <c r="AL1913" s="221"/>
      <c r="AM1913" s="221"/>
      <c r="AN1913" s="221"/>
      <c r="AO1913" s="221"/>
      <c r="AP1913" s="221"/>
      <c r="AQ1913" s="221"/>
      <c r="AR1913" s="221"/>
      <c r="AS1913" s="221"/>
      <c r="AT1913" s="221"/>
      <c r="AU1913" s="221"/>
      <c r="AV1913" s="221"/>
      <c r="AW1913" s="221"/>
      <c r="AX1913" s="221"/>
      <c r="AY1913" s="221"/>
      <c r="AZ1913" s="221"/>
      <c r="BA1913" s="221"/>
    </row>
    <row r="1914" spans="1:53" x14ac:dyDescent="0.25">
      <c r="A1914" s="211" t="s">
        <v>562</v>
      </c>
      <c r="B1914" s="223"/>
      <c r="C1914" s="223"/>
      <c r="D1914" s="223"/>
      <c r="E1914" s="223"/>
      <c r="F1914" s="223"/>
      <c r="G1914" s="223"/>
      <c r="H1914" s="224"/>
      <c r="I1914" s="224"/>
      <c r="J1914" s="221"/>
      <c r="K1914" s="221"/>
      <c r="L1914" s="221"/>
      <c r="M1914" s="221"/>
      <c r="N1914" s="221"/>
      <c r="O1914" s="221"/>
      <c r="P1914" s="221"/>
      <c r="Q1914" s="221"/>
      <c r="R1914" s="221"/>
      <c r="S1914" s="221"/>
      <c r="T1914" s="221"/>
      <c r="U1914" s="221"/>
      <c r="V1914" s="221"/>
      <c r="W1914" s="221"/>
      <c r="X1914" s="221"/>
      <c r="Y1914" s="221"/>
      <c r="Z1914" s="221"/>
      <c r="AA1914" s="221"/>
      <c r="AB1914" s="221"/>
      <c r="AC1914" s="221"/>
      <c r="AD1914" s="221"/>
      <c r="AE1914" s="221"/>
      <c r="AF1914" s="221"/>
      <c r="AG1914" s="221"/>
      <c r="AH1914" s="221"/>
      <c r="AI1914" s="221"/>
      <c r="AJ1914" s="221"/>
      <c r="AK1914" s="221"/>
      <c r="AL1914" s="221"/>
      <c r="AM1914" s="221"/>
      <c r="AN1914" s="221"/>
      <c r="AO1914" s="221"/>
      <c r="AP1914" s="221"/>
      <c r="AQ1914" s="221"/>
      <c r="AR1914" s="221"/>
      <c r="AS1914" s="221"/>
      <c r="AT1914" s="221"/>
      <c r="AU1914" s="221"/>
      <c r="AV1914" s="221"/>
      <c r="AW1914" s="221"/>
      <c r="AX1914" s="221"/>
      <c r="AY1914" s="221"/>
      <c r="AZ1914" s="221"/>
      <c r="BA1914" s="221"/>
    </row>
    <row r="1915" spans="1:53" x14ac:dyDescent="0.25">
      <c r="A1915" s="221"/>
      <c r="B1915" s="221"/>
      <c r="C1915" s="221"/>
      <c r="D1915" s="221"/>
      <c r="E1915" s="221"/>
      <c r="F1915" s="221"/>
      <c r="G1915" s="221"/>
      <c r="H1915" s="221"/>
      <c r="I1915" s="221"/>
      <c r="J1915" s="221"/>
      <c r="K1915" s="221"/>
      <c r="L1915" s="221"/>
      <c r="M1915" s="221"/>
      <c r="N1915" s="221"/>
      <c r="O1915" s="221"/>
      <c r="P1915" s="221"/>
      <c r="Q1915" s="221"/>
      <c r="R1915" s="221"/>
      <c r="S1915" s="221"/>
      <c r="T1915" s="221"/>
      <c r="U1915" s="221"/>
      <c r="V1915" s="221"/>
      <c r="W1915" s="221"/>
      <c r="X1915" s="221"/>
      <c r="Y1915" s="221"/>
      <c r="Z1915" s="221"/>
      <c r="AA1915" s="221"/>
      <c r="AB1915" s="221"/>
      <c r="AC1915" s="221"/>
      <c r="AD1915" s="221"/>
      <c r="AE1915" s="221"/>
      <c r="AF1915" s="221"/>
      <c r="AG1915" s="221"/>
      <c r="AH1915" s="221"/>
      <c r="AI1915" s="221"/>
      <c r="AJ1915" s="221"/>
      <c r="AK1915" s="221"/>
      <c r="AL1915" s="221"/>
      <c r="AM1915" s="221"/>
      <c r="AN1915" s="221"/>
      <c r="AO1915" s="221"/>
      <c r="AP1915" s="221"/>
      <c r="AQ1915" s="221"/>
      <c r="AR1915" s="221"/>
      <c r="AS1915" s="221"/>
      <c r="AT1915" s="221"/>
      <c r="AU1915" s="221"/>
      <c r="AV1915" s="221"/>
      <c r="AW1915" s="221"/>
      <c r="AX1915" s="221"/>
      <c r="AY1915" s="221"/>
      <c r="AZ1915" s="221"/>
      <c r="BA1915" s="221"/>
    </row>
    <row r="1916" spans="1:53" x14ac:dyDescent="0.25">
      <c r="A1916" s="260" t="s">
        <v>14</v>
      </c>
      <c r="B1916" s="274" t="s">
        <v>74</v>
      </c>
      <c r="C1916" s="434" t="s">
        <v>26</v>
      </c>
      <c r="D1916" s="221"/>
      <c r="E1916" s="221"/>
      <c r="F1916" s="221"/>
      <c r="G1916" s="221"/>
      <c r="H1916" s="221"/>
      <c r="I1916" s="221"/>
      <c r="J1916" s="221"/>
      <c r="K1916" s="221"/>
      <c r="L1916" s="221"/>
      <c r="M1916" s="221"/>
      <c r="N1916" s="221"/>
      <c r="O1916" s="221"/>
      <c r="P1916" s="221"/>
      <c r="Q1916" s="221"/>
      <c r="R1916" s="221"/>
      <c r="S1916" s="221"/>
      <c r="T1916" s="221"/>
      <c r="U1916" s="221"/>
      <c r="V1916" s="221"/>
      <c r="W1916" s="221"/>
      <c r="X1916" s="221"/>
      <c r="Y1916" s="221"/>
      <c r="Z1916" s="221"/>
      <c r="AA1916" s="221"/>
      <c r="AB1916" s="221"/>
      <c r="AC1916" s="221"/>
      <c r="AD1916" s="221"/>
      <c r="AE1916" s="221"/>
      <c r="AF1916" s="221"/>
      <c r="AG1916" s="221"/>
      <c r="AH1916" s="221"/>
      <c r="AI1916" s="221"/>
      <c r="AJ1916" s="221"/>
      <c r="AK1916" s="221"/>
      <c r="AL1916" s="221"/>
      <c r="AM1916" s="221"/>
      <c r="AN1916" s="221"/>
      <c r="AO1916" s="221"/>
      <c r="AP1916" s="221"/>
      <c r="AQ1916" s="221"/>
      <c r="AR1916" s="221"/>
      <c r="AS1916" s="221"/>
      <c r="AT1916" s="221"/>
      <c r="AU1916" s="221"/>
      <c r="AV1916" s="221"/>
      <c r="AW1916" s="221"/>
      <c r="AX1916" s="221"/>
      <c r="AY1916" s="221"/>
      <c r="AZ1916" s="221"/>
      <c r="BA1916" s="221"/>
    </row>
    <row r="1917" spans="1:53" x14ac:dyDescent="0.25">
      <c r="A1917" s="435" t="s">
        <v>27</v>
      </c>
      <c r="B1917" s="212">
        <v>2016</v>
      </c>
      <c r="C1917" s="212">
        <v>2017</v>
      </c>
      <c r="D1917" s="424">
        <v>2018</v>
      </c>
      <c r="E1917" s="212">
        <v>2019</v>
      </c>
      <c r="F1917" s="212">
        <v>2020</v>
      </c>
      <c r="G1917" s="212">
        <v>2021</v>
      </c>
      <c r="H1917" s="212">
        <v>2022</v>
      </c>
      <c r="I1917" s="212">
        <v>2023</v>
      </c>
      <c r="J1917" s="221"/>
      <c r="K1917" s="221"/>
      <c r="L1917" s="221"/>
      <c r="M1917" s="221"/>
      <c r="N1917" s="221"/>
      <c r="O1917" s="221"/>
      <c r="P1917" s="221"/>
      <c r="Q1917" s="221"/>
      <c r="R1917" s="221"/>
      <c r="S1917" s="221"/>
      <c r="T1917" s="221"/>
      <c r="U1917" s="221"/>
      <c r="V1917" s="221"/>
      <c r="W1917" s="221"/>
      <c r="X1917" s="221"/>
      <c r="Y1917" s="221"/>
      <c r="Z1917" s="221"/>
      <c r="AA1917" s="221"/>
      <c r="AB1917" s="221"/>
      <c r="AC1917" s="221"/>
      <c r="AD1917" s="221"/>
      <c r="AE1917" s="221"/>
      <c r="AF1917" s="221"/>
      <c r="AG1917" s="221"/>
      <c r="AH1917" s="221"/>
      <c r="AI1917" s="221"/>
      <c r="AJ1917" s="221"/>
      <c r="AK1917" s="221"/>
      <c r="AL1917" s="221"/>
      <c r="AM1917" s="221"/>
      <c r="AN1917" s="221"/>
      <c r="AO1917" s="221"/>
      <c r="AP1917" s="221"/>
      <c r="AQ1917" s="221"/>
      <c r="AR1917" s="221"/>
      <c r="AS1917" s="221"/>
      <c r="AT1917" s="221"/>
      <c r="AU1917" s="221"/>
      <c r="AV1917" s="221"/>
      <c r="AW1917" s="221"/>
      <c r="AX1917" s="221"/>
      <c r="AY1917" s="221"/>
      <c r="AZ1917" s="221"/>
      <c r="BA1917" s="221"/>
    </row>
    <row r="1918" spans="1:53" x14ac:dyDescent="0.25">
      <c r="A1918" s="226" t="s">
        <v>28</v>
      </c>
      <c r="B1918" s="325">
        <v>100</v>
      </c>
      <c r="C1918" s="325">
        <v>100</v>
      </c>
      <c r="D1918" s="325">
        <v>100</v>
      </c>
      <c r="E1918" s="325">
        <v>100</v>
      </c>
      <c r="F1918" s="215">
        <v>84.1</v>
      </c>
      <c r="G1918" s="215">
        <v>84.1</v>
      </c>
      <c r="H1918" s="215">
        <v>84.1</v>
      </c>
      <c r="I1918" s="215">
        <v>84.1</v>
      </c>
      <c r="J1918" s="221"/>
      <c r="K1918" s="221"/>
      <c r="L1918" s="221"/>
      <c r="M1918" s="221"/>
      <c r="N1918" s="221"/>
      <c r="O1918" s="221"/>
      <c r="P1918" s="221"/>
      <c r="Q1918" s="221"/>
      <c r="R1918" s="221"/>
      <c r="S1918" s="221"/>
      <c r="T1918" s="221"/>
      <c r="U1918" s="221"/>
      <c r="V1918" s="221"/>
      <c r="W1918" s="221"/>
      <c r="X1918" s="221"/>
      <c r="Y1918" s="221"/>
      <c r="Z1918" s="221"/>
      <c r="AA1918" s="221"/>
      <c r="AB1918" s="221"/>
      <c r="AC1918" s="221"/>
      <c r="AD1918" s="221"/>
      <c r="AE1918" s="221"/>
      <c r="AF1918" s="221"/>
      <c r="AG1918" s="221"/>
      <c r="AH1918" s="221"/>
      <c r="AI1918" s="221"/>
      <c r="AJ1918" s="221"/>
      <c r="AK1918" s="221"/>
      <c r="AL1918" s="221"/>
      <c r="AM1918" s="221"/>
      <c r="AN1918" s="221"/>
      <c r="AO1918" s="221"/>
      <c r="AP1918" s="221"/>
      <c r="AQ1918" s="221"/>
      <c r="AR1918" s="221"/>
      <c r="AS1918" s="221"/>
      <c r="AT1918" s="221"/>
      <c r="AU1918" s="221"/>
      <c r="AV1918" s="221"/>
      <c r="AW1918" s="221"/>
      <c r="AX1918" s="221"/>
      <c r="AY1918" s="221"/>
      <c r="AZ1918" s="221"/>
      <c r="BA1918" s="221"/>
    </row>
    <row r="1919" spans="1:53" x14ac:dyDescent="0.25">
      <c r="A1919" s="226" t="s">
        <v>29</v>
      </c>
      <c r="B1919" s="325">
        <f>B1918*1.1</f>
        <v>110.00000000000001</v>
      </c>
      <c r="C1919" s="325">
        <f>C1918*1.1-30</f>
        <v>80.000000000000014</v>
      </c>
      <c r="D1919" s="325">
        <f>D1918+C1922+0.1*B1918</f>
        <v>92.590000000000018</v>
      </c>
      <c r="E1919" s="325">
        <v>100</v>
      </c>
      <c r="F1919" s="325">
        <f>F1918+0.1*D1918</f>
        <v>94.1</v>
      </c>
      <c r="G1919" s="325">
        <f>G1918+0.1*E1918</f>
        <v>94.1</v>
      </c>
      <c r="H1919" s="325"/>
      <c r="I1919" s="325"/>
      <c r="J1919" s="221"/>
      <c r="K1919" s="221"/>
      <c r="L1919" s="221"/>
      <c r="M1919" s="221"/>
      <c r="N1919" s="221"/>
      <c r="O1919" s="221"/>
      <c r="P1919" s="221"/>
      <c r="Q1919" s="221"/>
      <c r="R1919" s="221"/>
      <c r="S1919" s="221"/>
      <c r="T1919" s="221"/>
      <c r="U1919" s="221"/>
      <c r="V1919" s="221"/>
      <c r="W1919" s="221"/>
      <c r="X1919" s="221"/>
      <c r="Y1919" s="221"/>
      <c r="Z1919" s="221"/>
      <c r="AA1919" s="221"/>
      <c r="AB1919" s="221"/>
      <c r="AC1919" s="221"/>
      <c r="AD1919" s="221"/>
      <c r="AE1919" s="221"/>
      <c r="AF1919" s="221"/>
      <c r="AG1919" s="221"/>
      <c r="AH1919" s="221"/>
      <c r="AI1919" s="221"/>
      <c r="AJ1919" s="221"/>
      <c r="AK1919" s="221"/>
      <c r="AL1919" s="221"/>
      <c r="AM1919" s="221"/>
      <c r="AN1919" s="221"/>
      <c r="AO1919" s="221"/>
      <c r="AP1919" s="221"/>
      <c r="AQ1919" s="221"/>
      <c r="AR1919" s="221"/>
      <c r="AS1919" s="221"/>
      <c r="AT1919" s="221"/>
      <c r="AU1919" s="221"/>
      <c r="AV1919" s="221"/>
      <c r="AW1919" s="221"/>
      <c r="AX1919" s="221"/>
      <c r="AY1919" s="221"/>
      <c r="AZ1919" s="221"/>
      <c r="BA1919" s="221"/>
    </row>
    <row r="1920" spans="1:53" x14ac:dyDescent="0.25">
      <c r="A1920" s="226" t="s">
        <v>30</v>
      </c>
      <c r="B1920" s="328" t="s">
        <v>567</v>
      </c>
      <c r="C1920" s="328" t="s">
        <v>568</v>
      </c>
      <c r="D1920" s="614" t="s">
        <v>551</v>
      </c>
      <c r="E1920" s="328"/>
      <c r="F1920" s="328" t="s">
        <v>570</v>
      </c>
      <c r="G1920" s="328" t="s">
        <v>570</v>
      </c>
      <c r="H1920" s="328"/>
      <c r="I1920" s="328"/>
      <c r="J1920" s="221"/>
      <c r="K1920" s="221"/>
      <c r="L1920" s="221"/>
      <c r="M1920" s="221"/>
      <c r="N1920" s="221"/>
      <c r="O1920" s="221"/>
      <c r="P1920" s="221"/>
      <c r="Q1920" s="221"/>
      <c r="R1920" s="221"/>
      <c r="S1920" s="221"/>
      <c r="T1920" s="221"/>
      <c r="U1920" s="221"/>
      <c r="V1920" s="221"/>
      <c r="W1920" s="221"/>
      <c r="X1920" s="221"/>
      <c r="Y1920" s="221"/>
      <c r="Z1920" s="221"/>
      <c r="AA1920" s="221"/>
      <c r="AB1920" s="221"/>
      <c r="AC1920" s="221"/>
      <c r="AD1920" s="221"/>
      <c r="AE1920" s="221"/>
      <c r="AF1920" s="221"/>
      <c r="AG1920" s="221"/>
      <c r="AH1920" s="221"/>
      <c r="AI1920" s="221"/>
      <c r="AJ1920" s="221"/>
      <c r="AK1920" s="221"/>
      <c r="AL1920" s="221"/>
      <c r="AM1920" s="221"/>
      <c r="AN1920" s="221"/>
      <c r="AO1920" s="221"/>
      <c r="AP1920" s="221"/>
      <c r="AQ1920" s="221"/>
      <c r="AR1920" s="221"/>
      <c r="AS1920" s="221"/>
      <c r="AT1920" s="221"/>
      <c r="AU1920" s="221"/>
      <c r="AV1920" s="221"/>
      <c r="AW1920" s="221"/>
      <c r="AX1920" s="221"/>
      <c r="AY1920" s="221"/>
      <c r="AZ1920" s="221"/>
      <c r="BA1920" s="221"/>
    </row>
    <row r="1921" spans="1:53" x14ac:dyDescent="0.25">
      <c r="A1921" s="226" t="s">
        <v>31</v>
      </c>
      <c r="B1921" s="325">
        <v>82.51</v>
      </c>
      <c r="C1921" s="325">
        <v>97.41</v>
      </c>
      <c r="D1921" s="325">
        <v>61.54</v>
      </c>
      <c r="E1921" s="325">
        <v>60.49</v>
      </c>
      <c r="F1921" s="215">
        <v>42.46</v>
      </c>
      <c r="G1921" s="215">
        <v>42.97</v>
      </c>
      <c r="H1921" s="215">
        <v>71.760000000000005</v>
      </c>
      <c r="I1921" s="215"/>
      <c r="J1921" s="221"/>
      <c r="K1921" s="221"/>
      <c r="L1921" s="221"/>
      <c r="M1921" s="221"/>
      <c r="N1921" s="221"/>
      <c r="O1921" s="221"/>
      <c r="P1921" s="221"/>
      <c r="Q1921" s="221"/>
      <c r="R1921" s="221"/>
      <c r="S1921" s="221"/>
      <c r="T1921" s="221"/>
      <c r="U1921" s="221"/>
      <c r="V1921" s="221"/>
      <c r="W1921" s="221"/>
      <c r="X1921" s="221"/>
      <c r="Y1921" s="221"/>
      <c r="Z1921" s="221"/>
      <c r="AA1921" s="221"/>
      <c r="AB1921" s="221"/>
      <c r="AC1921" s="221"/>
      <c r="AD1921" s="221"/>
      <c r="AE1921" s="221"/>
      <c r="AF1921" s="221"/>
      <c r="AG1921" s="221"/>
      <c r="AH1921" s="221"/>
      <c r="AI1921" s="221"/>
      <c r="AJ1921" s="221"/>
      <c r="AK1921" s="221"/>
      <c r="AL1921" s="221"/>
      <c r="AM1921" s="221"/>
      <c r="AN1921" s="221"/>
      <c r="AO1921" s="221"/>
      <c r="AP1921" s="221"/>
      <c r="AQ1921" s="221"/>
      <c r="AR1921" s="221"/>
      <c r="AS1921" s="221"/>
      <c r="AT1921" s="221"/>
      <c r="AU1921" s="221"/>
      <c r="AV1921" s="221"/>
      <c r="AW1921" s="221"/>
      <c r="AX1921" s="221"/>
      <c r="AY1921" s="221"/>
      <c r="AZ1921" s="221"/>
      <c r="BA1921" s="221"/>
    </row>
    <row r="1922" spans="1:53" x14ac:dyDescent="0.25">
      <c r="A1922" s="226" t="s">
        <v>32</v>
      </c>
      <c r="B1922" s="325">
        <f t="shared" ref="B1922:G1922" si="50">B1919-B1921</f>
        <v>27.490000000000009</v>
      </c>
      <c r="C1922" s="325">
        <f t="shared" si="50"/>
        <v>-17.409999999999982</v>
      </c>
      <c r="D1922" s="325">
        <f t="shared" si="50"/>
        <v>31.050000000000018</v>
      </c>
      <c r="E1922" s="325">
        <f t="shared" si="50"/>
        <v>39.51</v>
      </c>
      <c r="F1922" s="325">
        <f t="shared" si="50"/>
        <v>51.639999999999993</v>
      </c>
      <c r="G1922" s="215">
        <f t="shared" si="50"/>
        <v>51.129999999999995</v>
      </c>
      <c r="H1922" s="215">
        <f>H1918-H1921</f>
        <v>12.339999999999989</v>
      </c>
      <c r="I1922" s="215"/>
      <c r="J1922" s="221"/>
      <c r="K1922" s="221"/>
      <c r="L1922" s="221"/>
      <c r="M1922" s="221"/>
      <c r="N1922" s="221"/>
      <c r="O1922" s="221"/>
      <c r="P1922" s="221"/>
      <c r="Q1922" s="221"/>
      <c r="R1922" s="221"/>
      <c r="S1922" s="221"/>
      <c r="T1922" s="221"/>
      <c r="U1922" s="221"/>
      <c r="V1922" s="221"/>
      <c r="W1922" s="221"/>
      <c r="X1922" s="221"/>
      <c r="Y1922" s="221"/>
      <c r="Z1922" s="221"/>
      <c r="AA1922" s="221"/>
      <c r="AB1922" s="221"/>
      <c r="AC1922" s="221"/>
      <c r="AD1922" s="221"/>
      <c r="AE1922" s="221"/>
      <c r="AF1922" s="221"/>
      <c r="AG1922" s="221"/>
      <c r="AH1922" s="221"/>
      <c r="AI1922" s="221"/>
      <c r="AJ1922" s="221"/>
      <c r="AK1922" s="221"/>
      <c r="AL1922" s="221"/>
      <c r="AM1922" s="221"/>
      <c r="AN1922" s="221"/>
      <c r="AO1922" s="221"/>
      <c r="AP1922" s="221"/>
      <c r="AQ1922" s="221"/>
      <c r="AR1922" s="221"/>
      <c r="AS1922" s="221"/>
      <c r="AT1922" s="221"/>
      <c r="AU1922" s="221"/>
      <c r="AV1922" s="221"/>
      <c r="AW1922" s="221"/>
      <c r="AX1922" s="221"/>
      <c r="AY1922" s="221"/>
      <c r="AZ1922" s="221"/>
      <c r="BA1922" s="221"/>
    </row>
    <row r="1923" spans="1:53" x14ac:dyDescent="0.25">
      <c r="A1923" s="218" t="s">
        <v>33</v>
      </c>
      <c r="B1923" s="244">
        <v>2018</v>
      </c>
      <c r="C1923" s="244">
        <v>2018</v>
      </c>
      <c r="D1923" s="428">
        <v>2020</v>
      </c>
      <c r="E1923" s="244">
        <v>2021</v>
      </c>
      <c r="F1923" s="244"/>
      <c r="G1923" s="244"/>
      <c r="H1923" s="244"/>
      <c r="I1923" s="244"/>
      <c r="J1923" s="221"/>
      <c r="K1923" s="221"/>
      <c r="L1923" s="221"/>
      <c r="M1923" s="221"/>
      <c r="N1923" s="221"/>
      <c r="O1923" s="221"/>
      <c r="P1923" s="221"/>
      <c r="Q1923" s="221"/>
      <c r="R1923" s="221"/>
      <c r="S1923" s="221"/>
      <c r="T1923" s="221"/>
      <c r="U1923" s="221"/>
      <c r="V1923" s="221"/>
      <c r="W1923" s="221"/>
      <c r="X1923" s="221"/>
      <c r="Y1923" s="221"/>
      <c r="Z1923" s="221"/>
      <c r="AA1923" s="221"/>
      <c r="AB1923" s="221"/>
      <c r="AC1923" s="221"/>
      <c r="AD1923" s="221"/>
      <c r="AE1923" s="221"/>
      <c r="AF1923" s="221"/>
      <c r="AG1923" s="221"/>
      <c r="AH1923" s="221"/>
      <c r="AI1923" s="221"/>
      <c r="AJ1923" s="221"/>
      <c r="AK1923" s="221"/>
      <c r="AL1923" s="221"/>
      <c r="AM1923" s="221"/>
      <c r="AN1923" s="221"/>
      <c r="AO1923" s="221"/>
      <c r="AP1923" s="221"/>
      <c r="AQ1923" s="221"/>
      <c r="AR1923" s="221"/>
      <c r="AS1923" s="221"/>
      <c r="AT1923" s="221"/>
      <c r="AU1923" s="221"/>
      <c r="AV1923" s="221"/>
      <c r="AW1923" s="221"/>
      <c r="AX1923" s="221"/>
      <c r="AY1923" s="221"/>
      <c r="AZ1923" s="221"/>
      <c r="BA1923" s="221"/>
    </row>
    <row r="1924" spans="1:53" x14ac:dyDescent="0.25">
      <c r="A1924" s="218" t="s">
        <v>566</v>
      </c>
      <c r="B1924" s="379"/>
      <c r="C1924" s="379"/>
      <c r="D1924" s="379"/>
      <c r="E1924" s="379"/>
      <c r="F1924" s="379"/>
      <c r="G1924" s="379"/>
      <c r="H1924" s="379"/>
      <c r="I1924" s="380"/>
      <c r="J1924" s="221"/>
      <c r="K1924" s="221"/>
      <c r="L1924" s="221"/>
      <c r="M1924" s="221"/>
      <c r="N1924" s="221"/>
      <c r="O1924" s="221"/>
      <c r="P1924" s="221"/>
      <c r="Q1924" s="221"/>
      <c r="R1924" s="221"/>
      <c r="S1924" s="221"/>
      <c r="T1924" s="221"/>
      <c r="U1924" s="221"/>
      <c r="V1924" s="221"/>
      <c r="W1924" s="221"/>
      <c r="X1924" s="221"/>
      <c r="Y1924" s="221"/>
      <c r="Z1924" s="221"/>
      <c r="AA1924" s="221"/>
      <c r="AB1924" s="221"/>
      <c r="AC1924" s="221"/>
      <c r="AD1924" s="221"/>
      <c r="AE1924" s="221"/>
      <c r="AF1924" s="221"/>
      <c r="AG1924" s="221"/>
      <c r="AH1924" s="221"/>
      <c r="AI1924" s="221"/>
      <c r="AJ1924" s="221"/>
      <c r="AK1924" s="221"/>
      <c r="AL1924" s="221"/>
      <c r="AM1924" s="221"/>
      <c r="AN1924" s="221"/>
      <c r="AO1924" s="221"/>
      <c r="AP1924" s="221"/>
      <c r="AQ1924" s="221"/>
      <c r="AR1924" s="221"/>
      <c r="AS1924" s="221"/>
      <c r="AT1924" s="221"/>
      <c r="AU1924" s="221"/>
      <c r="AV1924" s="221"/>
      <c r="AW1924" s="221"/>
      <c r="AX1924" s="221"/>
      <c r="AY1924" s="221"/>
      <c r="AZ1924" s="221"/>
      <c r="BA1924" s="221"/>
    </row>
    <row r="1925" spans="1:53" x14ac:dyDescent="0.25">
      <c r="A1925" s="220" t="s">
        <v>571</v>
      </c>
      <c r="B1925" s="368"/>
      <c r="C1925" s="368"/>
      <c r="D1925" s="368"/>
      <c r="E1925" s="368"/>
      <c r="F1925" s="368"/>
      <c r="G1925" s="368"/>
      <c r="H1925" s="368"/>
      <c r="I1925" s="381"/>
      <c r="J1925" s="221"/>
      <c r="K1925" s="221"/>
      <c r="L1925" s="221"/>
      <c r="M1925" s="221"/>
      <c r="N1925" s="221"/>
      <c r="O1925" s="221"/>
      <c r="P1925" s="221"/>
      <c r="Q1925" s="221"/>
      <c r="R1925" s="221"/>
      <c r="S1925" s="221"/>
      <c r="T1925" s="221"/>
      <c r="U1925" s="221"/>
      <c r="V1925" s="221"/>
      <c r="W1925" s="221"/>
      <c r="X1925" s="221"/>
      <c r="Y1925" s="221"/>
      <c r="Z1925" s="221"/>
      <c r="AA1925" s="221"/>
      <c r="AB1925" s="221"/>
      <c r="AC1925" s="221"/>
      <c r="AD1925" s="221"/>
      <c r="AE1925" s="221"/>
      <c r="AF1925" s="221"/>
      <c r="AG1925" s="221"/>
      <c r="AH1925" s="221"/>
      <c r="AI1925" s="221"/>
      <c r="AJ1925" s="221"/>
      <c r="AK1925" s="221"/>
      <c r="AL1925" s="221"/>
      <c r="AM1925" s="221"/>
      <c r="AN1925" s="221"/>
      <c r="AO1925" s="221"/>
      <c r="AP1925" s="221"/>
      <c r="AQ1925" s="221"/>
      <c r="AR1925" s="221"/>
      <c r="AS1925" s="221"/>
      <c r="AT1925" s="221"/>
      <c r="AU1925" s="221"/>
      <c r="AV1925" s="221"/>
      <c r="AW1925" s="221"/>
      <c r="AX1925" s="221"/>
      <c r="AY1925" s="221"/>
      <c r="AZ1925" s="221"/>
      <c r="BA1925" s="221"/>
    </row>
    <row r="1926" spans="1:53" x14ac:dyDescent="0.25">
      <c r="A1926" s="211" t="s">
        <v>569</v>
      </c>
      <c r="B1926" s="223"/>
      <c r="C1926" s="223"/>
      <c r="D1926" s="223"/>
      <c r="E1926" s="223"/>
      <c r="F1926" s="223"/>
      <c r="G1926" s="223"/>
      <c r="H1926" s="223"/>
      <c r="I1926" s="224"/>
      <c r="J1926" s="221"/>
      <c r="K1926" s="221"/>
      <c r="L1926" s="221"/>
      <c r="M1926" s="221"/>
      <c r="N1926" s="221"/>
      <c r="O1926" s="221"/>
      <c r="P1926" s="221"/>
      <c r="Q1926" s="221"/>
      <c r="R1926" s="221"/>
      <c r="S1926" s="221"/>
      <c r="T1926" s="221"/>
      <c r="U1926" s="221"/>
      <c r="V1926" s="221"/>
      <c r="W1926" s="221"/>
      <c r="X1926" s="221"/>
      <c r="Y1926" s="221"/>
      <c r="Z1926" s="221"/>
      <c r="AA1926" s="221"/>
      <c r="AB1926" s="221"/>
      <c r="AC1926" s="221"/>
      <c r="AD1926" s="221"/>
      <c r="AE1926" s="221"/>
      <c r="AF1926" s="221"/>
      <c r="AG1926" s="221"/>
      <c r="AH1926" s="221"/>
      <c r="AI1926" s="221"/>
      <c r="AJ1926" s="221"/>
      <c r="AK1926" s="221"/>
      <c r="AL1926" s="221"/>
      <c r="AM1926" s="221"/>
      <c r="AN1926" s="221"/>
      <c r="AO1926" s="221"/>
      <c r="AP1926" s="221"/>
      <c r="AQ1926" s="221"/>
      <c r="AR1926" s="221"/>
      <c r="AS1926" s="221"/>
      <c r="AT1926" s="221"/>
      <c r="AU1926" s="221"/>
      <c r="AV1926" s="221"/>
      <c r="AW1926" s="221"/>
      <c r="AX1926" s="221"/>
      <c r="AY1926" s="221"/>
      <c r="AZ1926" s="221"/>
      <c r="BA1926" s="221"/>
    </row>
    <row r="1927" spans="1:53" x14ac:dyDescent="0.25">
      <c r="A1927" s="221"/>
      <c r="B1927" s="221"/>
      <c r="C1927" s="221"/>
      <c r="D1927" s="221"/>
      <c r="E1927" s="221"/>
      <c r="F1927" s="221"/>
      <c r="G1927" s="221"/>
      <c r="H1927" s="221"/>
      <c r="I1927" s="221"/>
      <c r="J1927" s="221"/>
      <c r="K1927" s="221"/>
      <c r="L1927" s="221"/>
      <c r="M1927" s="221"/>
      <c r="N1927" s="221"/>
      <c r="O1927" s="221"/>
      <c r="P1927" s="221"/>
      <c r="Q1927" s="221"/>
      <c r="R1927" s="221"/>
      <c r="S1927" s="221"/>
      <c r="T1927" s="221"/>
      <c r="U1927" s="221"/>
      <c r="V1927" s="221"/>
      <c r="W1927" s="221"/>
      <c r="X1927" s="221"/>
      <c r="Y1927" s="221"/>
      <c r="Z1927" s="221"/>
      <c r="AA1927" s="221"/>
      <c r="AB1927" s="221"/>
      <c r="AC1927" s="221"/>
      <c r="AD1927" s="221"/>
      <c r="AE1927" s="221"/>
      <c r="AF1927" s="221"/>
      <c r="AG1927" s="221"/>
      <c r="AH1927" s="221"/>
      <c r="AI1927" s="221"/>
      <c r="AJ1927" s="221"/>
      <c r="AK1927" s="221"/>
      <c r="AL1927" s="221"/>
      <c r="AM1927" s="221"/>
      <c r="AN1927" s="221"/>
      <c r="AO1927" s="221"/>
      <c r="AP1927" s="221"/>
      <c r="AQ1927" s="221"/>
      <c r="AR1927" s="221"/>
      <c r="AS1927" s="221"/>
      <c r="AT1927" s="221"/>
      <c r="AU1927" s="221"/>
      <c r="AV1927" s="221"/>
      <c r="AW1927" s="221"/>
      <c r="AX1927" s="221"/>
      <c r="AY1927" s="221"/>
      <c r="AZ1927" s="221"/>
      <c r="BA1927" s="221"/>
    </row>
    <row r="1928" spans="1:53" x14ac:dyDescent="0.25">
      <c r="A1928" s="260" t="s">
        <v>14</v>
      </c>
      <c r="B1928" s="274" t="s">
        <v>79</v>
      </c>
      <c r="C1928" s="434" t="s">
        <v>26</v>
      </c>
      <c r="D1928" s="221"/>
      <c r="E1928" s="221"/>
      <c r="F1928" s="221"/>
      <c r="G1928" s="221"/>
      <c r="H1928" s="221"/>
      <c r="I1928" s="221"/>
      <c r="J1928" s="221"/>
      <c r="K1928" s="221"/>
      <c r="L1928" s="221"/>
      <c r="M1928" s="221"/>
      <c r="N1928" s="221"/>
      <c r="O1928" s="221"/>
      <c r="P1928" s="221"/>
      <c r="Q1928" s="221"/>
      <c r="R1928" s="221"/>
      <c r="S1928" s="221"/>
      <c r="T1928" s="221"/>
      <c r="U1928" s="221"/>
      <c r="V1928" s="221"/>
      <c r="W1928" s="221"/>
      <c r="X1928" s="221"/>
      <c r="Y1928" s="221"/>
      <c r="Z1928" s="221"/>
      <c r="AA1928" s="221"/>
      <c r="AB1928" s="221"/>
      <c r="AC1928" s="221"/>
      <c r="AD1928" s="221"/>
      <c r="AE1928" s="221"/>
      <c r="AF1928" s="221"/>
      <c r="AG1928" s="221"/>
      <c r="AH1928" s="221"/>
      <c r="AI1928" s="221"/>
      <c r="AJ1928" s="221"/>
      <c r="AK1928" s="221"/>
      <c r="AL1928" s="221"/>
      <c r="AM1928" s="221"/>
      <c r="AN1928" s="221"/>
      <c r="AO1928" s="221"/>
      <c r="AP1928" s="221"/>
      <c r="AQ1928" s="221"/>
      <c r="AR1928" s="221"/>
      <c r="AS1928" s="221"/>
      <c r="AT1928" s="221"/>
      <c r="AU1928" s="221"/>
      <c r="AV1928" s="221"/>
      <c r="AW1928" s="221"/>
      <c r="AX1928" s="221"/>
      <c r="AY1928" s="221"/>
      <c r="AZ1928" s="221"/>
      <c r="BA1928" s="221"/>
    </row>
    <row r="1929" spans="1:53" x14ac:dyDescent="0.25">
      <c r="A1929" s="435" t="s">
        <v>27</v>
      </c>
      <c r="B1929" s="212">
        <v>2016</v>
      </c>
      <c r="C1929" s="212">
        <v>2017</v>
      </c>
      <c r="D1929" s="424">
        <v>2018</v>
      </c>
      <c r="E1929" s="212">
        <v>2019</v>
      </c>
      <c r="F1929" s="212">
        <v>2020</v>
      </c>
      <c r="G1929" s="212">
        <v>2021</v>
      </c>
      <c r="H1929" s="212">
        <v>2022</v>
      </c>
      <c r="I1929" s="212">
        <v>2023</v>
      </c>
      <c r="J1929" s="221"/>
      <c r="K1929" s="221"/>
      <c r="L1929" s="221"/>
      <c r="M1929" s="221"/>
      <c r="N1929" s="221"/>
      <c r="O1929" s="221"/>
      <c r="P1929" s="221"/>
      <c r="Q1929" s="221"/>
      <c r="R1929" s="221"/>
      <c r="S1929" s="221"/>
      <c r="T1929" s="221"/>
      <c r="U1929" s="221"/>
      <c r="V1929" s="221"/>
      <c r="W1929" s="221"/>
      <c r="X1929" s="221"/>
      <c r="Y1929" s="221"/>
      <c r="Z1929" s="221"/>
      <c r="AA1929" s="221"/>
      <c r="AB1929" s="221"/>
      <c r="AC1929" s="221"/>
      <c r="AD1929" s="221"/>
      <c r="AE1929" s="221"/>
      <c r="AF1929" s="221"/>
      <c r="AG1929" s="221"/>
      <c r="AH1929" s="221"/>
      <c r="AI1929" s="221"/>
      <c r="AJ1929" s="221"/>
      <c r="AK1929" s="221"/>
      <c r="AL1929" s="221"/>
      <c r="AM1929" s="221"/>
      <c r="AN1929" s="221"/>
      <c r="AO1929" s="221"/>
      <c r="AP1929" s="221"/>
      <c r="AQ1929" s="221"/>
      <c r="AR1929" s="221"/>
      <c r="AS1929" s="221"/>
      <c r="AT1929" s="221"/>
      <c r="AU1929" s="221"/>
      <c r="AV1929" s="221"/>
      <c r="AW1929" s="221"/>
      <c r="AX1929" s="221"/>
      <c r="AY1929" s="221"/>
      <c r="AZ1929" s="221"/>
      <c r="BA1929" s="221"/>
    </row>
    <row r="1930" spans="1:53" x14ac:dyDescent="0.25">
      <c r="A1930" s="226" t="s">
        <v>28</v>
      </c>
      <c r="B1930" s="325">
        <v>50</v>
      </c>
      <c r="C1930" s="325">
        <v>50</v>
      </c>
      <c r="D1930" s="325">
        <v>50</v>
      </c>
      <c r="E1930" s="325">
        <v>50</v>
      </c>
      <c r="F1930" s="325">
        <v>50</v>
      </c>
      <c r="G1930" s="325">
        <v>50</v>
      </c>
      <c r="H1930" s="325">
        <v>50</v>
      </c>
      <c r="I1930" s="325">
        <v>50</v>
      </c>
      <c r="J1930" s="221"/>
      <c r="K1930" s="221"/>
      <c r="L1930" s="221"/>
      <c r="M1930" s="221"/>
      <c r="N1930" s="221"/>
      <c r="O1930" s="221"/>
      <c r="P1930" s="221"/>
      <c r="Q1930" s="221"/>
      <c r="R1930" s="221"/>
      <c r="S1930" s="221"/>
      <c r="T1930" s="221"/>
      <c r="U1930" s="221"/>
      <c r="V1930" s="221"/>
      <c r="W1930" s="221"/>
      <c r="X1930" s="221"/>
      <c r="Y1930" s="221"/>
      <c r="Z1930" s="221"/>
      <c r="AA1930" s="221"/>
      <c r="AB1930" s="221"/>
      <c r="AC1930" s="221"/>
      <c r="AD1930" s="221"/>
      <c r="AE1930" s="221"/>
      <c r="AF1930" s="221"/>
      <c r="AG1930" s="221"/>
      <c r="AH1930" s="221"/>
      <c r="AI1930" s="221"/>
      <c r="AJ1930" s="221"/>
      <c r="AK1930" s="221"/>
      <c r="AL1930" s="221"/>
      <c r="AM1930" s="221"/>
      <c r="AN1930" s="221"/>
      <c r="AO1930" s="221"/>
      <c r="AP1930" s="221"/>
      <c r="AQ1930" s="221"/>
      <c r="AR1930" s="221"/>
      <c r="AS1930" s="221"/>
      <c r="AT1930" s="221"/>
      <c r="AU1930" s="221"/>
      <c r="AV1930" s="221"/>
      <c r="AW1930" s="221"/>
      <c r="AX1930" s="221"/>
      <c r="AY1930" s="221"/>
      <c r="AZ1930" s="221"/>
      <c r="BA1930" s="221"/>
    </row>
    <row r="1931" spans="1:53" x14ac:dyDescent="0.25">
      <c r="A1931" s="226" t="s">
        <v>29</v>
      </c>
      <c r="B1931" s="325"/>
      <c r="C1931" s="325">
        <f>C1930+B1934</f>
        <v>-57.97999999999999</v>
      </c>
      <c r="D1931" s="325">
        <f>D1930+C1934</f>
        <v>-158.07</v>
      </c>
      <c r="E1931" s="325">
        <f>D1934+E1930</f>
        <v>-175.964</v>
      </c>
      <c r="F1931" s="325">
        <f>E1934+F1930</f>
        <v>-177.393</v>
      </c>
      <c r="G1931" s="325">
        <f>F1934+G1930</f>
        <v>-162.78800000000001</v>
      </c>
      <c r="H1931" s="201">
        <f>G1934*1.25+H1930</f>
        <v>-193.19875000000002</v>
      </c>
      <c r="I1931" s="201">
        <f>H1934*1.25+I1930</f>
        <v>-245.52468750000003</v>
      </c>
      <c r="J1931" s="221"/>
      <c r="K1931" s="221"/>
      <c r="L1931" s="221"/>
      <c r="M1931" s="221"/>
      <c r="N1931" s="221"/>
      <c r="O1931" s="221"/>
      <c r="P1931" s="221"/>
      <c r="Q1931" s="221"/>
      <c r="R1931" s="221"/>
      <c r="S1931" s="221"/>
      <c r="T1931" s="221"/>
      <c r="U1931" s="221"/>
      <c r="V1931" s="221"/>
      <c r="W1931" s="221"/>
      <c r="X1931" s="221"/>
      <c r="Y1931" s="221"/>
      <c r="Z1931" s="221"/>
      <c r="AA1931" s="221"/>
      <c r="AB1931" s="221"/>
      <c r="AC1931" s="221"/>
      <c r="AD1931" s="221"/>
      <c r="AE1931" s="221"/>
      <c r="AF1931" s="221"/>
      <c r="AG1931" s="221"/>
      <c r="AH1931" s="221"/>
      <c r="AI1931" s="221"/>
      <c r="AJ1931" s="221"/>
      <c r="AK1931" s="221"/>
      <c r="AL1931" s="221"/>
      <c r="AM1931" s="221"/>
      <c r="AN1931" s="221"/>
      <c r="AO1931" s="221"/>
      <c r="AP1931" s="221"/>
      <c r="AQ1931" s="221"/>
      <c r="AR1931" s="221"/>
      <c r="AS1931" s="221"/>
      <c r="AT1931" s="221"/>
      <c r="AU1931" s="221"/>
      <c r="AV1931" s="221"/>
      <c r="AW1931" s="221"/>
      <c r="AX1931" s="221"/>
      <c r="AY1931" s="221"/>
      <c r="AZ1931" s="221"/>
      <c r="BA1931" s="221"/>
    </row>
    <row r="1932" spans="1:53" x14ac:dyDescent="0.25">
      <c r="A1932" s="226" t="s">
        <v>30</v>
      </c>
      <c r="B1932" s="328"/>
      <c r="C1932" s="436" t="s">
        <v>551</v>
      </c>
      <c r="D1932" s="436" t="s">
        <v>552</v>
      </c>
      <c r="E1932" s="436" t="s">
        <v>553</v>
      </c>
      <c r="F1932" s="436" t="s">
        <v>556</v>
      </c>
      <c r="G1932" s="436" t="s">
        <v>558</v>
      </c>
      <c r="H1932" s="436" t="s">
        <v>713</v>
      </c>
      <c r="I1932" s="436" t="s">
        <v>893</v>
      </c>
      <c r="J1932" s="221"/>
      <c r="K1932" s="221"/>
      <c r="L1932" s="221"/>
      <c r="M1932" s="221"/>
      <c r="N1932" s="221"/>
      <c r="O1932" s="221"/>
      <c r="P1932" s="221"/>
      <c r="Q1932" s="221"/>
      <c r="R1932" s="221"/>
      <c r="S1932" s="221"/>
      <c r="T1932" s="221"/>
      <c r="U1932" s="221"/>
      <c r="V1932" s="221"/>
      <c r="W1932" s="221"/>
      <c r="X1932" s="221"/>
      <c r="Y1932" s="221"/>
      <c r="Z1932" s="221"/>
      <c r="AA1932" s="221"/>
      <c r="AB1932" s="221"/>
      <c r="AC1932" s="221"/>
      <c r="AD1932" s="221"/>
      <c r="AE1932" s="221"/>
      <c r="AF1932" s="221"/>
      <c r="AG1932" s="221"/>
      <c r="AH1932" s="221"/>
      <c r="AI1932" s="221"/>
      <c r="AJ1932" s="221"/>
      <c r="AK1932" s="221"/>
      <c r="AL1932" s="221"/>
      <c r="AM1932" s="221"/>
      <c r="AN1932" s="221"/>
      <c r="AO1932" s="221"/>
      <c r="AP1932" s="221"/>
      <c r="AQ1932" s="221"/>
      <c r="AR1932" s="221"/>
      <c r="AS1932" s="221"/>
      <c r="AT1932" s="221"/>
      <c r="AU1932" s="221"/>
      <c r="AV1932" s="221"/>
      <c r="AW1932" s="221"/>
      <c r="AX1932" s="221"/>
      <c r="AY1932" s="221"/>
      <c r="AZ1932" s="221"/>
      <c r="BA1932" s="221"/>
    </row>
    <row r="1933" spans="1:53" x14ac:dyDescent="0.25">
      <c r="A1933" s="226" t="s">
        <v>31</v>
      </c>
      <c r="B1933" s="325">
        <v>157.97999999999999</v>
      </c>
      <c r="C1933" s="325">
        <v>150.09</v>
      </c>
      <c r="D1933" s="325">
        <v>67.894000000000005</v>
      </c>
      <c r="E1933" s="325">
        <v>51.429000000000002</v>
      </c>
      <c r="F1933" s="215">
        <v>35.395000000000003</v>
      </c>
      <c r="G1933" s="215">
        <v>31.771000000000001</v>
      </c>
      <c r="H1933" s="215">
        <v>43.220999999999997</v>
      </c>
      <c r="I1933" s="215"/>
      <c r="J1933" s="221"/>
      <c r="K1933" s="221"/>
      <c r="L1933" s="221"/>
      <c r="M1933" s="221"/>
      <c r="N1933" s="221"/>
      <c r="O1933" s="221"/>
      <c r="P1933" s="221"/>
      <c r="Q1933" s="221"/>
      <c r="R1933" s="221"/>
      <c r="S1933" s="221"/>
      <c r="T1933" s="221"/>
      <c r="U1933" s="221"/>
      <c r="V1933" s="221"/>
      <c r="W1933" s="221"/>
      <c r="X1933" s="221"/>
      <c r="Y1933" s="221"/>
      <c r="Z1933" s="221"/>
      <c r="AA1933" s="221"/>
      <c r="AB1933" s="221"/>
      <c r="AC1933" s="221"/>
      <c r="AD1933" s="221"/>
      <c r="AE1933" s="221"/>
      <c r="AF1933" s="221"/>
      <c r="AG1933" s="221"/>
      <c r="AH1933" s="221"/>
      <c r="AI1933" s="221"/>
      <c r="AJ1933" s="221"/>
      <c r="AK1933" s="221"/>
      <c r="AL1933" s="221"/>
      <c r="AM1933" s="221"/>
      <c r="AN1933" s="221"/>
      <c r="AO1933" s="221"/>
      <c r="AP1933" s="221"/>
      <c r="AQ1933" s="221"/>
      <c r="AR1933" s="221"/>
      <c r="AS1933" s="221"/>
      <c r="AT1933" s="221"/>
      <c r="AU1933" s="221"/>
      <c r="AV1933" s="221"/>
      <c r="AW1933" s="221"/>
      <c r="AX1933" s="221"/>
      <c r="AY1933" s="221"/>
      <c r="AZ1933" s="221"/>
      <c r="BA1933" s="221"/>
    </row>
    <row r="1934" spans="1:53" x14ac:dyDescent="0.25">
      <c r="A1934" s="226" t="s">
        <v>32</v>
      </c>
      <c r="B1934" s="325">
        <f>B1930-B1933</f>
        <v>-107.97999999999999</v>
      </c>
      <c r="C1934" s="325">
        <f t="shared" ref="C1934:H1934" si="51">C1931-C1933</f>
        <v>-208.07</v>
      </c>
      <c r="D1934" s="325">
        <f t="shared" si="51"/>
        <v>-225.964</v>
      </c>
      <c r="E1934" s="325">
        <f t="shared" si="51"/>
        <v>-227.393</v>
      </c>
      <c r="F1934" s="325">
        <f t="shared" si="51"/>
        <v>-212.78800000000001</v>
      </c>
      <c r="G1934" s="325">
        <f t="shared" si="51"/>
        <v>-194.55900000000003</v>
      </c>
      <c r="H1934" s="201">
        <f t="shared" si="51"/>
        <v>-236.41975000000002</v>
      </c>
      <c r="I1934" s="325"/>
      <c r="J1934" s="221"/>
      <c r="K1934" s="221"/>
      <c r="L1934" s="221"/>
      <c r="M1934" s="221"/>
      <c r="N1934" s="221"/>
      <c r="O1934" s="221"/>
      <c r="P1934" s="221"/>
      <c r="Q1934" s="221"/>
      <c r="R1934" s="221"/>
      <c r="S1934" s="221"/>
      <c r="T1934" s="221"/>
      <c r="U1934" s="221"/>
      <c r="V1934" s="221"/>
      <c r="W1934" s="221"/>
      <c r="X1934" s="221"/>
      <c r="Y1934" s="221"/>
      <c r="Z1934" s="221"/>
      <c r="AA1934" s="221"/>
      <c r="AB1934" s="221"/>
      <c r="AC1934" s="221"/>
      <c r="AD1934" s="221"/>
      <c r="AE1934" s="221"/>
      <c r="AF1934" s="221"/>
      <c r="AG1934" s="221"/>
      <c r="AH1934" s="221"/>
      <c r="AI1934" s="221"/>
      <c r="AJ1934" s="221"/>
      <c r="AK1934" s="221"/>
      <c r="AL1934" s="221"/>
      <c r="AM1934" s="221"/>
      <c r="AN1934" s="221"/>
      <c r="AO1934" s="221"/>
      <c r="AP1934" s="221"/>
      <c r="AQ1934" s="221"/>
      <c r="AR1934" s="221"/>
      <c r="AS1934" s="221"/>
      <c r="AT1934" s="221"/>
      <c r="AU1934" s="221"/>
      <c r="AV1934" s="221"/>
      <c r="AW1934" s="221"/>
      <c r="AX1934" s="221"/>
      <c r="AY1934" s="221"/>
      <c r="AZ1934" s="221"/>
      <c r="BA1934" s="221"/>
    </row>
    <row r="1935" spans="1:53" x14ac:dyDescent="0.25">
      <c r="A1935" s="218" t="s">
        <v>33</v>
      </c>
      <c r="B1935" s="244">
        <v>2017</v>
      </c>
      <c r="C1935" s="244">
        <v>2018</v>
      </c>
      <c r="D1935" s="244">
        <v>2019</v>
      </c>
      <c r="E1935" s="244">
        <v>2020</v>
      </c>
      <c r="F1935" s="244">
        <v>2021</v>
      </c>
      <c r="G1935" s="244">
        <v>2022</v>
      </c>
      <c r="H1935" s="244">
        <v>2023</v>
      </c>
      <c r="I1935" s="244">
        <v>2024</v>
      </c>
      <c r="J1935" s="221"/>
      <c r="K1935" s="221"/>
      <c r="L1935" s="221"/>
      <c r="M1935" s="221"/>
      <c r="N1935" s="221"/>
      <c r="O1935" s="221"/>
      <c r="P1935" s="221"/>
      <c r="Q1935" s="221"/>
      <c r="R1935" s="221"/>
      <c r="S1935" s="221"/>
      <c r="T1935" s="221"/>
      <c r="U1935" s="221"/>
      <c r="V1935" s="221"/>
      <c r="W1935" s="221"/>
      <c r="X1935" s="221"/>
      <c r="Y1935" s="221"/>
      <c r="Z1935" s="221"/>
      <c r="AA1935" s="221"/>
      <c r="AB1935" s="221"/>
      <c r="AC1935" s="221"/>
      <c r="AD1935" s="221"/>
      <c r="AE1935" s="221"/>
      <c r="AF1935" s="221"/>
      <c r="AG1935" s="221"/>
      <c r="AH1935" s="221"/>
      <c r="AI1935" s="221"/>
      <c r="AJ1935" s="221"/>
      <c r="AK1935" s="221"/>
      <c r="AL1935" s="221"/>
      <c r="AM1935" s="221"/>
      <c r="AN1935" s="221"/>
      <c r="AO1935" s="221"/>
      <c r="AP1935" s="221"/>
      <c r="AQ1935" s="221"/>
      <c r="AR1935" s="221"/>
      <c r="AS1935" s="221"/>
      <c r="AT1935" s="221"/>
      <c r="AU1935" s="221"/>
      <c r="AV1935" s="221"/>
      <c r="AW1935" s="221"/>
      <c r="AX1935" s="221"/>
      <c r="AY1935" s="221"/>
      <c r="AZ1935" s="221"/>
      <c r="BA1935" s="221"/>
    </row>
    <row r="1936" spans="1:53" x14ac:dyDescent="0.25">
      <c r="A1936" s="218" t="s">
        <v>715</v>
      </c>
      <c r="B1936" s="379"/>
      <c r="C1936" s="379"/>
      <c r="D1936" s="379"/>
      <c r="E1936" s="379"/>
      <c r="F1936" s="379"/>
      <c r="G1936" s="379"/>
      <c r="H1936" s="379"/>
      <c r="I1936" s="380"/>
      <c r="J1936" s="221"/>
      <c r="K1936" s="221"/>
      <c r="L1936" s="221"/>
      <c r="M1936" s="221"/>
      <c r="N1936" s="221"/>
      <c r="O1936" s="221"/>
      <c r="P1936" s="221"/>
      <c r="Q1936" s="221"/>
      <c r="R1936" s="221"/>
      <c r="S1936" s="221"/>
      <c r="T1936" s="221"/>
      <c r="U1936" s="221"/>
      <c r="V1936" s="221"/>
      <c r="W1936" s="221"/>
      <c r="X1936" s="221"/>
      <c r="Y1936" s="221"/>
      <c r="Z1936" s="221"/>
      <c r="AA1936" s="221"/>
      <c r="AB1936" s="221"/>
      <c r="AC1936" s="221"/>
      <c r="AD1936" s="221"/>
      <c r="AE1936" s="221"/>
      <c r="AF1936" s="221"/>
      <c r="AG1936" s="221"/>
      <c r="AH1936" s="221"/>
      <c r="AI1936" s="221"/>
      <c r="AJ1936" s="221"/>
      <c r="AK1936" s="221"/>
      <c r="AL1936" s="221"/>
      <c r="AM1936" s="221"/>
      <c r="AN1936" s="221"/>
      <c r="AO1936" s="221"/>
      <c r="AP1936" s="221"/>
      <c r="AQ1936" s="221"/>
      <c r="AR1936" s="221"/>
      <c r="AS1936" s="221"/>
      <c r="AT1936" s="221"/>
      <c r="AU1936" s="221"/>
      <c r="AV1936" s="221"/>
      <c r="AW1936" s="221"/>
      <c r="AX1936" s="221"/>
      <c r="AY1936" s="221"/>
      <c r="AZ1936" s="221"/>
      <c r="BA1936" s="221"/>
    </row>
    <row r="1937" spans="1:53" x14ac:dyDescent="0.25">
      <c r="A1937" s="220" t="s">
        <v>554</v>
      </c>
      <c r="B1937" s="368"/>
      <c r="C1937" s="368"/>
      <c r="D1937" s="368"/>
      <c r="E1937" s="368"/>
      <c r="F1937" s="368"/>
      <c r="G1937" s="368"/>
      <c r="H1937" s="368"/>
      <c r="I1937" s="381"/>
      <c r="J1937" s="221"/>
      <c r="K1937" s="221"/>
      <c r="L1937" s="221"/>
      <c r="M1937" s="221"/>
      <c r="N1937" s="221"/>
      <c r="O1937" s="221"/>
      <c r="P1937" s="221"/>
      <c r="Q1937" s="221"/>
      <c r="R1937" s="221"/>
      <c r="S1937" s="221"/>
      <c r="T1937" s="221"/>
      <c r="U1937" s="221"/>
      <c r="V1937" s="221"/>
      <c r="W1937" s="221"/>
      <c r="X1937" s="221"/>
      <c r="Y1937" s="221"/>
      <c r="Z1937" s="221"/>
      <c r="AA1937" s="221"/>
      <c r="AB1937" s="221"/>
      <c r="AC1937" s="221"/>
      <c r="AD1937" s="221"/>
      <c r="AE1937" s="221"/>
      <c r="AF1937" s="221"/>
      <c r="AG1937" s="221"/>
      <c r="AH1937" s="221"/>
      <c r="AI1937" s="221"/>
      <c r="AJ1937" s="221"/>
      <c r="AK1937" s="221"/>
      <c r="AL1937" s="221"/>
      <c r="AM1937" s="221"/>
      <c r="AN1937" s="221"/>
      <c r="AO1937" s="221"/>
      <c r="AP1937" s="221"/>
      <c r="AQ1937" s="221"/>
      <c r="AR1937" s="221"/>
      <c r="AS1937" s="221"/>
      <c r="AT1937" s="221"/>
      <c r="AU1937" s="221"/>
      <c r="AV1937" s="221"/>
      <c r="AW1937" s="221"/>
      <c r="AX1937" s="221"/>
      <c r="AY1937" s="221"/>
      <c r="AZ1937" s="221"/>
      <c r="BA1937" s="221"/>
    </row>
    <row r="1938" spans="1:53" x14ac:dyDescent="0.25">
      <c r="A1938" s="220" t="s">
        <v>555</v>
      </c>
      <c r="B1938" s="221"/>
      <c r="C1938" s="221"/>
      <c r="D1938" s="221"/>
      <c r="E1938" s="221"/>
      <c r="F1938" s="221"/>
      <c r="G1938" s="221"/>
      <c r="H1938" s="221"/>
      <c r="I1938" s="222"/>
      <c r="J1938" s="221"/>
      <c r="K1938" s="221"/>
      <c r="L1938" s="221"/>
      <c r="M1938" s="221"/>
      <c r="N1938" s="221"/>
      <c r="O1938" s="221"/>
      <c r="P1938" s="221"/>
      <c r="Q1938" s="221"/>
      <c r="R1938" s="221"/>
      <c r="S1938" s="221"/>
      <c r="T1938" s="221"/>
      <c r="U1938" s="221"/>
      <c r="V1938" s="221"/>
      <c r="W1938" s="221"/>
      <c r="X1938" s="221"/>
      <c r="Y1938" s="221"/>
      <c r="Z1938" s="221"/>
      <c r="AA1938" s="221"/>
      <c r="AB1938" s="221"/>
      <c r="AC1938" s="221"/>
      <c r="AD1938" s="221"/>
      <c r="AE1938" s="221"/>
      <c r="AF1938" s="221"/>
      <c r="AG1938" s="221"/>
      <c r="AH1938" s="221"/>
      <c r="AI1938" s="221"/>
      <c r="AJ1938" s="221"/>
      <c r="AK1938" s="221"/>
      <c r="AL1938" s="221"/>
      <c r="AM1938" s="221"/>
      <c r="AN1938" s="221"/>
      <c r="AO1938" s="221"/>
      <c r="AP1938" s="221"/>
      <c r="AQ1938" s="221"/>
      <c r="AR1938" s="221"/>
      <c r="AS1938" s="221"/>
      <c r="AT1938" s="221"/>
      <c r="AU1938" s="221"/>
      <c r="AV1938" s="221"/>
      <c r="AW1938" s="221"/>
      <c r="AX1938" s="221"/>
      <c r="AY1938" s="221"/>
      <c r="AZ1938" s="221"/>
      <c r="BA1938" s="221"/>
    </row>
    <row r="1939" spans="1:53" x14ac:dyDescent="0.25">
      <c r="A1939" s="220" t="s">
        <v>557</v>
      </c>
      <c r="B1939" s="221"/>
      <c r="C1939" s="221"/>
      <c r="D1939" s="221"/>
      <c r="E1939" s="221"/>
      <c r="F1939" s="221"/>
      <c r="G1939" s="221"/>
      <c r="H1939" s="221"/>
      <c r="I1939" s="222"/>
      <c r="J1939" s="221"/>
      <c r="K1939" s="221"/>
      <c r="L1939" s="221"/>
      <c r="M1939" s="221"/>
      <c r="N1939" s="221"/>
      <c r="O1939" s="221"/>
      <c r="P1939" s="221"/>
      <c r="Q1939" s="221"/>
      <c r="R1939" s="221"/>
      <c r="S1939" s="221"/>
      <c r="T1939" s="221"/>
      <c r="U1939" s="221"/>
      <c r="V1939" s="221"/>
      <c r="W1939" s="221"/>
      <c r="X1939" s="221"/>
      <c r="Y1939" s="221"/>
      <c r="Z1939" s="221"/>
      <c r="AA1939" s="221"/>
      <c r="AB1939" s="221"/>
      <c r="AC1939" s="221"/>
      <c r="AD1939" s="221"/>
      <c r="AE1939" s="221"/>
      <c r="AF1939" s="221"/>
      <c r="AG1939" s="221"/>
      <c r="AH1939" s="221"/>
      <c r="AI1939" s="221"/>
      <c r="AJ1939" s="221"/>
      <c r="AK1939" s="221"/>
      <c r="AL1939" s="221"/>
      <c r="AM1939" s="221"/>
      <c r="AN1939" s="221"/>
      <c r="AO1939" s="221"/>
      <c r="AP1939" s="221"/>
      <c r="AQ1939" s="221"/>
      <c r="AR1939" s="221"/>
      <c r="AS1939" s="221"/>
      <c r="AT1939" s="221"/>
      <c r="AU1939" s="221"/>
      <c r="AV1939" s="221"/>
      <c r="AW1939" s="221"/>
      <c r="AX1939" s="221"/>
      <c r="AY1939" s="221"/>
      <c r="AZ1939" s="221"/>
      <c r="BA1939" s="221"/>
    </row>
    <row r="1940" spans="1:53" x14ac:dyDescent="0.25">
      <c r="A1940" s="220" t="s">
        <v>559</v>
      </c>
      <c r="B1940" s="221"/>
      <c r="C1940" s="221"/>
      <c r="D1940" s="221"/>
      <c r="E1940" s="221"/>
      <c r="F1940" s="221"/>
      <c r="G1940" s="221"/>
      <c r="H1940" s="221"/>
      <c r="I1940" s="222"/>
      <c r="J1940" s="221"/>
      <c r="K1940" s="221"/>
      <c r="L1940" s="221"/>
      <c r="M1940" s="221"/>
      <c r="N1940" s="221"/>
      <c r="O1940" s="221"/>
      <c r="P1940" s="221"/>
      <c r="Q1940" s="221"/>
      <c r="R1940" s="221"/>
      <c r="S1940" s="221"/>
      <c r="T1940" s="221"/>
      <c r="U1940" s="221"/>
      <c r="V1940" s="221"/>
      <c r="W1940" s="221"/>
      <c r="X1940" s="221"/>
      <c r="Y1940" s="221"/>
      <c r="Z1940" s="221"/>
      <c r="AA1940" s="221"/>
      <c r="AB1940" s="221"/>
      <c r="AC1940" s="221"/>
      <c r="AD1940" s="221"/>
      <c r="AE1940" s="221"/>
      <c r="AF1940" s="221"/>
      <c r="AG1940" s="221"/>
      <c r="AH1940" s="221"/>
      <c r="AI1940" s="221"/>
      <c r="AJ1940" s="221"/>
      <c r="AK1940" s="221"/>
      <c r="AL1940" s="221"/>
      <c r="AM1940" s="221"/>
      <c r="AN1940" s="221"/>
      <c r="AO1940" s="221"/>
      <c r="AP1940" s="221"/>
      <c r="AQ1940" s="221"/>
      <c r="AR1940" s="221"/>
      <c r="AS1940" s="221"/>
      <c r="AT1940" s="221"/>
      <c r="AU1940" s="221"/>
      <c r="AV1940" s="221"/>
      <c r="AW1940" s="221"/>
      <c r="AX1940" s="221"/>
      <c r="AY1940" s="221"/>
      <c r="AZ1940" s="221"/>
      <c r="BA1940" s="221"/>
    </row>
    <row r="1941" spans="1:53" x14ac:dyDescent="0.25">
      <c r="A1941" s="203" t="s">
        <v>963</v>
      </c>
      <c r="B1941" s="221"/>
      <c r="C1941" s="221"/>
      <c r="D1941" s="221"/>
      <c r="E1941" s="221"/>
      <c r="F1941" s="221"/>
      <c r="G1941" s="221"/>
      <c r="H1941" s="221"/>
      <c r="I1941" s="222"/>
      <c r="J1941" s="221"/>
      <c r="K1941" s="221"/>
      <c r="L1941" s="221"/>
      <c r="M1941" s="221"/>
      <c r="N1941" s="221"/>
      <c r="O1941" s="221"/>
      <c r="P1941" s="221"/>
      <c r="Q1941" s="221"/>
      <c r="R1941" s="221"/>
      <c r="S1941" s="221"/>
      <c r="T1941" s="221"/>
      <c r="U1941" s="221"/>
      <c r="V1941" s="221"/>
      <c r="W1941" s="221"/>
      <c r="X1941" s="221"/>
      <c r="Y1941" s="221"/>
      <c r="Z1941" s="221"/>
      <c r="AA1941" s="221"/>
      <c r="AB1941" s="221"/>
      <c r="AC1941" s="221"/>
      <c r="AD1941" s="221"/>
      <c r="AE1941" s="221"/>
      <c r="AF1941" s="221"/>
      <c r="AG1941" s="221"/>
      <c r="AH1941" s="221"/>
      <c r="AI1941" s="221"/>
      <c r="AJ1941" s="221"/>
      <c r="AK1941" s="221"/>
      <c r="AL1941" s="221"/>
      <c r="AM1941" s="221"/>
      <c r="AN1941" s="221"/>
      <c r="AO1941" s="221"/>
      <c r="AP1941" s="221"/>
      <c r="AQ1941" s="221"/>
      <c r="AR1941" s="221"/>
      <c r="AS1941" s="221"/>
      <c r="AT1941" s="221"/>
      <c r="AU1941" s="221"/>
      <c r="AV1941" s="221"/>
      <c r="AW1941" s="221"/>
      <c r="AX1941" s="221"/>
      <c r="AY1941" s="221"/>
      <c r="AZ1941" s="221"/>
      <c r="BA1941" s="221"/>
    </row>
    <row r="1942" spans="1:53" x14ac:dyDescent="0.25">
      <c r="A1942" s="197" t="s">
        <v>964</v>
      </c>
      <c r="B1942" s="223"/>
      <c r="C1942" s="223"/>
      <c r="D1942" s="223"/>
      <c r="E1942" s="223"/>
      <c r="F1942" s="223"/>
      <c r="G1942" s="223"/>
      <c r="H1942" s="223"/>
      <c r="I1942" s="224"/>
      <c r="J1942" s="221"/>
      <c r="K1942" s="221"/>
      <c r="L1942" s="221"/>
      <c r="M1942" s="221"/>
      <c r="N1942" s="221"/>
      <c r="O1942" s="221"/>
      <c r="P1942" s="221"/>
      <c r="Q1942" s="221"/>
      <c r="R1942" s="221"/>
      <c r="S1942" s="221"/>
      <c r="T1942" s="221"/>
      <c r="U1942" s="221"/>
      <c r="V1942" s="221"/>
      <c r="W1942" s="221"/>
      <c r="X1942" s="221"/>
      <c r="Y1942" s="221"/>
      <c r="Z1942" s="221"/>
      <c r="AA1942" s="221"/>
      <c r="AB1942" s="221"/>
      <c r="AC1942" s="221"/>
      <c r="AD1942" s="221"/>
      <c r="AE1942" s="221"/>
      <c r="AF1942" s="221"/>
      <c r="AG1942" s="221"/>
      <c r="AH1942" s="221"/>
      <c r="AI1942" s="221"/>
      <c r="AJ1942" s="221"/>
      <c r="AK1942" s="221"/>
      <c r="AL1942" s="221"/>
      <c r="AM1942" s="221"/>
      <c r="AN1942" s="221"/>
      <c r="AO1942" s="221"/>
      <c r="AP1942" s="221"/>
      <c r="AQ1942" s="221"/>
      <c r="AR1942" s="221"/>
      <c r="AS1942" s="221"/>
      <c r="AT1942" s="221"/>
      <c r="AU1942" s="221"/>
      <c r="AV1942" s="221"/>
      <c r="AW1942" s="221"/>
      <c r="AX1942" s="221"/>
      <c r="AY1942" s="221"/>
      <c r="AZ1942" s="221"/>
      <c r="BA1942" s="221"/>
    </row>
    <row r="1943" spans="1:53" x14ac:dyDescent="0.25">
      <c r="A1943" s="221"/>
      <c r="B1943" s="221"/>
      <c r="C1943" s="221"/>
      <c r="D1943" s="221"/>
      <c r="E1943" s="221"/>
      <c r="F1943" s="221"/>
      <c r="G1943" s="221"/>
      <c r="H1943" s="221"/>
      <c r="I1943" s="221"/>
      <c r="J1943" s="221"/>
      <c r="K1943" s="221"/>
      <c r="L1943" s="221"/>
      <c r="M1943" s="221"/>
      <c r="N1943" s="221"/>
      <c r="O1943" s="221"/>
      <c r="P1943" s="221"/>
      <c r="Q1943" s="221"/>
      <c r="R1943" s="221"/>
      <c r="S1943" s="221"/>
      <c r="T1943" s="221"/>
      <c r="U1943" s="221"/>
      <c r="V1943" s="221"/>
      <c r="W1943" s="221"/>
      <c r="X1943" s="221"/>
      <c r="Y1943" s="221"/>
      <c r="Z1943" s="221"/>
      <c r="AA1943" s="221"/>
      <c r="AB1943" s="221"/>
      <c r="AC1943" s="221"/>
      <c r="AD1943" s="221"/>
      <c r="AE1943" s="221"/>
      <c r="AF1943" s="221"/>
      <c r="AG1943" s="221"/>
      <c r="AH1943" s="221"/>
      <c r="AI1943" s="221"/>
      <c r="AJ1943" s="221"/>
      <c r="AK1943" s="221"/>
      <c r="AL1943" s="221"/>
      <c r="AM1943" s="221"/>
      <c r="AN1943" s="221"/>
      <c r="AO1943" s="221"/>
      <c r="AP1943" s="221"/>
      <c r="AQ1943" s="221"/>
      <c r="AR1943" s="221"/>
      <c r="AS1943" s="221"/>
      <c r="AT1943" s="221"/>
      <c r="AU1943" s="221"/>
      <c r="AV1943" s="221"/>
      <c r="AW1943" s="221"/>
      <c r="AX1943" s="221"/>
      <c r="AY1943" s="221"/>
      <c r="AZ1943" s="221"/>
      <c r="BA1943" s="221"/>
    </row>
    <row r="1944" spans="1:53" x14ac:dyDescent="0.25">
      <c r="A1944" s="221"/>
      <c r="B1944" s="221"/>
      <c r="C1944" s="221"/>
      <c r="D1944" s="221"/>
      <c r="E1944" s="221"/>
      <c r="F1944" s="221"/>
      <c r="G1944" s="221"/>
      <c r="H1944" s="221"/>
      <c r="I1944" s="221"/>
      <c r="J1944" s="221"/>
      <c r="K1944" s="221"/>
      <c r="L1944" s="221"/>
      <c r="M1944" s="221"/>
      <c r="N1944" s="221"/>
      <c r="O1944" s="221"/>
      <c r="P1944" s="221"/>
      <c r="Q1944" s="221"/>
      <c r="R1944" s="221"/>
      <c r="S1944" s="221"/>
      <c r="T1944" s="221"/>
      <c r="U1944" s="221"/>
      <c r="V1944" s="221"/>
      <c r="W1944" s="221"/>
      <c r="X1944" s="221"/>
      <c r="Y1944" s="221"/>
      <c r="Z1944" s="221"/>
      <c r="AA1944" s="221"/>
      <c r="AB1944" s="221"/>
      <c r="AC1944" s="221"/>
      <c r="AD1944" s="221"/>
      <c r="AE1944" s="221"/>
      <c r="AF1944" s="221"/>
      <c r="AG1944" s="221"/>
      <c r="AH1944" s="221"/>
      <c r="AI1944" s="221"/>
      <c r="AJ1944" s="221"/>
      <c r="AK1944" s="221"/>
      <c r="AL1944" s="221"/>
      <c r="AM1944" s="221"/>
      <c r="AN1944" s="221"/>
      <c r="AO1944" s="221"/>
      <c r="AP1944" s="221"/>
      <c r="AQ1944" s="221"/>
      <c r="AR1944" s="221"/>
      <c r="AS1944" s="221"/>
      <c r="AT1944" s="221"/>
      <c r="AU1944" s="221"/>
      <c r="AV1944" s="221"/>
      <c r="AW1944" s="221"/>
      <c r="AX1944" s="221"/>
      <c r="AY1944" s="221"/>
      <c r="AZ1944" s="221"/>
      <c r="BA1944" s="221"/>
    </row>
    <row r="1945" spans="1:53" x14ac:dyDescent="0.25">
      <c r="A1945" s="221"/>
      <c r="B1945" s="221"/>
      <c r="C1945" s="221"/>
      <c r="D1945" s="221"/>
      <c r="E1945" s="221"/>
      <c r="F1945" s="221"/>
      <c r="G1945" s="221"/>
      <c r="H1945" s="221"/>
      <c r="I1945" s="221"/>
      <c r="J1945" s="221"/>
      <c r="K1945" s="221"/>
      <c r="L1945" s="221"/>
      <c r="M1945" s="221"/>
      <c r="N1945" s="221"/>
      <c r="O1945" s="221"/>
      <c r="P1945" s="221"/>
      <c r="Q1945" s="221"/>
      <c r="R1945" s="221"/>
      <c r="S1945" s="221"/>
      <c r="T1945" s="221"/>
      <c r="U1945" s="221"/>
      <c r="V1945" s="221"/>
      <c r="W1945" s="221"/>
      <c r="X1945" s="221"/>
      <c r="Y1945" s="221"/>
      <c r="Z1945" s="221"/>
      <c r="AA1945" s="221"/>
      <c r="AB1945" s="221"/>
      <c r="AC1945" s="221"/>
      <c r="AD1945" s="221"/>
      <c r="AE1945" s="221"/>
      <c r="AF1945" s="221"/>
      <c r="AG1945" s="221"/>
      <c r="AH1945" s="221"/>
      <c r="AI1945" s="221"/>
      <c r="AJ1945" s="221"/>
      <c r="AK1945" s="221"/>
      <c r="AL1945" s="221"/>
      <c r="AM1945" s="221"/>
      <c r="AN1945" s="221"/>
      <c r="AO1945" s="221"/>
      <c r="AP1945" s="221"/>
      <c r="AQ1945" s="221"/>
      <c r="AR1945" s="221"/>
      <c r="AS1945" s="221"/>
      <c r="AT1945" s="221"/>
      <c r="AU1945" s="221"/>
      <c r="AV1945" s="221"/>
      <c r="AW1945" s="221"/>
      <c r="AX1945" s="221"/>
      <c r="AY1945" s="221"/>
      <c r="AZ1945" s="221"/>
      <c r="BA1945" s="221"/>
    </row>
    <row r="1946" spans="1:53" x14ac:dyDescent="0.25">
      <c r="A1946" s="221"/>
      <c r="B1946" s="221"/>
      <c r="C1946" s="221"/>
      <c r="D1946" s="221"/>
      <c r="E1946" s="221"/>
      <c r="F1946" s="221"/>
      <c r="G1946" s="221"/>
      <c r="H1946" s="221"/>
      <c r="I1946" s="221"/>
      <c r="J1946" s="221"/>
      <c r="K1946" s="221"/>
      <c r="L1946" s="221"/>
      <c r="M1946" s="221"/>
      <c r="N1946" s="221"/>
      <c r="O1946" s="221"/>
      <c r="P1946" s="221"/>
      <c r="Q1946" s="221"/>
      <c r="R1946" s="221"/>
      <c r="S1946" s="221"/>
      <c r="T1946" s="221"/>
      <c r="U1946" s="221"/>
      <c r="V1946" s="221"/>
      <c r="W1946" s="221"/>
      <c r="X1946" s="221"/>
      <c r="Y1946" s="221"/>
      <c r="Z1946" s="221"/>
      <c r="AA1946" s="221"/>
      <c r="AB1946" s="221"/>
      <c r="AC1946" s="221"/>
      <c r="AD1946" s="221"/>
      <c r="AE1946" s="221"/>
      <c r="AF1946" s="221"/>
      <c r="AG1946" s="221"/>
      <c r="AH1946" s="221"/>
      <c r="AI1946" s="221"/>
      <c r="AJ1946" s="221"/>
      <c r="AK1946" s="221"/>
      <c r="AL1946" s="221"/>
      <c r="AM1946" s="221"/>
      <c r="AN1946" s="221"/>
      <c r="AO1946" s="221"/>
      <c r="AP1946" s="221"/>
      <c r="AQ1946" s="221"/>
      <c r="AR1946" s="221"/>
      <c r="AS1946" s="221"/>
      <c r="AT1946" s="221"/>
      <c r="AU1946" s="221"/>
      <c r="AV1946" s="221"/>
      <c r="AW1946" s="221"/>
      <c r="AX1946" s="221"/>
      <c r="AY1946" s="221"/>
      <c r="AZ1946" s="221"/>
      <c r="BA1946" s="221"/>
    </row>
    <row r="1947" spans="1:53" x14ac:dyDescent="0.25">
      <c r="A1947" s="221"/>
      <c r="B1947" s="221"/>
      <c r="C1947" s="221"/>
      <c r="D1947" s="221"/>
      <c r="E1947" s="221"/>
      <c r="F1947" s="221"/>
      <c r="G1947" s="221"/>
      <c r="H1947" s="221"/>
      <c r="I1947" s="221"/>
      <c r="J1947" s="221"/>
      <c r="K1947" s="221"/>
      <c r="L1947" s="221"/>
      <c r="M1947" s="221"/>
      <c r="N1947" s="221"/>
      <c r="O1947" s="221"/>
      <c r="P1947" s="221"/>
      <c r="Q1947" s="221"/>
      <c r="R1947" s="221"/>
      <c r="S1947" s="221"/>
      <c r="T1947" s="221"/>
      <c r="U1947" s="221"/>
      <c r="V1947" s="221"/>
      <c r="W1947" s="221"/>
      <c r="X1947" s="221"/>
      <c r="Y1947" s="221"/>
      <c r="Z1947" s="221"/>
      <c r="AA1947" s="221"/>
      <c r="AB1947" s="221"/>
      <c r="AC1947" s="221"/>
      <c r="AD1947" s="221"/>
      <c r="AE1947" s="221"/>
      <c r="AF1947" s="221"/>
      <c r="AG1947" s="221"/>
      <c r="AH1947" s="221"/>
      <c r="AI1947" s="221"/>
      <c r="AJ1947" s="221"/>
      <c r="AK1947" s="221"/>
      <c r="AL1947" s="221"/>
      <c r="AM1947" s="221"/>
      <c r="AN1947" s="221"/>
      <c r="AO1947" s="221"/>
      <c r="AP1947" s="221"/>
      <c r="AQ1947" s="221"/>
      <c r="AR1947" s="221"/>
      <c r="AS1947" s="221"/>
      <c r="AT1947" s="221"/>
      <c r="AU1947" s="221"/>
      <c r="AV1947" s="221"/>
      <c r="AW1947" s="221"/>
      <c r="AX1947" s="221"/>
      <c r="AY1947" s="221"/>
      <c r="AZ1947" s="221"/>
      <c r="BA1947" s="221"/>
    </row>
    <row r="1953" s="19" customFormat="1" x14ac:dyDescent="0.25"/>
    <row r="1954" s="19" customFormat="1" x14ac:dyDescent="0.25"/>
    <row r="1955" s="19" customFormat="1" x14ac:dyDescent="0.25"/>
    <row r="1956" s="19" customFormat="1" x14ac:dyDescent="0.25"/>
    <row r="1957" s="19" customFormat="1" x14ac:dyDescent="0.25"/>
    <row r="1958" s="19" customFormat="1" x14ac:dyDescent="0.25"/>
    <row r="1959" s="19" customFormat="1" x14ac:dyDescent="0.25"/>
    <row r="1960" s="19" customFormat="1" x14ac:dyDescent="0.25"/>
    <row r="1961" s="19" customFormat="1" x14ac:dyDescent="0.25"/>
    <row r="1962" s="19" customFormat="1" x14ac:dyDescent="0.25"/>
    <row r="1963" s="19" customFormat="1" x14ac:dyDescent="0.25"/>
    <row r="1964" s="19" customFormat="1" x14ac:dyDescent="0.25"/>
    <row r="1965" s="19" customFormat="1" x14ac:dyDescent="0.25"/>
    <row r="1966" s="19" customFormat="1" x14ac:dyDescent="0.25"/>
    <row r="1967" s="19" customFormat="1" x14ac:dyDescent="0.25"/>
    <row r="1968" s="19" customFormat="1" x14ac:dyDescent="0.25"/>
    <row r="1969" s="19" customFormat="1" x14ac:dyDescent="0.25"/>
    <row r="1970" s="19" customFormat="1" x14ac:dyDescent="0.25"/>
    <row r="1971" s="19" customFormat="1" x14ac:dyDescent="0.25"/>
    <row r="1972" s="19" customFormat="1" x14ac:dyDescent="0.25"/>
    <row r="1973" s="19" customFormat="1" x14ac:dyDescent="0.25"/>
    <row r="1974" s="19" customFormat="1" x14ac:dyDescent="0.25"/>
    <row r="1975" s="19" customFormat="1" x14ac:dyDescent="0.25"/>
    <row r="1976" s="19" customFormat="1" x14ac:dyDescent="0.25"/>
    <row r="1977" s="19" customFormat="1" x14ac:dyDescent="0.25"/>
    <row r="1978" s="19" customFormat="1" x14ac:dyDescent="0.25"/>
    <row r="1979" s="19" customFormat="1" x14ac:dyDescent="0.25"/>
    <row r="1980" s="19" customFormat="1" x14ac:dyDescent="0.25"/>
    <row r="1981" s="19" customFormat="1" x14ac:dyDescent="0.25"/>
    <row r="1982" s="19" customFormat="1" x14ac:dyDescent="0.25"/>
    <row r="1983" s="19" customFormat="1" x14ac:dyDescent="0.25"/>
    <row r="1984" s="19" customFormat="1" x14ac:dyDescent="0.25"/>
    <row r="1985" s="19" customFormat="1" x14ac:dyDescent="0.25"/>
    <row r="1986" s="19" customFormat="1" x14ac:dyDescent="0.25"/>
    <row r="1987" s="19" customFormat="1" x14ac:dyDescent="0.25"/>
    <row r="1988" s="19" customFormat="1" x14ac:dyDescent="0.25"/>
    <row r="1989" s="19" customFormat="1" x14ac:dyDescent="0.25"/>
    <row r="1990" s="19" customFormat="1" x14ac:dyDescent="0.25"/>
    <row r="1991" s="19" customFormat="1" x14ac:dyDescent="0.25"/>
    <row r="1992" s="19" customFormat="1" x14ac:dyDescent="0.25"/>
    <row r="1993" s="19" customFormat="1" x14ac:dyDescent="0.25"/>
    <row r="1994" s="19" customFormat="1" x14ac:dyDescent="0.25"/>
    <row r="1995" s="19" customFormat="1" x14ac:dyDescent="0.25"/>
    <row r="1996" s="19" customFormat="1" x14ac:dyDescent="0.25"/>
    <row r="1997" s="19" customFormat="1" x14ac:dyDescent="0.25"/>
    <row r="1998" s="19" customFormat="1" x14ac:dyDescent="0.25"/>
    <row r="1999" s="19" customFormat="1" x14ac:dyDescent="0.25"/>
    <row r="2000" s="19" customFormat="1" x14ac:dyDescent="0.25"/>
    <row r="2001" s="19" customFormat="1" x14ac:dyDescent="0.25"/>
    <row r="2002" s="19" customFormat="1" x14ac:dyDescent="0.25"/>
    <row r="2003" s="19" customFormat="1" x14ac:dyDescent="0.25"/>
    <row r="2004" s="19" customFormat="1" x14ac:dyDescent="0.25"/>
    <row r="2005" s="19" customFormat="1" x14ac:dyDescent="0.25"/>
    <row r="2006" s="19" customFormat="1" x14ac:dyDescent="0.25"/>
    <row r="2007" s="19" customFormat="1" x14ac:dyDescent="0.25"/>
    <row r="2008" s="19" customFormat="1" x14ac:dyDescent="0.25"/>
    <row r="2009" s="19" customFormat="1" x14ac:dyDescent="0.25"/>
    <row r="2010" s="19" customFormat="1" x14ac:dyDescent="0.25"/>
    <row r="2011" s="19" customFormat="1" x14ac:dyDescent="0.25"/>
    <row r="2012" s="19" customFormat="1" x14ac:dyDescent="0.25"/>
    <row r="2013" s="19" customFormat="1" x14ac:dyDescent="0.25"/>
    <row r="2014" s="19" customFormat="1" x14ac:dyDescent="0.25"/>
    <row r="2015" s="19" customFormat="1" x14ac:dyDescent="0.25"/>
    <row r="2016" s="19" customFormat="1" x14ac:dyDescent="0.25"/>
    <row r="2017" s="19" customFormat="1" x14ac:dyDescent="0.25"/>
  </sheetData>
  <mergeCells count="569">
    <mergeCell ref="A316:M316"/>
    <mergeCell ref="A281:O281"/>
    <mergeCell ref="A315:O315"/>
    <mergeCell ref="A332:O332"/>
    <mergeCell ref="A348:O348"/>
    <mergeCell ref="A17:E17"/>
    <mergeCell ref="C109:J109"/>
    <mergeCell ref="C124:J124"/>
    <mergeCell ref="C140:J140"/>
    <mergeCell ref="A233:J233"/>
    <mergeCell ref="E91:I91"/>
    <mergeCell ref="A232:F232"/>
    <mergeCell ref="A174:G174"/>
    <mergeCell ref="A95:F95"/>
    <mergeCell ref="A96:F96"/>
    <mergeCell ref="A188:G188"/>
    <mergeCell ref="A199:G199"/>
    <mergeCell ref="A222:J222"/>
    <mergeCell ref="A796:F796"/>
    <mergeCell ref="A1263:G1263"/>
    <mergeCell ref="A1695:G1695"/>
    <mergeCell ref="A802:G802"/>
    <mergeCell ref="A1493:G1493"/>
    <mergeCell ref="A1261:G1261"/>
    <mergeCell ref="A1575:F1575"/>
    <mergeCell ref="A1262:G1262"/>
    <mergeCell ref="A1573:F1573"/>
    <mergeCell ref="A1571:F1571"/>
    <mergeCell ref="A1464:D1464"/>
    <mergeCell ref="A1451:H1451"/>
    <mergeCell ref="A1449:H1449"/>
    <mergeCell ref="A1450:H1450"/>
    <mergeCell ref="A803:G803"/>
    <mergeCell ref="A1418:E1418"/>
    <mergeCell ref="A939:N939"/>
    <mergeCell ref="A623:H623"/>
    <mergeCell ref="A5:AF5"/>
    <mergeCell ref="AG5:BL5"/>
    <mergeCell ref="A798:F798"/>
    <mergeCell ref="A398:G398"/>
    <mergeCell ref="A1574:F1574"/>
    <mergeCell ref="A513:F513"/>
    <mergeCell ref="A450:F450"/>
    <mergeCell ref="A498:F498"/>
    <mergeCell ref="A404:G404"/>
    <mergeCell ref="A638:D638"/>
    <mergeCell ref="A806:G806"/>
    <mergeCell ref="A804:G804"/>
    <mergeCell ref="A1572:F1572"/>
    <mergeCell ref="A415:F415"/>
    <mergeCell ref="A431:F431"/>
    <mergeCell ref="A800:G800"/>
    <mergeCell ref="A1402:E1402"/>
    <mergeCell ref="A1260:G1260"/>
    <mergeCell ref="A650:E650"/>
    <mergeCell ref="A799:F799"/>
    <mergeCell ref="A712:J712"/>
    <mergeCell ref="A698:J698"/>
    <mergeCell ref="A801:G801"/>
    <mergeCell ref="HQ5:IV5"/>
    <mergeCell ref="IW5:KB5"/>
    <mergeCell ref="KC5:LH5"/>
    <mergeCell ref="LI5:MN5"/>
    <mergeCell ref="MO5:NT5"/>
    <mergeCell ref="BM5:CR5"/>
    <mergeCell ref="CS5:DX5"/>
    <mergeCell ref="DY5:FD5"/>
    <mergeCell ref="FE5:GJ5"/>
    <mergeCell ref="GK5:HP5"/>
    <mergeCell ref="TY5:VD5"/>
    <mergeCell ref="VE5:WJ5"/>
    <mergeCell ref="WK5:XP5"/>
    <mergeCell ref="XQ5:YV5"/>
    <mergeCell ref="YW5:AAB5"/>
    <mergeCell ref="NU5:OZ5"/>
    <mergeCell ref="PA5:QF5"/>
    <mergeCell ref="QG5:RL5"/>
    <mergeCell ref="RM5:SR5"/>
    <mergeCell ref="SS5:TX5"/>
    <mergeCell ref="AGG5:AHL5"/>
    <mergeCell ref="AHM5:AIR5"/>
    <mergeCell ref="AIS5:AJX5"/>
    <mergeCell ref="AJY5:ALD5"/>
    <mergeCell ref="ALE5:AMJ5"/>
    <mergeCell ref="AAC5:ABH5"/>
    <mergeCell ref="ABI5:ACN5"/>
    <mergeCell ref="ACO5:ADT5"/>
    <mergeCell ref="ADU5:AEZ5"/>
    <mergeCell ref="AFA5:AGF5"/>
    <mergeCell ref="ASO5:ATT5"/>
    <mergeCell ref="ATU5:AUZ5"/>
    <mergeCell ref="AVA5:AWF5"/>
    <mergeCell ref="AWG5:AXL5"/>
    <mergeCell ref="AXM5:AYR5"/>
    <mergeCell ref="AMK5:ANP5"/>
    <mergeCell ref="ANQ5:AOV5"/>
    <mergeCell ref="AOW5:AQB5"/>
    <mergeCell ref="AQC5:ARH5"/>
    <mergeCell ref="ARI5:ASN5"/>
    <mergeCell ref="BEW5:BGB5"/>
    <mergeCell ref="BGC5:BHH5"/>
    <mergeCell ref="BHI5:BIN5"/>
    <mergeCell ref="BIO5:BJT5"/>
    <mergeCell ref="BJU5:BKZ5"/>
    <mergeCell ref="AYS5:AZX5"/>
    <mergeCell ref="AZY5:BBD5"/>
    <mergeCell ref="BBE5:BCJ5"/>
    <mergeCell ref="BCK5:BDP5"/>
    <mergeCell ref="BDQ5:BEV5"/>
    <mergeCell ref="BRE5:BSJ5"/>
    <mergeCell ref="BSK5:BTP5"/>
    <mergeCell ref="BTQ5:BUV5"/>
    <mergeCell ref="BUW5:BWB5"/>
    <mergeCell ref="BWC5:BXH5"/>
    <mergeCell ref="BLA5:BMF5"/>
    <mergeCell ref="BMG5:BNL5"/>
    <mergeCell ref="BNM5:BOR5"/>
    <mergeCell ref="BOS5:BPX5"/>
    <mergeCell ref="BPY5:BRD5"/>
    <mergeCell ref="CDM5:CER5"/>
    <mergeCell ref="CES5:CFX5"/>
    <mergeCell ref="CFY5:CHD5"/>
    <mergeCell ref="CHE5:CIJ5"/>
    <mergeCell ref="CIK5:CJP5"/>
    <mergeCell ref="BXI5:BYN5"/>
    <mergeCell ref="BYO5:BZT5"/>
    <mergeCell ref="BZU5:CAZ5"/>
    <mergeCell ref="CBA5:CCF5"/>
    <mergeCell ref="CCG5:CDL5"/>
    <mergeCell ref="CPU5:CQZ5"/>
    <mergeCell ref="CRA5:CSF5"/>
    <mergeCell ref="CSG5:CTL5"/>
    <mergeCell ref="CTM5:CUR5"/>
    <mergeCell ref="CUS5:CVX5"/>
    <mergeCell ref="CJQ5:CKV5"/>
    <mergeCell ref="CKW5:CMB5"/>
    <mergeCell ref="CMC5:CNH5"/>
    <mergeCell ref="CNI5:CON5"/>
    <mergeCell ref="COO5:CPT5"/>
    <mergeCell ref="DCC5:DDH5"/>
    <mergeCell ref="DDI5:DEN5"/>
    <mergeCell ref="DEO5:DFT5"/>
    <mergeCell ref="DFU5:DGZ5"/>
    <mergeCell ref="DHA5:DIF5"/>
    <mergeCell ref="CVY5:CXD5"/>
    <mergeCell ref="CXE5:CYJ5"/>
    <mergeCell ref="CYK5:CZP5"/>
    <mergeCell ref="CZQ5:DAV5"/>
    <mergeCell ref="DAW5:DCB5"/>
    <mergeCell ref="DOK5:DPP5"/>
    <mergeCell ref="DPQ5:DQV5"/>
    <mergeCell ref="DQW5:DSB5"/>
    <mergeCell ref="DSC5:DTH5"/>
    <mergeCell ref="DTI5:DUN5"/>
    <mergeCell ref="DIG5:DJL5"/>
    <mergeCell ref="DJM5:DKR5"/>
    <mergeCell ref="DKS5:DLX5"/>
    <mergeCell ref="DLY5:DND5"/>
    <mergeCell ref="DNE5:DOJ5"/>
    <mergeCell ref="EAS5:EBX5"/>
    <mergeCell ref="EBY5:EDD5"/>
    <mergeCell ref="EDE5:EEJ5"/>
    <mergeCell ref="EEK5:EFP5"/>
    <mergeCell ref="EFQ5:EGV5"/>
    <mergeCell ref="DUO5:DVT5"/>
    <mergeCell ref="DVU5:DWZ5"/>
    <mergeCell ref="DXA5:DYF5"/>
    <mergeCell ref="DYG5:DZL5"/>
    <mergeCell ref="DZM5:EAR5"/>
    <mergeCell ref="ENA5:EOF5"/>
    <mergeCell ref="EOG5:EPL5"/>
    <mergeCell ref="EPM5:EQR5"/>
    <mergeCell ref="EQS5:ERX5"/>
    <mergeCell ref="ERY5:ETD5"/>
    <mergeCell ref="EGW5:EIB5"/>
    <mergeCell ref="EIC5:EJH5"/>
    <mergeCell ref="EJI5:EKN5"/>
    <mergeCell ref="EKO5:ELT5"/>
    <mergeCell ref="ELU5:EMZ5"/>
    <mergeCell ref="EZI5:FAN5"/>
    <mergeCell ref="FAO5:FBT5"/>
    <mergeCell ref="FBU5:FCZ5"/>
    <mergeCell ref="FDA5:FEF5"/>
    <mergeCell ref="FEG5:FFL5"/>
    <mergeCell ref="ETE5:EUJ5"/>
    <mergeCell ref="EUK5:EVP5"/>
    <mergeCell ref="EVQ5:EWV5"/>
    <mergeCell ref="EWW5:EYB5"/>
    <mergeCell ref="EYC5:EZH5"/>
    <mergeCell ref="FLQ5:FMV5"/>
    <mergeCell ref="FMW5:FOB5"/>
    <mergeCell ref="FOC5:FPH5"/>
    <mergeCell ref="FPI5:FQN5"/>
    <mergeCell ref="FQO5:FRT5"/>
    <mergeCell ref="FFM5:FGR5"/>
    <mergeCell ref="FGS5:FHX5"/>
    <mergeCell ref="FHY5:FJD5"/>
    <mergeCell ref="FJE5:FKJ5"/>
    <mergeCell ref="FKK5:FLP5"/>
    <mergeCell ref="FXY5:FZD5"/>
    <mergeCell ref="FZE5:GAJ5"/>
    <mergeCell ref="GAK5:GBP5"/>
    <mergeCell ref="GBQ5:GCV5"/>
    <mergeCell ref="GCW5:GEB5"/>
    <mergeCell ref="FRU5:FSZ5"/>
    <mergeCell ref="FTA5:FUF5"/>
    <mergeCell ref="FUG5:FVL5"/>
    <mergeCell ref="FVM5:FWR5"/>
    <mergeCell ref="FWS5:FXX5"/>
    <mergeCell ref="GKG5:GLL5"/>
    <mergeCell ref="GLM5:GMR5"/>
    <mergeCell ref="GMS5:GNX5"/>
    <mergeCell ref="GNY5:GPD5"/>
    <mergeCell ref="GPE5:GQJ5"/>
    <mergeCell ref="GEC5:GFH5"/>
    <mergeCell ref="GFI5:GGN5"/>
    <mergeCell ref="GGO5:GHT5"/>
    <mergeCell ref="GHU5:GIZ5"/>
    <mergeCell ref="GJA5:GKF5"/>
    <mergeCell ref="GWO5:GXT5"/>
    <mergeCell ref="GXU5:GYZ5"/>
    <mergeCell ref="GZA5:HAF5"/>
    <mergeCell ref="HAG5:HBL5"/>
    <mergeCell ref="HBM5:HCR5"/>
    <mergeCell ref="GQK5:GRP5"/>
    <mergeCell ref="GRQ5:GSV5"/>
    <mergeCell ref="GSW5:GUB5"/>
    <mergeCell ref="GUC5:GVH5"/>
    <mergeCell ref="GVI5:GWN5"/>
    <mergeCell ref="HIW5:HKB5"/>
    <mergeCell ref="HKC5:HLH5"/>
    <mergeCell ref="HLI5:HMN5"/>
    <mergeCell ref="HMO5:HNT5"/>
    <mergeCell ref="HNU5:HOZ5"/>
    <mergeCell ref="HCS5:HDX5"/>
    <mergeCell ref="HDY5:HFD5"/>
    <mergeCell ref="HFE5:HGJ5"/>
    <mergeCell ref="HGK5:HHP5"/>
    <mergeCell ref="HHQ5:HIV5"/>
    <mergeCell ref="HVE5:HWJ5"/>
    <mergeCell ref="HWK5:HXP5"/>
    <mergeCell ref="HXQ5:HYV5"/>
    <mergeCell ref="HYW5:IAB5"/>
    <mergeCell ref="IAC5:IBH5"/>
    <mergeCell ref="HPA5:HQF5"/>
    <mergeCell ref="HQG5:HRL5"/>
    <mergeCell ref="HRM5:HSR5"/>
    <mergeCell ref="HSS5:HTX5"/>
    <mergeCell ref="HTY5:HVD5"/>
    <mergeCell ref="IHM5:IIR5"/>
    <mergeCell ref="IIS5:IJX5"/>
    <mergeCell ref="IJY5:ILD5"/>
    <mergeCell ref="ILE5:IMJ5"/>
    <mergeCell ref="IMK5:INP5"/>
    <mergeCell ref="IBI5:ICN5"/>
    <mergeCell ref="ICO5:IDT5"/>
    <mergeCell ref="IDU5:IEZ5"/>
    <mergeCell ref="IFA5:IGF5"/>
    <mergeCell ref="IGG5:IHL5"/>
    <mergeCell ref="ITU5:IUZ5"/>
    <mergeCell ref="IVA5:IWF5"/>
    <mergeCell ref="IWG5:IXL5"/>
    <mergeCell ref="IXM5:IYR5"/>
    <mergeCell ref="IYS5:IZX5"/>
    <mergeCell ref="INQ5:IOV5"/>
    <mergeCell ref="IOW5:IQB5"/>
    <mergeCell ref="IQC5:IRH5"/>
    <mergeCell ref="IRI5:ISN5"/>
    <mergeCell ref="ISO5:ITT5"/>
    <mergeCell ref="JGC5:JHH5"/>
    <mergeCell ref="JHI5:JIN5"/>
    <mergeCell ref="JIO5:JJT5"/>
    <mergeCell ref="JJU5:JKZ5"/>
    <mergeCell ref="JLA5:JMF5"/>
    <mergeCell ref="IZY5:JBD5"/>
    <mergeCell ref="JBE5:JCJ5"/>
    <mergeCell ref="JCK5:JDP5"/>
    <mergeCell ref="JDQ5:JEV5"/>
    <mergeCell ref="JEW5:JGB5"/>
    <mergeCell ref="JSK5:JTP5"/>
    <mergeCell ref="JTQ5:JUV5"/>
    <mergeCell ref="JUW5:JWB5"/>
    <mergeCell ref="JWC5:JXH5"/>
    <mergeCell ref="JXI5:JYN5"/>
    <mergeCell ref="JMG5:JNL5"/>
    <mergeCell ref="JNM5:JOR5"/>
    <mergeCell ref="JOS5:JPX5"/>
    <mergeCell ref="JPY5:JRD5"/>
    <mergeCell ref="JRE5:JSJ5"/>
    <mergeCell ref="KES5:KFX5"/>
    <mergeCell ref="KFY5:KHD5"/>
    <mergeCell ref="KHE5:KIJ5"/>
    <mergeCell ref="KIK5:KJP5"/>
    <mergeCell ref="KJQ5:KKV5"/>
    <mergeCell ref="JYO5:JZT5"/>
    <mergeCell ref="JZU5:KAZ5"/>
    <mergeCell ref="KBA5:KCF5"/>
    <mergeCell ref="KCG5:KDL5"/>
    <mergeCell ref="KDM5:KER5"/>
    <mergeCell ref="KRA5:KSF5"/>
    <mergeCell ref="KSG5:KTL5"/>
    <mergeCell ref="KTM5:KUR5"/>
    <mergeCell ref="KUS5:KVX5"/>
    <mergeCell ref="KVY5:KXD5"/>
    <mergeCell ref="KKW5:KMB5"/>
    <mergeCell ref="KMC5:KNH5"/>
    <mergeCell ref="KNI5:KON5"/>
    <mergeCell ref="KOO5:KPT5"/>
    <mergeCell ref="KPU5:KQZ5"/>
    <mergeCell ref="LDI5:LEN5"/>
    <mergeCell ref="LEO5:LFT5"/>
    <mergeCell ref="LFU5:LGZ5"/>
    <mergeCell ref="LHA5:LIF5"/>
    <mergeCell ref="LIG5:LJL5"/>
    <mergeCell ref="KXE5:KYJ5"/>
    <mergeCell ref="KYK5:KZP5"/>
    <mergeCell ref="KZQ5:LAV5"/>
    <mergeCell ref="LAW5:LCB5"/>
    <mergeCell ref="LCC5:LDH5"/>
    <mergeCell ref="LPQ5:LQV5"/>
    <mergeCell ref="LQW5:LSB5"/>
    <mergeCell ref="LSC5:LTH5"/>
    <mergeCell ref="LTI5:LUN5"/>
    <mergeCell ref="LUO5:LVT5"/>
    <mergeCell ref="LJM5:LKR5"/>
    <mergeCell ref="LKS5:LLX5"/>
    <mergeCell ref="LLY5:LND5"/>
    <mergeCell ref="LNE5:LOJ5"/>
    <mergeCell ref="LOK5:LPP5"/>
    <mergeCell ref="MBY5:MDD5"/>
    <mergeCell ref="MDE5:MEJ5"/>
    <mergeCell ref="MEK5:MFP5"/>
    <mergeCell ref="MFQ5:MGV5"/>
    <mergeCell ref="MGW5:MIB5"/>
    <mergeCell ref="LVU5:LWZ5"/>
    <mergeCell ref="LXA5:LYF5"/>
    <mergeCell ref="LYG5:LZL5"/>
    <mergeCell ref="LZM5:MAR5"/>
    <mergeCell ref="MAS5:MBX5"/>
    <mergeCell ref="MOG5:MPL5"/>
    <mergeCell ref="MPM5:MQR5"/>
    <mergeCell ref="MQS5:MRX5"/>
    <mergeCell ref="MRY5:MTD5"/>
    <mergeCell ref="MTE5:MUJ5"/>
    <mergeCell ref="MIC5:MJH5"/>
    <mergeCell ref="MJI5:MKN5"/>
    <mergeCell ref="MKO5:MLT5"/>
    <mergeCell ref="MLU5:MMZ5"/>
    <mergeCell ref="MNA5:MOF5"/>
    <mergeCell ref="NAO5:NBT5"/>
    <mergeCell ref="NBU5:NCZ5"/>
    <mergeCell ref="NDA5:NEF5"/>
    <mergeCell ref="NEG5:NFL5"/>
    <mergeCell ref="NFM5:NGR5"/>
    <mergeCell ref="MUK5:MVP5"/>
    <mergeCell ref="MVQ5:MWV5"/>
    <mergeCell ref="MWW5:MYB5"/>
    <mergeCell ref="MYC5:MZH5"/>
    <mergeCell ref="MZI5:NAN5"/>
    <mergeCell ref="NMW5:NOB5"/>
    <mergeCell ref="NOC5:NPH5"/>
    <mergeCell ref="NPI5:NQN5"/>
    <mergeCell ref="NQO5:NRT5"/>
    <mergeCell ref="NRU5:NSZ5"/>
    <mergeCell ref="NGS5:NHX5"/>
    <mergeCell ref="NHY5:NJD5"/>
    <mergeCell ref="NJE5:NKJ5"/>
    <mergeCell ref="NKK5:NLP5"/>
    <mergeCell ref="NLQ5:NMV5"/>
    <mergeCell ref="NZE5:OAJ5"/>
    <mergeCell ref="OAK5:OBP5"/>
    <mergeCell ref="OBQ5:OCV5"/>
    <mergeCell ref="OCW5:OEB5"/>
    <mergeCell ref="OEC5:OFH5"/>
    <mergeCell ref="NTA5:NUF5"/>
    <mergeCell ref="NUG5:NVL5"/>
    <mergeCell ref="NVM5:NWR5"/>
    <mergeCell ref="NWS5:NXX5"/>
    <mergeCell ref="NXY5:NZD5"/>
    <mergeCell ref="OLM5:OMR5"/>
    <mergeCell ref="OMS5:ONX5"/>
    <mergeCell ref="ONY5:OPD5"/>
    <mergeCell ref="OPE5:OQJ5"/>
    <mergeCell ref="OQK5:ORP5"/>
    <mergeCell ref="OFI5:OGN5"/>
    <mergeCell ref="OGO5:OHT5"/>
    <mergeCell ref="OHU5:OIZ5"/>
    <mergeCell ref="OJA5:OKF5"/>
    <mergeCell ref="OKG5:OLL5"/>
    <mergeCell ref="OXU5:OYZ5"/>
    <mergeCell ref="OZA5:PAF5"/>
    <mergeCell ref="PAG5:PBL5"/>
    <mergeCell ref="PBM5:PCR5"/>
    <mergeCell ref="PCS5:PDX5"/>
    <mergeCell ref="ORQ5:OSV5"/>
    <mergeCell ref="OSW5:OUB5"/>
    <mergeCell ref="OUC5:OVH5"/>
    <mergeCell ref="OVI5:OWN5"/>
    <mergeCell ref="OWO5:OXT5"/>
    <mergeCell ref="PKC5:PLH5"/>
    <mergeCell ref="PLI5:PMN5"/>
    <mergeCell ref="PMO5:PNT5"/>
    <mergeCell ref="PNU5:POZ5"/>
    <mergeCell ref="PPA5:PQF5"/>
    <mergeCell ref="PDY5:PFD5"/>
    <mergeCell ref="PFE5:PGJ5"/>
    <mergeCell ref="PGK5:PHP5"/>
    <mergeCell ref="PHQ5:PIV5"/>
    <mergeCell ref="PIW5:PKB5"/>
    <mergeCell ref="PWK5:PXP5"/>
    <mergeCell ref="PXQ5:PYV5"/>
    <mergeCell ref="PYW5:QAB5"/>
    <mergeCell ref="QAC5:QBH5"/>
    <mergeCell ref="QBI5:QCN5"/>
    <mergeCell ref="PQG5:PRL5"/>
    <mergeCell ref="PRM5:PSR5"/>
    <mergeCell ref="PSS5:PTX5"/>
    <mergeCell ref="PTY5:PVD5"/>
    <mergeCell ref="PVE5:PWJ5"/>
    <mergeCell ref="QIS5:QJX5"/>
    <mergeCell ref="QJY5:QLD5"/>
    <mergeCell ref="QLE5:QMJ5"/>
    <mergeCell ref="QMK5:QNP5"/>
    <mergeCell ref="QNQ5:QOV5"/>
    <mergeCell ref="QCO5:QDT5"/>
    <mergeCell ref="QDU5:QEZ5"/>
    <mergeCell ref="QFA5:QGF5"/>
    <mergeCell ref="QGG5:QHL5"/>
    <mergeCell ref="QHM5:QIR5"/>
    <mergeCell ref="QVA5:QWF5"/>
    <mergeCell ref="QWG5:QXL5"/>
    <mergeCell ref="QXM5:QYR5"/>
    <mergeCell ref="QYS5:QZX5"/>
    <mergeCell ref="QZY5:RBD5"/>
    <mergeCell ref="QOW5:QQB5"/>
    <mergeCell ref="QQC5:QRH5"/>
    <mergeCell ref="QRI5:QSN5"/>
    <mergeCell ref="QSO5:QTT5"/>
    <mergeCell ref="QTU5:QUZ5"/>
    <mergeCell ref="RHI5:RIN5"/>
    <mergeCell ref="RIO5:RJT5"/>
    <mergeCell ref="RJU5:RKZ5"/>
    <mergeCell ref="RLA5:RMF5"/>
    <mergeCell ref="RMG5:RNL5"/>
    <mergeCell ref="RBE5:RCJ5"/>
    <mergeCell ref="RCK5:RDP5"/>
    <mergeCell ref="RDQ5:REV5"/>
    <mergeCell ref="REW5:RGB5"/>
    <mergeCell ref="RGC5:RHH5"/>
    <mergeCell ref="RTQ5:RUV5"/>
    <mergeCell ref="RUW5:RWB5"/>
    <mergeCell ref="RWC5:RXH5"/>
    <mergeCell ref="RXI5:RYN5"/>
    <mergeCell ref="RYO5:RZT5"/>
    <mergeCell ref="RNM5:ROR5"/>
    <mergeCell ref="ROS5:RPX5"/>
    <mergeCell ref="RPY5:RRD5"/>
    <mergeCell ref="RRE5:RSJ5"/>
    <mergeCell ref="RSK5:RTP5"/>
    <mergeCell ref="SFY5:SHD5"/>
    <mergeCell ref="SHE5:SIJ5"/>
    <mergeCell ref="SIK5:SJP5"/>
    <mergeCell ref="SJQ5:SKV5"/>
    <mergeCell ref="SKW5:SMB5"/>
    <mergeCell ref="RZU5:SAZ5"/>
    <mergeCell ref="SBA5:SCF5"/>
    <mergeCell ref="SCG5:SDL5"/>
    <mergeCell ref="SDM5:SER5"/>
    <mergeCell ref="SES5:SFX5"/>
    <mergeCell ref="SSG5:STL5"/>
    <mergeCell ref="STM5:SUR5"/>
    <mergeCell ref="SUS5:SVX5"/>
    <mergeCell ref="SVY5:SXD5"/>
    <mergeCell ref="SXE5:SYJ5"/>
    <mergeCell ref="SMC5:SNH5"/>
    <mergeCell ref="SNI5:SON5"/>
    <mergeCell ref="SOO5:SPT5"/>
    <mergeCell ref="SPU5:SQZ5"/>
    <mergeCell ref="SRA5:SSF5"/>
    <mergeCell ref="TEO5:TFT5"/>
    <mergeCell ref="TFU5:TGZ5"/>
    <mergeCell ref="THA5:TIF5"/>
    <mergeCell ref="TIG5:TJL5"/>
    <mergeCell ref="TJM5:TKR5"/>
    <mergeCell ref="SYK5:SZP5"/>
    <mergeCell ref="SZQ5:TAV5"/>
    <mergeCell ref="TAW5:TCB5"/>
    <mergeCell ref="TCC5:TDH5"/>
    <mergeCell ref="TDI5:TEN5"/>
    <mergeCell ref="TQW5:TSB5"/>
    <mergeCell ref="TSC5:TTH5"/>
    <mergeCell ref="TTI5:TUN5"/>
    <mergeCell ref="TUO5:TVT5"/>
    <mergeCell ref="TVU5:TWZ5"/>
    <mergeCell ref="TKS5:TLX5"/>
    <mergeCell ref="TLY5:TND5"/>
    <mergeCell ref="TNE5:TOJ5"/>
    <mergeCell ref="TOK5:TPP5"/>
    <mergeCell ref="TPQ5:TQV5"/>
    <mergeCell ref="UDE5:UEJ5"/>
    <mergeCell ref="UEK5:UFP5"/>
    <mergeCell ref="UFQ5:UGV5"/>
    <mergeCell ref="UGW5:UIB5"/>
    <mergeCell ref="UIC5:UJH5"/>
    <mergeCell ref="TXA5:TYF5"/>
    <mergeCell ref="TYG5:TZL5"/>
    <mergeCell ref="TZM5:UAR5"/>
    <mergeCell ref="UAS5:UBX5"/>
    <mergeCell ref="UBY5:UDD5"/>
    <mergeCell ref="UPM5:UQR5"/>
    <mergeCell ref="UQS5:URX5"/>
    <mergeCell ref="URY5:UTD5"/>
    <mergeCell ref="UTE5:UUJ5"/>
    <mergeCell ref="UUK5:UVP5"/>
    <mergeCell ref="UJI5:UKN5"/>
    <mergeCell ref="UKO5:ULT5"/>
    <mergeCell ref="ULU5:UMZ5"/>
    <mergeCell ref="UNA5:UOF5"/>
    <mergeCell ref="UOG5:UPL5"/>
    <mergeCell ref="VBU5:VCZ5"/>
    <mergeCell ref="VDA5:VEF5"/>
    <mergeCell ref="VEG5:VFL5"/>
    <mergeCell ref="VFM5:VGR5"/>
    <mergeCell ref="VGS5:VHX5"/>
    <mergeCell ref="UVQ5:UWV5"/>
    <mergeCell ref="UWW5:UYB5"/>
    <mergeCell ref="UYC5:UZH5"/>
    <mergeCell ref="UZI5:VAN5"/>
    <mergeCell ref="VAO5:VBT5"/>
    <mergeCell ref="VOC5:VPH5"/>
    <mergeCell ref="VPI5:VQN5"/>
    <mergeCell ref="VQO5:VRT5"/>
    <mergeCell ref="VRU5:VSZ5"/>
    <mergeCell ref="VTA5:VUF5"/>
    <mergeCell ref="VHY5:VJD5"/>
    <mergeCell ref="VJE5:VKJ5"/>
    <mergeCell ref="VKK5:VLP5"/>
    <mergeCell ref="VLQ5:VMV5"/>
    <mergeCell ref="VMW5:VOB5"/>
    <mergeCell ref="WAK5:WBP5"/>
    <mergeCell ref="WBQ5:WCV5"/>
    <mergeCell ref="WCW5:WEB5"/>
    <mergeCell ref="WEC5:WFH5"/>
    <mergeCell ref="WFI5:WGN5"/>
    <mergeCell ref="VUG5:VVL5"/>
    <mergeCell ref="VVM5:VWR5"/>
    <mergeCell ref="VWS5:VXX5"/>
    <mergeCell ref="VXY5:VZD5"/>
    <mergeCell ref="VZE5:WAJ5"/>
    <mergeCell ref="WMS5:WNX5"/>
    <mergeCell ref="WNY5:WPD5"/>
    <mergeCell ref="WPE5:WQJ5"/>
    <mergeCell ref="WQK5:WRP5"/>
    <mergeCell ref="WRQ5:WSV5"/>
    <mergeCell ref="WGO5:WHT5"/>
    <mergeCell ref="WHU5:WIZ5"/>
    <mergeCell ref="WJA5:WKF5"/>
    <mergeCell ref="WKG5:WLL5"/>
    <mergeCell ref="WLM5:WMR5"/>
    <mergeCell ref="WZA5:XAF5"/>
    <mergeCell ref="XAG5:XBL5"/>
    <mergeCell ref="XBM5:XCR5"/>
    <mergeCell ref="XCS5:XDX5"/>
    <mergeCell ref="XDY5:XFD5"/>
    <mergeCell ref="WSW5:WUB5"/>
    <mergeCell ref="WUC5:WVH5"/>
    <mergeCell ref="WVI5:WWN5"/>
    <mergeCell ref="WWO5:WXT5"/>
    <mergeCell ref="WXU5:WYZ5"/>
  </mergeCells>
  <phoneticPr fontId="13" type="noConversion"/>
  <pageMargins left="0.7" right="0.7" top="0.75" bottom="0.75" header="0.3" footer="0.3"/>
  <pageSetup paperSize="9" scale="10" orientation="landscape" r:id="rId1"/>
  <ignoredErrors>
    <ignoredError sqref="F1378 K948 E1889:F1889 H1609 H139 I409 I1397" formula="1"/>
    <ignoredError sqref="H1669 I673:K673 I704:J704 H732 H686 H1652 C717 I686:J686" unlockedFormula="1"/>
    <ignoredError sqref="C1458 H193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Adjustement data</vt:lpstr>
      <vt:lpstr>'Adjustement data'!Print_Area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 Ochoa</dc:creator>
  <cp:lastModifiedBy>Alberto Thais Parrilla Moruno</cp:lastModifiedBy>
  <cp:lastPrinted>2021-10-08T09:47:24Z</cp:lastPrinted>
  <dcterms:created xsi:type="dcterms:W3CDTF">2018-06-01T11:58:01Z</dcterms:created>
  <dcterms:modified xsi:type="dcterms:W3CDTF">2023-11-19T19:01:52Z</dcterms:modified>
</cp:coreProperties>
</file>