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tunadata\Compliance\2022_SharedDocs\ComplianceTables\COC-304-2022\"/>
    </mc:Choice>
  </mc:AlternateContent>
  <xr:revisionPtr revIDLastSave="0" documentId="13_ncr:1_{5261FE12-5210-4979-B19B-180CB4F92095}" xr6:coauthVersionLast="47" xr6:coauthVersionMax="47" xr10:uidLastSave="{00000000-0000-0000-0000-000000000000}"/>
  <bookViews>
    <workbookView xWindow="-120" yWindow="-120" windowWidth="29040" windowHeight="17640" xr2:uid="{00000000-000D-0000-FFFF-FFFF00000000}"/>
  </bookViews>
  <sheets>
    <sheet name="Adjustement data" sheetId="1" r:id="rId1"/>
  </sheets>
  <definedNames>
    <definedName name="_xlnm.Print_Area" localSheetId="0">'Adjustement data'!$A$1:$R$1511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48" i="1" l="1"/>
  <c r="H216" i="1" l="1"/>
  <c r="F216" i="1"/>
  <c r="E216" i="1"/>
  <c r="F1390" i="1" l="1"/>
  <c r="G1372" i="1"/>
  <c r="G1371" i="1" s="1"/>
  <c r="H1357" i="1" l="1"/>
  <c r="H1360" i="1" s="1"/>
  <c r="G1360" i="1"/>
  <c r="I1357" i="1" s="1"/>
  <c r="C1331" i="1"/>
  <c r="B1706" i="1" l="1"/>
  <c r="C1703" i="1" s="1"/>
  <c r="C1706" i="1" s="1"/>
  <c r="D1703" i="1" s="1"/>
  <c r="D1706" i="1" s="1"/>
  <c r="E1703" i="1" s="1"/>
  <c r="E1706" i="1" s="1"/>
  <c r="F1703" i="1" s="1"/>
  <c r="F1706" i="1" s="1"/>
  <c r="G1703" i="1" s="1"/>
  <c r="G1706" i="1" s="1"/>
  <c r="H1703" i="1" s="1"/>
  <c r="H1678" i="1"/>
  <c r="J1266" i="1" l="1"/>
  <c r="J1232" i="1"/>
  <c r="H1219" i="1"/>
  <c r="H144" i="1" l="1"/>
  <c r="I144" i="1"/>
  <c r="J144" i="1"/>
  <c r="D1577" i="1" l="1"/>
  <c r="C1580" i="1"/>
  <c r="D1567" i="1"/>
  <c r="C1570" i="1"/>
  <c r="C1538" i="1"/>
  <c r="D1523" i="1"/>
  <c r="C1522" i="1"/>
  <c r="H586" i="1"/>
  <c r="J583" i="1" s="1"/>
  <c r="I1119" i="1"/>
  <c r="I1099" i="1"/>
  <c r="I1102" i="1" s="1"/>
  <c r="J1099" i="1"/>
  <c r="J1084" i="1"/>
  <c r="H1087" i="1"/>
  <c r="I1084" i="1" s="1"/>
  <c r="I1087" i="1" s="1"/>
  <c r="I1073" i="1"/>
  <c r="I1076" i="1" s="1"/>
  <c r="J1073" i="1"/>
  <c r="I1064" i="1"/>
  <c r="I1054" i="1"/>
  <c r="I1041" i="1"/>
  <c r="I1044" i="1" s="1"/>
  <c r="G102" i="1"/>
  <c r="G105" i="1" s="1"/>
  <c r="H102" i="1"/>
  <c r="I102" i="1"/>
  <c r="G87" i="1"/>
  <c r="G90" i="1" s="1"/>
  <c r="I87" i="1"/>
  <c r="G73" i="1"/>
  <c r="G76" i="1" s="1"/>
  <c r="I73" i="1"/>
  <c r="G55" i="1"/>
  <c r="G58" i="1" s="1"/>
  <c r="F58" i="1"/>
  <c r="I55" i="1"/>
  <c r="H1643" i="1"/>
  <c r="H1298" i="1"/>
  <c r="H1624" i="1"/>
  <c r="G1611" i="1"/>
  <c r="I1589" i="1"/>
  <c r="H1589" i="1"/>
  <c r="H1592" i="1" s="1"/>
  <c r="G1492" i="1"/>
  <c r="H1489" i="1" s="1"/>
  <c r="H1492" i="1" s="1"/>
  <c r="I1489" i="1" s="1"/>
  <c r="I1492" i="1" s="1"/>
  <c r="J1489" i="1" s="1"/>
  <c r="J1473" i="1"/>
  <c r="G1476" i="1"/>
  <c r="H1473" i="1" s="1"/>
  <c r="H1476" i="1" s="1"/>
  <c r="I1473" i="1" s="1"/>
  <c r="I1476" i="1" s="1"/>
  <c r="I1462" i="1"/>
  <c r="I1431" i="1"/>
  <c r="H1431" i="1"/>
  <c r="H1434" i="1" s="1"/>
  <c r="E1416" i="1"/>
  <c r="E1419" i="1" s="1"/>
  <c r="G1416" i="1" s="1"/>
  <c r="G1419" i="1" s="1"/>
  <c r="C814" i="1"/>
  <c r="C817" i="1" s="1"/>
  <c r="D814" i="1" s="1"/>
  <c r="D817" i="1" s="1"/>
  <c r="E814" i="1" s="1"/>
  <c r="E817" i="1" s="1"/>
  <c r="F814" i="1" s="1"/>
  <c r="F817" i="1" s="1"/>
  <c r="G814" i="1" s="1"/>
  <c r="G817" i="1" s="1"/>
  <c r="H814" i="1" s="1"/>
  <c r="B807" i="1"/>
  <c r="C804" i="1" s="1"/>
  <c r="C807" i="1" s="1"/>
  <c r="D804" i="1" s="1"/>
  <c r="D807" i="1" s="1"/>
  <c r="E804" i="1" s="1"/>
  <c r="C783" i="1"/>
  <c r="C786" i="1" s="1"/>
  <c r="D783" i="1" s="1"/>
  <c r="D786" i="1" s="1"/>
  <c r="E783" i="1" s="1"/>
  <c r="E786" i="1" s="1"/>
  <c r="F783" i="1" s="1"/>
  <c r="F786" i="1" s="1"/>
  <c r="G783" i="1" s="1"/>
  <c r="G786" i="1" s="1"/>
  <c r="H783" i="1" s="1"/>
  <c r="B783" i="1"/>
  <c r="D558" i="1"/>
  <c r="C561" i="1"/>
  <c r="D453" i="1"/>
  <c r="E453" i="1"/>
  <c r="F453" i="1"/>
  <c r="C453" i="1"/>
  <c r="I422" i="1"/>
  <c r="I421" i="1"/>
  <c r="I407" i="1"/>
  <c r="I391" i="1"/>
  <c r="H393" i="1"/>
  <c r="I390" i="1" s="1"/>
  <c r="I373" i="1"/>
  <c r="J155" i="1"/>
  <c r="I155" i="1"/>
  <c r="I158" i="1" s="1"/>
  <c r="I147" i="1"/>
  <c r="I131" i="1"/>
  <c r="I134" i="1" s="1"/>
  <c r="J121" i="1"/>
  <c r="I121" i="1"/>
  <c r="I124" i="1" s="1"/>
  <c r="E34" i="1"/>
  <c r="F31" i="1" s="1"/>
  <c r="E23" i="1"/>
  <c r="C1030" i="1"/>
  <c r="O1010" i="1"/>
  <c r="O991" i="1"/>
  <c r="O962" i="1"/>
  <c r="N946" i="1"/>
  <c r="O943" i="1" s="1"/>
  <c r="O898" i="1"/>
  <c r="N901" i="1"/>
  <c r="N849" i="1"/>
  <c r="N829" i="1"/>
  <c r="I683" i="1"/>
  <c r="J609" i="1"/>
  <c r="I609" i="1"/>
  <c r="I612" i="1" s="1"/>
  <c r="B505" i="1"/>
  <c r="C502" i="1"/>
  <c r="C505" i="1" s="1"/>
  <c r="D502" i="1" s="1"/>
  <c r="D505" i="1" s="1"/>
  <c r="E502" i="1" s="1"/>
  <c r="E505" i="1" s="1"/>
  <c r="F502" i="1" s="1"/>
  <c r="F505" i="1" s="1"/>
  <c r="G502" i="1" s="1"/>
  <c r="G505" i="1" s="1"/>
  <c r="H502" i="1" s="1"/>
  <c r="B488" i="1"/>
  <c r="C485" i="1" s="1"/>
  <c r="C488" i="1" s="1"/>
  <c r="D485" i="1" s="1"/>
  <c r="D488" i="1" s="1"/>
  <c r="E485" i="1" s="1"/>
  <c r="E488" i="1" s="1"/>
  <c r="F485" i="1" s="1"/>
  <c r="F488" i="1" s="1"/>
  <c r="G485" i="1" s="1"/>
  <c r="G488" i="1" s="1"/>
  <c r="H485" i="1" s="1"/>
  <c r="H466" i="1"/>
  <c r="G466" i="1"/>
  <c r="G469" i="1" s="1"/>
  <c r="F466" i="1"/>
  <c r="F469" i="1" s="1"/>
  <c r="E466" i="1"/>
  <c r="E469" i="1" s="1"/>
  <c r="D466" i="1"/>
  <c r="D469" i="1" s="1"/>
  <c r="C466" i="1"/>
  <c r="C469" i="1" s="1"/>
  <c r="B466" i="1"/>
  <c r="B469" i="1" s="1"/>
  <c r="N297" i="1"/>
  <c r="N282" i="1"/>
  <c r="N235" i="1"/>
  <c r="I200" i="1"/>
  <c r="C548" i="1"/>
  <c r="D545" i="1" s="1"/>
  <c r="D548" i="1" s="1"/>
  <c r="E545" i="1" s="1"/>
  <c r="E548" i="1" s="1"/>
  <c r="F545" i="1" s="1"/>
  <c r="F548" i="1" s="1"/>
  <c r="G545" i="1" s="1"/>
  <c r="G548" i="1" s="1"/>
  <c r="H545" i="1" s="1"/>
  <c r="B548" i="1"/>
  <c r="I751" i="1"/>
  <c r="C751" i="1"/>
  <c r="C754" i="1" s="1"/>
  <c r="B754" i="1"/>
  <c r="H751" i="1"/>
  <c r="H754" i="1" s="1"/>
  <c r="E751" i="1"/>
  <c r="E754" i="1" s="1"/>
  <c r="G751" i="1" s="1"/>
  <c r="G754" i="1" s="1"/>
  <c r="E574" i="1"/>
  <c r="D574" i="1"/>
  <c r="I712" i="1"/>
  <c r="I715" i="1" s="1"/>
  <c r="I693" i="1"/>
  <c r="F1192" i="1"/>
  <c r="G1189" i="1" s="1"/>
  <c r="H1173" i="1"/>
  <c r="F1176" i="1"/>
  <c r="H1159" i="1"/>
  <c r="G1507" i="1"/>
  <c r="G1510" i="1" s="1"/>
  <c r="F1510" i="1"/>
  <c r="E1510" i="1"/>
  <c r="N962" i="1"/>
  <c r="N965" i="1" s="1"/>
  <c r="H422" i="1"/>
  <c r="H693" i="1"/>
  <c r="I342" i="1"/>
  <c r="J654" i="1"/>
  <c r="N250" i="1"/>
  <c r="J1041" i="1"/>
  <c r="H87" i="1"/>
  <c r="H73" i="1"/>
  <c r="H55" i="1"/>
  <c r="G1219" i="1"/>
  <c r="G1222" i="1" s="1"/>
  <c r="F1219" i="1"/>
  <c r="F1222" i="1" s="1"/>
  <c r="E1219" i="1"/>
  <c r="E1222" i="1" s="1"/>
  <c r="D1219" i="1"/>
  <c r="D1222" i="1" s="1"/>
  <c r="C1219" i="1"/>
  <c r="C1222" i="1" s="1"/>
  <c r="B1219" i="1"/>
  <c r="B1222" i="1" s="1"/>
  <c r="E1176" i="1"/>
  <c r="G1173" i="1" s="1"/>
  <c r="D1176" i="1"/>
  <c r="C1176" i="1"/>
  <c r="B1176" i="1"/>
  <c r="G1044" i="1"/>
  <c r="H1044" i="1"/>
  <c r="N1010" i="1"/>
  <c r="N991" i="1"/>
  <c r="M965" i="1"/>
  <c r="M901" i="1"/>
  <c r="D376" i="1"/>
  <c r="C376" i="1"/>
  <c r="C1405" i="1"/>
  <c r="D1402" i="1" s="1"/>
  <c r="D1405" i="1" s="1"/>
  <c r="E1402" i="1" s="1"/>
  <c r="C169" i="1"/>
  <c r="D166" i="1" s="1"/>
  <c r="D169" i="1" s="1"/>
  <c r="E166" i="1" s="1"/>
  <c r="C1691" i="1"/>
  <c r="C1694" i="1" s="1"/>
  <c r="D1691" i="1" s="1"/>
  <c r="D1694" i="1" s="1"/>
  <c r="E1694" i="1"/>
  <c r="F1691" i="1"/>
  <c r="F1694" i="1" s="1"/>
  <c r="G1691" i="1"/>
  <c r="G1694" i="1" s="1"/>
  <c r="B1691" i="1"/>
  <c r="B1694" i="1" s="1"/>
  <c r="G1678" i="1"/>
  <c r="G1681" i="1" s="1"/>
  <c r="F1678" i="1"/>
  <c r="F1681" i="1" s="1"/>
  <c r="E1678" i="1"/>
  <c r="E1681" i="1" s="1"/>
  <c r="D1678" i="1"/>
  <c r="D1681" i="1" s="1"/>
  <c r="C1678" i="1"/>
  <c r="C1681" i="1" s="1"/>
  <c r="B1678" i="1"/>
  <c r="B1681" i="1" s="1"/>
  <c r="B1665" i="1"/>
  <c r="C1662" i="1" s="1"/>
  <c r="C1665" i="1" s="1"/>
  <c r="D1662" i="1" s="1"/>
  <c r="D1665" i="1" s="1"/>
  <c r="E1662" i="1" s="1"/>
  <c r="E1665" i="1" s="1"/>
  <c r="F1662" i="1" s="1"/>
  <c r="F1665" i="1" s="1"/>
  <c r="G1662" i="1" s="1"/>
  <c r="G1665" i="1" s="1"/>
  <c r="H1662" i="1" s="1"/>
  <c r="G1643" i="1"/>
  <c r="E1611" i="1"/>
  <c r="F1611" i="1"/>
  <c r="G1592" i="1"/>
  <c r="H1459" i="1"/>
  <c r="H609" i="1"/>
  <c r="H612" i="1" s="1"/>
  <c r="F1372" i="1"/>
  <c r="F1371" i="1" s="1"/>
  <c r="F1374" i="1" s="1"/>
  <c r="G200" i="1"/>
  <c r="G203" i="1" s="1"/>
  <c r="F1315" i="1"/>
  <c r="F1318" i="1" s="1"/>
  <c r="G1159" i="1"/>
  <c r="F1159" i="1"/>
  <c r="F1162" i="1" s="1"/>
  <c r="H1131" i="1"/>
  <c r="G1131" i="1"/>
  <c r="H1119" i="1"/>
  <c r="H1099" i="1"/>
  <c r="H1102" i="1" s="1"/>
  <c r="H1064" i="1"/>
  <c r="H1054" i="1"/>
  <c r="J1051" i="1" s="1"/>
  <c r="G696" i="1"/>
  <c r="G715" i="1"/>
  <c r="C640" i="1"/>
  <c r="C643" i="1" s="1"/>
  <c r="H683" i="1"/>
  <c r="I668" i="1"/>
  <c r="I671" i="1" s="1"/>
  <c r="H671" i="1"/>
  <c r="B643" i="1"/>
  <c r="D640" i="1" s="1"/>
  <c r="J627" i="1"/>
  <c r="I627" i="1"/>
  <c r="I630" i="1" s="1"/>
  <c r="H600" i="1"/>
  <c r="J597" i="1"/>
  <c r="F1431" i="1"/>
  <c r="F1434" i="1" s="1"/>
  <c r="G1431" i="1"/>
  <c r="G1434" i="1" s="1"/>
  <c r="E1431" i="1"/>
  <c r="E1434" i="1" s="1"/>
  <c r="D1431" i="1"/>
  <c r="D1434" i="1" s="1"/>
  <c r="C1431" i="1"/>
  <c r="C1434" i="1" s="1"/>
  <c r="N921" i="1"/>
  <c r="N924" i="1" s="1"/>
  <c r="O921" i="1" s="1"/>
  <c r="F1298" i="1"/>
  <c r="F1301" i="1" s="1"/>
  <c r="G1298" i="1"/>
  <c r="G1301" i="1" s="1"/>
  <c r="E1298" i="1"/>
  <c r="E1301" i="1" s="1"/>
  <c r="D1298" i="1"/>
  <c r="D1301" i="1" s="1"/>
  <c r="C1298" i="1"/>
  <c r="C1301" i="1" s="1"/>
  <c r="D1294" i="1"/>
  <c r="C1294" i="1"/>
  <c r="H421" i="1"/>
  <c r="G393" i="1"/>
  <c r="G345" i="1"/>
  <c r="H342" i="1"/>
  <c r="H345" i="1" s="1"/>
  <c r="H450" i="1"/>
  <c r="H453" i="1" s="1"/>
  <c r="H436" i="1"/>
  <c r="H439" i="1" s="1"/>
  <c r="H407" i="1"/>
  <c r="H410" i="1" s="1"/>
  <c r="H373" i="1"/>
  <c r="H376" i="1" s="1"/>
  <c r="L327" i="1"/>
  <c r="L330" i="1" s="1"/>
  <c r="L312" i="1"/>
  <c r="L315" i="1" s="1"/>
  <c r="L297" i="1"/>
  <c r="L300" i="1" s="1"/>
  <c r="M297" i="1"/>
  <c r="M300" i="1" s="1"/>
  <c r="M282" i="1"/>
  <c r="M285" i="1" s="1"/>
  <c r="L285" i="1"/>
  <c r="L269" i="1"/>
  <c r="N266" i="1" s="1"/>
  <c r="L253" i="1"/>
  <c r="M235" i="1"/>
  <c r="M238" i="1" s="1"/>
  <c r="L238" i="1"/>
  <c r="H200" i="1"/>
  <c r="H203" i="1" s="1"/>
  <c r="D12" i="1"/>
  <c r="C12" i="1"/>
  <c r="C794" i="1"/>
  <c r="C797" i="1" s="1"/>
  <c r="D794" i="1" s="1"/>
  <c r="D797" i="1" s="1"/>
  <c r="E794" i="1" s="1"/>
  <c r="E797" i="1" s="1"/>
  <c r="F794" i="1" s="1"/>
  <c r="F797" i="1" s="1"/>
  <c r="G794" i="1" s="1"/>
  <c r="B794" i="1"/>
  <c r="B814" i="1"/>
  <c r="H155" i="1"/>
  <c r="H158" i="1" s="1"/>
  <c r="H147" i="1"/>
  <c r="H131" i="1"/>
  <c r="H134" i="1" s="1"/>
  <c r="H121" i="1"/>
  <c r="H124" i="1" s="1"/>
  <c r="D23" i="1"/>
  <c r="E9" i="1"/>
  <c r="E12" i="1" s="1"/>
  <c r="G1449" i="1"/>
  <c r="J1280" i="1"/>
  <c r="J1279" i="1" s="1"/>
  <c r="J1282" i="1" s="1"/>
  <c r="I1280" i="1"/>
  <c r="I1279" i="1" s="1"/>
  <c r="I1282" i="1" s="1"/>
  <c r="I1264" i="1"/>
  <c r="I1266" i="1"/>
  <c r="I1232" i="1"/>
  <c r="B1144" i="1"/>
  <c r="C1141" i="1" s="1"/>
  <c r="C1144" i="1" s="1"/>
  <c r="D1141" i="1" s="1"/>
  <c r="D1144" i="1" s="1"/>
  <c r="E1141" i="1" s="1"/>
  <c r="E1144" i="1" s="1"/>
  <c r="F1141" i="1" s="1"/>
  <c r="F1144" i="1" s="1"/>
  <c r="G1141" i="1" s="1"/>
  <c r="G1144" i="1" s="1"/>
  <c r="H1141" i="1" s="1"/>
  <c r="K871" i="1"/>
  <c r="K874" i="1" s="1"/>
  <c r="L871" i="1" s="1"/>
  <c r="L874" i="1" s="1"/>
  <c r="M871" i="1" s="1"/>
  <c r="M874" i="1" s="1"/>
  <c r="N871" i="1" s="1"/>
  <c r="N874" i="1" s="1"/>
  <c r="O871" i="1" s="1"/>
  <c r="H871" i="1"/>
  <c r="H874" i="1" s="1"/>
  <c r="I871" i="1" s="1"/>
  <c r="I874" i="1" s="1"/>
  <c r="J871" i="1" s="1"/>
  <c r="J874" i="1" s="1"/>
  <c r="D1357" i="1"/>
  <c r="D1360" i="1" s="1"/>
  <c r="C1357" i="1"/>
  <c r="C1360" i="1" s="1"/>
  <c r="E1357" i="1" s="1"/>
  <c r="E1360" i="1" s="1"/>
  <c r="G121" i="1"/>
  <c r="G124" i="1" s="1"/>
  <c r="F731" i="1"/>
  <c r="F734" i="1" s="1"/>
  <c r="G731" i="1" s="1"/>
  <c r="G734" i="1" s="1"/>
  <c r="H731" i="1" s="1"/>
  <c r="H734" i="1" s="1"/>
  <c r="I731" i="1" s="1"/>
  <c r="F715" i="1"/>
  <c r="E715" i="1"/>
  <c r="D715" i="1"/>
  <c r="C712" i="1"/>
  <c r="C715" i="1" s="1"/>
  <c r="B712" i="1"/>
  <c r="B715" i="1" s="1"/>
  <c r="F696" i="1"/>
  <c r="E693" i="1"/>
  <c r="D693" i="1"/>
  <c r="D696" i="1" s="1"/>
  <c r="C693" i="1"/>
  <c r="C696" i="1" s="1"/>
  <c r="B693" i="1"/>
  <c r="B696" i="1" s="1"/>
  <c r="B1280" i="1"/>
  <c r="B1279" i="1" s="1"/>
  <c r="B1264" i="1"/>
  <c r="B1263" i="1" s="1"/>
  <c r="B253" i="1"/>
  <c r="B134" i="1"/>
  <c r="B23" i="1"/>
  <c r="H1073" i="1"/>
  <c r="H1076" i="1" s="1"/>
  <c r="G450" i="1"/>
  <c r="G453" i="1" s="1"/>
  <c r="G436" i="1"/>
  <c r="G439" i="1" s="1"/>
  <c r="F439" i="1"/>
  <c r="F424" i="1"/>
  <c r="G421" i="1"/>
  <c r="G424" i="1" s="1"/>
  <c r="F410" i="1"/>
  <c r="G407" i="1"/>
  <c r="G410" i="1" s="1"/>
  <c r="F376" i="1"/>
  <c r="G373" i="1"/>
  <c r="G376" i="1" s="1"/>
  <c r="G359" i="1"/>
  <c r="G362" i="1" s="1"/>
  <c r="I359" i="1" s="1"/>
  <c r="F359" i="1"/>
  <c r="F362" i="1" s="1"/>
  <c r="H359" i="1" s="1"/>
  <c r="K330" i="1"/>
  <c r="M327" i="1"/>
  <c r="M330" i="1" s="1"/>
  <c r="K315" i="1"/>
  <c r="M312" i="1" s="1"/>
  <c r="M315" i="1" s="1"/>
  <c r="K300" i="1"/>
  <c r="K285" i="1"/>
  <c r="K266" i="1"/>
  <c r="K269" i="1" s="1"/>
  <c r="M266" i="1" s="1"/>
  <c r="M269" i="1" s="1"/>
  <c r="M250" i="1"/>
  <c r="M253" i="1" s="1"/>
  <c r="J253" i="1"/>
  <c r="C253" i="1"/>
  <c r="D253" i="1"/>
  <c r="E253" i="1"/>
  <c r="F253" i="1"/>
  <c r="G253" i="1"/>
  <c r="I250" i="1" s="1"/>
  <c r="I253" i="1" s="1"/>
  <c r="K250" i="1" s="1"/>
  <c r="K253" i="1" s="1"/>
  <c r="H253" i="1"/>
  <c r="G530" i="1"/>
  <c r="G533" i="1" s="1"/>
  <c r="H530" i="1"/>
  <c r="H533" i="1" s="1"/>
  <c r="F530" i="1"/>
  <c r="F533" i="1" s="1"/>
  <c r="E530" i="1"/>
  <c r="E533" i="1" s="1"/>
  <c r="D530" i="1"/>
  <c r="D533" i="1" s="1"/>
  <c r="C530" i="1"/>
  <c r="C533" i="1" s="1"/>
  <c r="G523" i="1"/>
  <c r="F1416" i="1"/>
  <c r="F1419" i="1" s="1"/>
  <c r="H1416" i="1" s="1"/>
  <c r="D1419" i="1"/>
  <c r="G155" i="1"/>
  <c r="G158" i="1" s="1"/>
  <c r="C155" i="1"/>
  <c r="C158" i="1" s="1"/>
  <c r="D155" i="1"/>
  <c r="D158" i="1" s="1"/>
  <c r="E155" i="1"/>
  <c r="E158" i="1" s="1"/>
  <c r="B155" i="1"/>
  <c r="B158" i="1" s="1"/>
  <c r="F155" i="1"/>
  <c r="F158" i="1" s="1"/>
  <c r="C147" i="1"/>
  <c r="D147" i="1"/>
  <c r="B147" i="1"/>
  <c r="G144" i="1"/>
  <c r="G147" i="1" s="1"/>
  <c r="F144" i="1"/>
  <c r="F147" i="1" s="1"/>
  <c r="E144" i="1"/>
  <c r="E147" i="1" s="1"/>
  <c r="G134" i="1"/>
  <c r="F134" i="1"/>
  <c r="E134" i="1"/>
  <c r="D134" i="1"/>
  <c r="C134" i="1"/>
  <c r="D1390" i="1"/>
  <c r="E1388" i="1"/>
  <c r="E1387" i="1" s="1"/>
  <c r="E1390" i="1" s="1"/>
  <c r="E1372" i="1"/>
  <c r="E1371" i="1" s="1"/>
  <c r="E1374" i="1" s="1"/>
  <c r="H1280" i="1"/>
  <c r="H1232" i="1"/>
  <c r="F1643" i="1"/>
  <c r="E1643" i="1"/>
  <c r="D1643" i="1"/>
  <c r="C1643" i="1"/>
  <c r="D1611" i="1"/>
  <c r="F1592" i="1"/>
  <c r="E1592" i="1"/>
  <c r="C42" i="1"/>
  <c r="C45" i="1" s="1"/>
  <c r="E42" i="1" s="1"/>
  <c r="E45" i="1" s="1"/>
  <c r="B42" i="1"/>
  <c r="B45" i="1" s="1"/>
  <c r="D42" i="1" s="1"/>
  <c r="D45" i="1" s="1"/>
  <c r="F42" i="1" s="1"/>
  <c r="C23" i="1"/>
  <c r="G1119" i="1"/>
  <c r="G1102" i="1"/>
  <c r="G1076" i="1"/>
  <c r="F1076" i="1"/>
  <c r="G1064" i="1"/>
  <c r="G1054" i="1"/>
  <c r="E219" i="1"/>
  <c r="C219" i="1"/>
  <c r="D216" i="1" s="1"/>
  <c r="D219" i="1" s="1"/>
  <c r="F219" i="1"/>
  <c r="G683" i="1"/>
  <c r="F683" i="1"/>
  <c r="E683" i="1"/>
  <c r="D671" i="1"/>
  <c r="G671" i="1"/>
  <c r="E671" i="1"/>
  <c r="H654" i="1"/>
  <c r="H657" i="1" s="1"/>
  <c r="G657" i="1"/>
  <c r="I654" i="1" s="1"/>
  <c r="I657" i="1" s="1"/>
  <c r="G600" i="1"/>
  <c r="I597" i="1"/>
  <c r="I600" i="1" s="1"/>
  <c r="G586" i="1"/>
  <c r="I583" i="1" s="1"/>
  <c r="I586" i="1" s="1"/>
  <c r="K583" i="1" s="1"/>
  <c r="D1318" i="1"/>
  <c r="E1315" i="1"/>
  <c r="E1318" i="1" s="1"/>
  <c r="G1462" i="1"/>
  <c r="G1460" i="1"/>
  <c r="F1462" i="1"/>
  <c r="F1460" i="1"/>
  <c r="F1449" i="1"/>
  <c r="F102" i="1"/>
  <c r="F105" i="1" s="1"/>
  <c r="E102" i="1"/>
  <c r="E105" i="1" s="1"/>
  <c r="D105" i="1"/>
  <c r="C105" i="1"/>
  <c r="F87" i="1"/>
  <c r="F90" i="1" s="1"/>
  <c r="E87" i="1"/>
  <c r="E90" i="1" s="1"/>
  <c r="D90" i="1"/>
  <c r="C90" i="1"/>
  <c r="D76" i="1"/>
  <c r="F73" i="1" s="1"/>
  <c r="F76" i="1" s="1"/>
  <c r="E76" i="1"/>
  <c r="C76" i="1"/>
  <c r="D58" i="1"/>
  <c r="C58" i="1"/>
  <c r="E55" i="1" s="1"/>
  <c r="E58" i="1" s="1"/>
  <c r="G1232" i="1"/>
  <c r="F1232" i="1"/>
  <c r="E1232" i="1"/>
  <c r="D1232" i="1"/>
  <c r="F523" i="1"/>
  <c r="H520" i="1" s="1"/>
  <c r="H523" i="1" s="1"/>
  <c r="E523" i="1"/>
  <c r="D523" i="1"/>
  <c r="D1280" i="1"/>
  <c r="D1279" i="1" s="1"/>
  <c r="D1282" i="1" s="1"/>
  <c r="E1280" i="1" s="1"/>
  <c r="E1279" i="1" s="1"/>
  <c r="E1282" i="1" s="1"/>
  <c r="H1279" i="1"/>
  <c r="H1282" i="1" s="1"/>
  <c r="F1279" i="1"/>
  <c r="F1282" i="1" s="1"/>
  <c r="D1266" i="1"/>
  <c r="C1264" i="1"/>
  <c r="C1263" i="1" s="1"/>
  <c r="D421" i="1"/>
  <c r="B1241" i="1"/>
  <c r="B1240" i="1" s="1"/>
  <c r="B1243" i="1" s="1"/>
  <c r="C1241" i="1" s="1"/>
  <c r="C1240" i="1" s="1"/>
  <c r="C1243" i="1" s="1"/>
  <c r="D1241" i="1" s="1"/>
  <c r="D1240" i="1" s="1"/>
  <c r="D1243" i="1" s="1"/>
  <c r="E1241" i="1" s="1"/>
  <c r="E1240" i="1" s="1"/>
  <c r="E1243" i="1" s="1"/>
  <c r="F1241" i="1" s="1"/>
  <c r="F1240" i="1" s="1"/>
  <c r="F1243" i="1" s="1"/>
  <c r="G1241" i="1" s="1"/>
  <c r="G1240" i="1" s="1"/>
  <c r="G1243" i="1" s="1"/>
  <c r="H1241" i="1" s="1"/>
  <c r="H1240" i="1" s="1"/>
  <c r="H1243" i="1" s="1"/>
  <c r="I1241" i="1" s="1"/>
  <c r="I1240" i="1" s="1"/>
  <c r="I1243" i="1" s="1"/>
  <c r="J1241" i="1" s="1"/>
  <c r="J1240" i="1" s="1"/>
  <c r="J1243" i="1" s="1"/>
  <c r="K1241" i="1" s="1"/>
  <c r="K1240" i="1" s="1"/>
  <c r="K1243" i="1" s="1"/>
  <c r="L1241" i="1" s="1"/>
  <c r="L1240" i="1" s="1"/>
  <c r="L1243" i="1" s="1"/>
  <c r="C1230" i="1"/>
  <c r="C1229" i="1" s="1"/>
  <c r="C1232" i="1" s="1"/>
  <c r="B1230" i="1"/>
  <c r="B1229" i="1" s="1"/>
  <c r="B1232" i="1" s="1"/>
  <c r="C1449" i="1"/>
  <c r="D1449" i="1"/>
  <c r="E1449" i="1"/>
  <c r="G216" i="1" l="1"/>
  <c r="G219" i="1" s="1"/>
  <c r="H219" i="1" s="1"/>
  <c r="I216" i="1" s="1"/>
  <c r="E1523" i="1"/>
  <c r="M1241" i="1"/>
  <c r="M1240" i="1" s="1"/>
  <c r="M1243" i="1" s="1"/>
  <c r="N1241" i="1" s="1"/>
  <c r="N1240" i="1" s="1"/>
  <c r="C1523" i="1"/>
  <c r="C1526" i="1" s="1"/>
  <c r="D751" i="1"/>
  <c r="D754" i="1" s="1"/>
  <c r="F751" i="1" s="1"/>
  <c r="F754" i="1" s="1"/>
  <c r="B1266" i="1"/>
  <c r="D1264" i="1" s="1"/>
  <c r="C1266" i="1"/>
  <c r="E1264" i="1" s="1"/>
  <c r="E1263" i="1" s="1"/>
  <c r="E1266" i="1" s="1"/>
  <c r="F1264" i="1" s="1"/>
  <c r="F1263" i="1" s="1"/>
  <c r="F1266" i="1" s="1"/>
  <c r="G1264" i="1" s="1"/>
  <c r="G1263" i="1" s="1"/>
  <c r="G1266" i="1" s="1"/>
  <c r="H1264" i="1" s="1"/>
  <c r="H1263" i="1" s="1"/>
  <c r="H1266" i="1" s="1"/>
</calcChain>
</file>

<file path=xl/sharedStrings.xml><?xml version="1.0" encoding="utf-8"?>
<sst xmlns="http://schemas.openxmlformats.org/spreadsheetml/2006/main" count="2225" uniqueCount="831">
  <si>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</si>
  <si>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</si>
  <si>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</si>
  <si>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</si>
  <si>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</si>
  <si>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</si>
  <si>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</si>
  <si>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</si>
  <si>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</si>
  <si>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</si>
  <si>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</si>
  <si>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</si>
  <si>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</si>
  <si>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</si>
  <si>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</si>
  <si>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</si>
  <si>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</si>
  <si>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</si>
  <si>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</si>
  <si>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</si>
  <si>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</si>
  <si>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</si>
  <si>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</si>
  <si>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</si>
  <si>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</si>
  <si>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</si>
  <si>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</si>
  <si>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</si>
  <si>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</si>
  <si>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</si>
  <si>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</si>
  <si>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</si>
  <si>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</si>
  <si>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</si>
  <si>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</si>
  <si>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</si>
  <si>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</si>
  <si>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</si>
  <si>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</si>
  <si>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</si>
  <si>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</si>
  <si>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</si>
  <si>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</si>
  <si>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</si>
  <si>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</si>
  <si>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</si>
  <si>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</si>
  <si>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</si>
  <si>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</si>
  <si>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</si>
  <si>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</si>
  <si>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</si>
  <si>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</si>
  <si>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</si>
  <si>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</si>
  <si>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</si>
  <si>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</si>
  <si>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</si>
  <si>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</si>
  <si>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</si>
  <si>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</si>
  <si>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</si>
  <si>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</si>
  <si>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</si>
  <si>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</si>
  <si>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</si>
  <si>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</si>
  <si>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</si>
  <si>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</si>
  <si>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</si>
  <si>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</si>
  <si>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</si>
  <si>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</si>
  <si>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</si>
  <si>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</si>
  <si>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</si>
  <si>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</si>
  <si>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</si>
  <si>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</si>
  <si>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</si>
  <si>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</si>
  <si>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</si>
  <si>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</si>
  <si>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</si>
  <si>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</si>
  <si>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</si>
  <si>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</si>
  <si>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</si>
  <si>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</si>
  <si>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</si>
  <si>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</si>
  <si>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</si>
  <si>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</si>
  <si>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</si>
  <si>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</si>
  <si>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</si>
  <si>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</si>
  <si>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</si>
  <si>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</si>
  <si>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</si>
  <si>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</si>
  <si>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</si>
  <si>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</si>
  <si>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</si>
  <si>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</si>
  <si>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</si>
  <si>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</si>
  <si>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</si>
  <si>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</si>
  <si>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</si>
  <si>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</si>
  <si>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</si>
  <si>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</si>
  <si>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</si>
  <si>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</si>
  <si>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</si>
  <si>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</si>
  <si>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</si>
  <si>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</si>
  <si>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</si>
  <si>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</si>
  <si>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</si>
  <si>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</si>
  <si>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</si>
  <si>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</si>
  <si>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</si>
  <si>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</si>
  <si>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</si>
  <si>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</si>
  <si>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</si>
  <si>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</si>
  <si>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</si>
  <si>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</si>
  <si>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</si>
  <si>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</si>
  <si>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</si>
  <si>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</si>
  <si>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</si>
  <si>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</si>
  <si>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</si>
  <si>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</si>
  <si>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</si>
  <si>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</si>
  <si>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</si>
  <si>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</si>
  <si>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</si>
  <si>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</si>
  <si>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</si>
  <si>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</si>
  <si>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</si>
  <si>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</si>
  <si>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</si>
  <si>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</si>
  <si>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</si>
  <si>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</si>
  <si>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</si>
  <si>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</si>
  <si>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</si>
  <si>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</si>
  <si>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</si>
  <si>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</si>
  <si>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</si>
  <si>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</si>
  <si>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</si>
  <si>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</si>
  <si>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</si>
  <si>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</si>
  <si>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</si>
  <si>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</si>
  <si>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</si>
  <si>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</si>
  <si>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</si>
  <si>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</si>
  <si>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</si>
  <si>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</si>
  <si>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</si>
  <si>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</si>
  <si>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</si>
  <si>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</si>
  <si>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</si>
  <si>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</si>
  <si>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</si>
  <si>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</si>
  <si>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</si>
  <si>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</si>
  <si>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</si>
  <si>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</si>
  <si>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</si>
  <si>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</si>
  <si>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</si>
  <si>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</si>
  <si>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</si>
  <si>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</si>
  <si>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</si>
  <si>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</si>
  <si>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</si>
  <si>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</si>
  <si>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</si>
  <si>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</si>
  <si>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</si>
  <si>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</si>
  <si>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</si>
  <si>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</si>
  <si>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</si>
  <si>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</si>
  <si>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</si>
  <si>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</si>
  <si>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</si>
  <si>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</si>
  <si>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</si>
  <si>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</si>
  <si>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</si>
  <si>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</si>
  <si>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</si>
  <si>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</si>
  <si>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</si>
  <si>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</si>
  <si>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</si>
  <si>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</si>
  <si>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</si>
  <si>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</si>
  <si>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</si>
  <si>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</si>
  <si>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</si>
  <si>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</si>
  <si>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</si>
  <si>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</si>
  <si>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</si>
  <si>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</si>
  <si>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</si>
  <si>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1"/>
  </si>
  <si>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</si>
  <si>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1"/>
  </si>
  <si>
    <t>JAPAN-S-ALB: Japan's overage in 2017 was deducted from the 2019 initial limit [Rec.16-07]</t>
    <phoneticPr fontId="11"/>
  </si>
  <si>
    <t>JAPAN-S-ALB: Japan's underage in 2018 was carried over to the 2020 initial limit [Rec.16-07]</t>
    <phoneticPr fontId="11"/>
  </si>
  <si>
    <t>Japan's 2019 adjusted limit = 1355t(Limit)-418.7t(2017 overage(Para5 of Rec16-07))+100t(transfer from Brasil (Para3 of Rec.16-07))+100t(transfer from S.Africa(Para3 of Rec.16-07))+800t(transfer from S.Africa(circular#888/2019))</t>
    <phoneticPr fontId="11"/>
  </si>
  <si>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</si>
  <si>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</si>
  <si>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11"/>
  </si>
  <si>
    <t>Japan's 2020 adjusted limit  = 901t(Limit)+600t(2018 carry over(Para1(3) of Rec17-03))-50t(transfer to Namibia(Para5 of Rec.17-03))</t>
    <phoneticPr fontId="11"/>
  </si>
  <si>
    <t>JAPAN-E-BFT: current catch for 2018 includes 7.42 t of dead discard.</t>
    <phoneticPr fontId="5" type="noConversion"/>
  </si>
  <si>
    <t>Japan's 2019 adjusted limit = 2544.00t(Limit)(Para5 of Rec18-02)</t>
    <phoneticPr fontId="11"/>
  </si>
  <si>
    <t>JAPAN-W-BFT: current catch for 2018 includes 1.10 t of dead discard.</t>
    <phoneticPr fontId="5" type="noConversion"/>
  </si>
  <si>
    <t>Japan's 2018 adjusted limit =15415.88(It was deducted by the "pay back" provision  in para 2(a) of Rec 16-01.)</t>
    <phoneticPr fontId="11"/>
  </si>
  <si>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</si>
  <si>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</si>
  <si>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</si>
  <si>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</si>
  <si>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</si>
  <si>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1"/>
  </si>
  <si>
    <t>Japan's 2018 adjusted limit = 390t(Limt)+16.6t(2016 carry over(Para3 of Rec15-05))</t>
    <phoneticPr fontId="11"/>
  </si>
  <si>
    <t>Japan's 2018 adjusted limit =35t(Limt)+7t(2016 carry over(35*20%)(Para3 of Rec15-05))</t>
    <phoneticPr fontId="11"/>
  </si>
  <si>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</si>
  <si>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</si>
  <si>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</si>
  <si>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</si>
  <si>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</si>
  <si>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</si>
  <si>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</si>
  <si>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</si>
  <si>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</si>
  <si>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</si>
  <si>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</si>
  <si>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</si>
  <si>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</si>
  <si>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</si>
  <si>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</si>
  <si>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</si>
  <si>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</si>
  <si>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</si>
  <si>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</si>
  <si>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</si>
  <si>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</si>
  <si>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</si>
  <si>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</si>
  <si>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</si>
  <si>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</si>
  <si>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</si>
  <si>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</si>
  <si>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</si>
  <si>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</si>
  <si>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</si>
  <si>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</si>
  <si>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</si>
  <si>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</si>
  <si>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</si>
  <si>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</si>
  <si>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</si>
  <si>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</si>
  <si>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</si>
  <si>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</si>
  <si>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</si>
  <si>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</si>
  <si>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</si>
  <si>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</si>
  <si>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</si>
  <si>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</si>
  <si>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</si>
  <si>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</si>
  <si>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</si>
  <si>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</si>
  <si>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</si>
  <si>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</si>
  <si>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</si>
  <si>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</si>
  <si>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</si>
  <si>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</si>
  <si>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</si>
  <si>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</si>
  <si>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</si>
  <si>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</si>
  <si>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</si>
  <si>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</si>
  <si>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</si>
  <si>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</si>
  <si>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</si>
  <si>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</si>
  <si>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</si>
  <si>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</si>
  <si>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</si>
  <si>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2019=128.44+15.90-79.44 (transfer to Canada) por Rec. 17-06</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</si>
  <si>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</si>
  <si>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</si>
  <si>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</si>
  <si>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</si>
  <si>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</si>
  <si>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</si>
  <si>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</si>
  <si>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</si>
  <si>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</si>
  <si>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</si>
  <si>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</si>
  <si>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</si>
  <si>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</si>
  <si>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</si>
  <si>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</si>
  <si>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</si>
  <si>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</si>
  <si>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</si>
  <si>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</si>
  <si>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</si>
  <si>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</si>
  <si>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</si>
  <si>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</si>
  <si>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</si>
  <si>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</si>
  <si>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</si>
  <si>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</si>
  <si>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</si>
  <si>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</si>
  <si>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</si>
  <si>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</si>
  <si>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</si>
  <si>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</si>
  <si>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</si>
  <si>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</si>
  <si>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</si>
  <si>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</si>
  <si>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</si>
  <si>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</si>
  <si>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</si>
  <si>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</si>
  <si>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</si>
  <si>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</si>
  <si>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</si>
  <si>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</si>
  <si>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</si>
  <si>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</si>
  <si>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</si>
  <si>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</si>
  <si>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</si>
  <si>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</si>
  <si>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</si>
  <si>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</si>
  <si>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</si>
  <si>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</si>
  <si>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</si>
  <si>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</si>
  <si>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</si>
  <si>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</si>
  <si>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</si>
  <si>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</si>
  <si>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</si>
  <si>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</si>
  <si>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</si>
  <si>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</si>
  <si>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</si>
  <si>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</si>
  <si>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</si>
  <si>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</si>
  <si>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</si>
  <si>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</si>
  <si>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</si>
  <si>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</si>
  <si>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</si>
  <si>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</si>
  <si>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</si>
  <si>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</si>
  <si>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</si>
  <si>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</si>
  <si>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</si>
  <si>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</si>
  <si>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</si>
  <si>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</si>
  <si>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</si>
  <si>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</si>
  <si>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</si>
  <si>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</si>
  <si>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</si>
  <si>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</si>
  <si>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</si>
  <si>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</si>
  <si>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</si>
  <si>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</si>
  <si>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</si>
  <si>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</si>
  <si>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</si>
  <si>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</si>
  <si>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</si>
  <si>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</si>
  <si>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</si>
  <si>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</si>
  <si>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</si>
  <si>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</si>
  <si>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</si>
  <si>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</si>
  <si>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</si>
  <si>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</si>
  <si>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</si>
  <si>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</si>
  <si>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</si>
  <si>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</si>
  <si>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</si>
  <si>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 128.44+25.90-100.44 (transfer to Canada) por Rec. 17-06</t>
  </si>
  <si>
    <t>2020=58.9 + (Saldo Máx. 2019 = 10% Q2019) = 58.9 + 7</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</si>
  <si>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</si>
  <si>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</si>
  <si>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</si>
  <si>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</si>
  <si>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</si>
  <si>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</si>
  <si>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</si>
  <si>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</si>
  <si>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</si>
  <si>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</si>
  <si>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</si>
  <si>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</si>
  <si>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</si>
  <si>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</si>
  <si>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</si>
  <si>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</si>
  <si>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</si>
  <si>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</si>
  <si>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</si>
  <si>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</si>
  <si>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</si>
  <si>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</si>
  <si>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</si>
  <si>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</si>
  <si>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</si>
  <si>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</si>
  <si>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</si>
  <si>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</si>
  <si>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</si>
  <si>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</si>
  <si>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</si>
  <si>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</si>
  <si>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</si>
  <si>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</si>
  <si>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GUATEMALA</t>
  </si>
  <si>
    <t>GUYANA</t>
  </si>
  <si>
    <t>* As the balance is negative, Adjusted limit (A) = Year Limit + Balance from the previous limit</t>
  </si>
  <si>
    <t>Quota2021+25%Q2019=242+0.25*215</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</si>
  <si>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</si>
  <si>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</si>
  <si>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</si>
  <si>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</si>
  <si>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</si>
  <si>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</si>
  <si>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</si>
  <si>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</si>
  <si>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</si>
  <si>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</si>
  <si>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</si>
  <si>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</si>
  <si>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</si>
  <si>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</si>
  <si>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</si>
  <si>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</si>
  <si>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</si>
  <si>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</si>
  <si>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</si>
  <si>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</si>
  <si>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</si>
  <si>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</si>
  <si>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</si>
  <si>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</si>
  <si>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</si>
  <si>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</si>
  <si>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</si>
  <si>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</si>
  <si>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</si>
  <si>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</si>
  <si>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</si>
  <si>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</si>
  <si>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</si>
  <si>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</si>
  <si>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</si>
  <si>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</si>
  <si>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</si>
  <si>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</si>
  <si>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</si>
  <si>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</si>
  <si>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</si>
  <si>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</si>
  <si>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</si>
  <si>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</si>
  <si>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</si>
  <si>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</si>
  <si>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</si>
  <si>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</si>
  <si>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</si>
  <si>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</si>
  <si>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</si>
  <si>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</si>
  <si>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</si>
  <si>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</si>
  <si>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</si>
  <si>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</si>
  <si>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</si>
  <si>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</si>
  <si>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</si>
  <si>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</si>
  <si>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</si>
  <si>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</si>
  <si>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</si>
  <si>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</si>
  <si>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</si>
  <si>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</si>
  <si>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</si>
  <si>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</si>
  <si>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</si>
  <si>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</si>
  <si>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</si>
  <si>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</si>
  <si>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</si>
  <si>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</si>
  <si>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</si>
  <si>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</si>
  <si>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</si>
  <si>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</si>
  <si>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</si>
  <si>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</si>
  <si>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</si>
  <si>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</si>
  <si>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</si>
  <si>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</si>
  <si>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</si>
  <si>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</si>
  <si>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</si>
  <si>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</si>
  <si>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</si>
  <si>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</si>
  <si>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</si>
  <si>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</si>
  <si>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</si>
  <si>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</si>
  <si>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</si>
  <si>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</si>
  <si>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</si>
  <si>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</si>
  <si>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</si>
  <si>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</si>
  <si>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</si>
  <si>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</si>
  <si>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</si>
  <si>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</si>
  <si>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</si>
  <si>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</si>
  <si>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</si>
  <si>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</si>
  <si>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</si>
  <si>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</si>
  <si>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</si>
  <si>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</si>
  <si>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</si>
  <si>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</si>
  <si>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</si>
  <si>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</si>
  <si>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</si>
  <si>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</si>
  <si>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</si>
  <si>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</si>
  <si>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</si>
  <si>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</si>
  <si>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</si>
  <si>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</si>
  <si>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</si>
  <si>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</si>
  <si>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</si>
  <si>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</si>
  <si>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</si>
  <si>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</si>
  <si>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</si>
  <si>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</si>
  <si>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</si>
  <si>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</si>
  <si>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</si>
  <si>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</si>
  <si>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</si>
  <si>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</si>
  <si>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</si>
  <si>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</si>
  <si>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</si>
  <si>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</si>
  <si>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</si>
  <si>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</si>
  <si>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</si>
  <si>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</si>
  <si>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</si>
  <si>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</si>
  <si>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</si>
  <si>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</si>
  <si>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</si>
  <si>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</si>
  <si>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</si>
  <si>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</si>
  <si>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</si>
  <si>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</si>
  <si>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2021: 100 t (transfer to JPN according to Rec.16-07 Para 3)</t>
  </si>
  <si>
    <t>Adjusted limit for 2022=initial quota(200)+200*25%(not exceeding the balance of 2020)=250</t>
  </si>
  <si>
    <t>* Adjusted limit 2022 = initial limit 2022 (4400) + available balance 2020(not to exceed 25% of initial quota) (874.08)</t>
  </si>
  <si>
    <t>=9400+1699+145</t>
  </si>
  <si>
    <t>2022 adjusted quota is 11244.00 t (=9400+1699) due to the inclusion of 2020 underage and 2021 initial catch quota + 145t (Rec. 16-07 Para 4b) as complement from total underage from the TAC</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</si>
  <si>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</si>
  <si>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</si>
  <si>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</si>
  <si>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r>
      <rPr>
        <vertAlign val="superscript"/>
        <sz val="10"/>
        <color theme="1"/>
        <rFont val="Cambria"/>
        <family val="1"/>
      </rPr>
      <t>1</t>
    </r>
    <r>
      <rPr>
        <sz val="10"/>
        <color theme="1"/>
        <rFont val="Cambria"/>
        <family val="1"/>
      </rPr>
      <t xml:space="preserve"> Transfer from Japan</t>
    </r>
  </si>
  <si>
    <r>
      <t>JAPAN-N-SWO: adjusted limit in 2018 excluded 100 t transfered to Morocco, and 35 transferred to Canada</t>
    </r>
    <r>
      <rPr>
        <strike/>
        <sz val="10"/>
        <color theme="1"/>
        <rFont val="Cambria"/>
        <family val="1"/>
      </rPr>
      <t>, and 25 transferred to Mauritania.</t>
    </r>
    <r>
      <rPr>
        <sz val="10"/>
        <color theme="1"/>
        <rFont val="Cambria"/>
        <family val="1"/>
      </rPr>
      <t xml:space="preserve"> [Rec. 17-02].</t>
    </r>
  </si>
  <si>
    <r>
      <rPr>
        <b/>
        <sz val="10"/>
        <color theme="1"/>
        <rFont val="Cambria"/>
        <family val="1"/>
      </rPr>
      <t>Quota ajustée 2020: 265</t>
    </r>
    <r>
      <rPr>
        <sz val="10"/>
        <color theme="1"/>
        <rFont val="Cambria"/>
        <family val="1"/>
      </rPr>
      <t xml:space="preserve"> tonnes  = quota initial alloué au Maroc 2020 (215 t) +</t>
    </r>
    <r>
      <rPr>
        <b/>
        <sz val="10"/>
        <color theme="1"/>
        <rFont val="Cambria"/>
        <family val="1"/>
      </rPr>
      <t xml:space="preserve"> 50 tonnes</t>
    </r>
    <r>
      <rPr>
        <sz val="10"/>
        <color theme="1"/>
        <rFont val="Cambria"/>
        <family val="1"/>
      </rPr>
      <t xml:space="preserve"> ( reliquat= 25% du quota initial (200)). Recommandation ICCAT 17-04</t>
    </r>
  </si>
  <si>
    <r>
      <t xml:space="preserve">Quota ajustée 2021: 295,75 tonnes  </t>
    </r>
    <r>
      <rPr>
        <sz val="10"/>
        <color theme="1"/>
        <rFont val="Cambria"/>
        <family val="1"/>
      </rPr>
      <t>= quota initial alloué au Maroc 2021</t>
    </r>
    <r>
      <rPr>
        <b/>
        <sz val="10"/>
        <color theme="1"/>
        <rFont val="Cambria"/>
        <family val="1"/>
      </rPr>
      <t xml:space="preserve"> (242 t) + 53,75 tonnes ( reliquat= 25% du quota initial 2019 (215 tonnes) ). </t>
    </r>
    <r>
      <rPr>
        <sz val="10"/>
        <color theme="1"/>
        <rFont val="Cambria"/>
        <family val="1"/>
      </rPr>
      <t>Rec ICCAT 17-04, 20-04</t>
    </r>
  </si>
  <si>
    <r>
      <t xml:space="preserve">Quota ajustée 2022: 295,75 tonnes  </t>
    </r>
    <r>
      <rPr>
        <sz val="10"/>
        <color theme="1"/>
        <rFont val="Cambria"/>
        <family val="1"/>
      </rPr>
      <t>= quota initial alloué au Maroc 2022</t>
    </r>
    <r>
      <rPr>
        <b/>
        <sz val="10"/>
        <color theme="1"/>
        <rFont val="Cambria"/>
        <family val="1"/>
      </rPr>
      <t xml:space="preserve"> (242 t) + 53,75 tonnes ( reliquat= 25% du quota initial 2020 (215 tonnes) )</t>
    </r>
    <r>
      <rPr>
        <sz val="10"/>
        <color theme="1"/>
        <rFont val="Cambria"/>
        <family val="1"/>
      </rPr>
      <t>. Rec ICCAT 17-04, 20-04</t>
    </r>
  </si>
  <si>
    <r>
      <rPr>
        <b/>
        <sz val="10"/>
        <color theme="1"/>
        <rFont val="Cambria"/>
        <family val="1"/>
      </rPr>
      <t>Quota ajustée 2018</t>
    </r>
    <r>
      <rPr>
        <sz val="10"/>
        <color theme="1"/>
        <rFont val="Cambria"/>
        <family val="1"/>
      </rPr>
      <t xml:space="preserve"> : 900 tonnes = 950 (quota initial 850+100 tranféré du japon) - 50 de surconsommation de 2016</t>
    </r>
  </si>
  <si>
    <r>
      <rPr>
        <b/>
        <sz val="10"/>
        <color theme="1"/>
        <rFont val="Cambria"/>
        <family val="1"/>
      </rPr>
      <t>Quota ajustée 2019</t>
    </r>
    <r>
      <rPr>
        <sz val="10"/>
        <color theme="1"/>
        <rFont val="Cambria"/>
        <family val="1"/>
      </rPr>
      <t>: 1000 tonnes = quota initial alloué au Maroc 2019 (850t)+ 100t (transférées par le Japon au Maroc) + 50 de sousconsommation de 2017</t>
    </r>
  </si>
  <si>
    <r>
      <rPr>
        <b/>
        <sz val="10"/>
        <color theme="1"/>
        <rFont val="Cambria"/>
        <family val="1"/>
      </rPr>
      <t>Quota ajustée 2020</t>
    </r>
    <r>
      <rPr>
        <sz val="10"/>
        <color theme="1"/>
        <rFont val="Cambria"/>
        <family val="1"/>
      </rPr>
      <t>: 995 tonnes = quota initial alloué au Maroc 2020 (850t) + 150t (transférées par le Japon au Maroc)+20t (transférée par le Taipei Chinois)+ 25t (transférée par le Trinité-et-Tobago) - 50 de surconsommation de 2018</t>
    </r>
  </si>
  <si>
    <r>
      <rPr>
        <b/>
        <sz val="10"/>
        <color theme="1"/>
        <rFont val="Cambria"/>
        <family val="1"/>
      </rPr>
      <t>Quota ajustée 2021</t>
    </r>
    <r>
      <rPr>
        <sz val="10"/>
        <color theme="1"/>
        <rFont val="Cambria"/>
        <family val="1"/>
      </rPr>
      <t>: 1095 tonnes = quota initial alloué au Maroc 2020 (850t) + 150t (transférées par le Japon au Maroc)+20t (transférée par le Taipei Chinois)+ 25t (transférée par le Trinité-et-Tobago) + 50 de sousconsommation de 2019</t>
    </r>
  </si>
  <si>
    <r>
      <rPr>
        <b/>
        <sz val="10"/>
        <color theme="1"/>
        <rFont val="Cambria"/>
        <family val="1"/>
      </rPr>
      <t>Quota ajustée 2020:</t>
    </r>
    <r>
      <rPr>
        <sz val="10"/>
        <color theme="1"/>
        <rFont val="Cambria"/>
        <family val="1"/>
      </rPr>
      <t xml:space="preserve"> 3488.62 = quota initial alloué au Maroc 2020 (3284 t) + 204.62 t (transféré par l'Egypte au Maroc). Recommandation ICCAT 19-04</t>
    </r>
  </si>
  <si>
    <r>
      <rPr>
        <b/>
        <sz val="10"/>
        <color theme="1"/>
        <rFont val="Cambria"/>
        <family val="1"/>
      </rPr>
      <t>Quota ajustée 2020:</t>
    </r>
    <r>
      <rPr>
        <sz val="10"/>
        <color theme="1"/>
        <rFont val="Cambria"/>
        <family val="1"/>
      </rPr>
      <t xml:space="preserve"> -42 tonnes = quota initial alloué au Maroc 2020 (10t) - 52 t (surconsommation). Recommandation ICCAT 19-05/para 3 amendant la Rec 15-05</t>
    </r>
  </si>
  <si>
    <t xml:space="preserve">COC-304/22 Annex 1: APPLICATION OF OVER/UNDERHARVEST </t>
  </si>
  <si>
    <t xml:space="preserve">COC-304/22 Annexe 1: APPLICATION DE SUR/SOUSONSOMMATION </t>
  </si>
  <si>
    <t xml:space="preserve">COC-304/22 Anexo 1: APLICACIÓN DE EXCESO/REMANENTE DE CAPTURA </t>
  </si>
  <si>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</si>
  <si>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</si>
  <si>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</si>
  <si>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</si>
  <si>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</si>
  <si>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</si>
  <si>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</si>
  <si>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</si>
  <si>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8 : limite 2021 + 25% quota de capture initial 2019 (REC 20-03)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</si>
  <si>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</si>
  <si>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</si>
  <si>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</si>
  <si>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</si>
  <si>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</si>
  <si>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 xml:space="preserve">** Durante los años anteriores a 2020, El Salvador no estaba sujeto a límite (Rec. 16-01, Par 34.a), sino a una expectativa de pesca, por ello No Aplica los límites, limites ajustados ni saldos. Para el año 2020 (Rec. 19-02) se reconoce un límite.
*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																											</t>
  </si>
  <si>
    <t>2021(**) (*)</t>
  </si>
  <si>
    <t>Pour l'année 2021 le quota ajusté est de 2755,75  ( le quota initial 2655T+transfert quota syrie (79,2)+quota non consommé  des prises accessoires 2020 (21,55T)</t>
  </si>
  <si>
    <t>Pour l'année 2022 , les prises réalisées par les senneurs  en 2022 est de 2652,762 t , les prises accessoires ( 26,55T) n'ont pas encore été arrétées</t>
  </si>
  <si>
    <r>
      <t>Quota ajustée 2023:</t>
    </r>
    <r>
      <rPr>
        <sz val="10"/>
        <color theme="1"/>
        <rFont val="Cambria"/>
        <family val="1"/>
      </rPr>
      <t xml:space="preserve"> 302,50 tonnes  = quota initial alloué au Maroc 2023 (242 t) + 60,50 tonnes ( reliquat= 25% du quota initial 2021 (242 tonnes) ). Rec ICCAT 21-04</t>
    </r>
  </si>
  <si>
    <r>
      <rPr>
        <b/>
        <sz val="10"/>
        <color rgb="FFFF0000"/>
        <rFont val="Cambria"/>
        <family val="1"/>
      </rPr>
      <t>Quota ajusté 2022</t>
    </r>
    <r>
      <rPr>
        <sz val="10"/>
        <color rgb="FFFF0000"/>
        <rFont val="Cambria"/>
        <family val="1"/>
      </rPr>
      <t>: 1104,18 tonnes = quota initial alloué au Maroc (850t)+ 150t (transférées par le Japon au Maroc)+20t (transférée par le Taipei Chinois)+ 25t (transférée par le Trinité-et-Tobago) + 59,18 (15% du quota initail) de sousconsommation de 2020</t>
    </r>
  </si>
  <si>
    <r>
      <rPr>
        <b/>
        <sz val="10"/>
        <color theme="1"/>
        <rFont val="Cambria"/>
        <family val="1"/>
      </rPr>
      <t>Quota ajusté 2023</t>
    </r>
    <r>
      <rPr>
        <sz val="10"/>
        <color theme="1"/>
        <rFont val="Cambria"/>
        <family val="1"/>
      </rPr>
      <t>:  1172,50 tonnes = quota initial alloué au Maroc (850t) + 127,50 (15% du quota initail) de sousconsommation de 2021+ 150t (transférées par le Japon au Maroc)+20t (transférée par le Taipei Chinois)+ 25t (transférée par le Trinité-et-Tobago) . Rec ICCAT 21-02</t>
    </r>
  </si>
  <si>
    <r>
      <rPr>
        <b/>
        <sz val="10"/>
        <color theme="1"/>
        <rFont val="Cambria"/>
        <family val="1"/>
      </rPr>
      <t>Quota ajustée 2021:</t>
    </r>
    <r>
      <rPr>
        <sz val="10"/>
        <color theme="1"/>
        <rFont val="Cambria"/>
        <family val="1"/>
      </rPr>
      <t xml:space="preserve"> 3318,91 tonnes = quota initial alloué au Maroc 2020 (3284 t) + 34,91 tonnes (reliquat de l'année 2020). Rec. 20-07</t>
    </r>
  </si>
  <si>
    <r>
      <rPr>
        <b/>
        <sz val="10"/>
        <color theme="1"/>
        <rFont val="Cambria"/>
        <family val="1"/>
      </rPr>
      <t>Quota ajustée 2022:</t>
    </r>
    <r>
      <rPr>
        <sz val="10"/>
        <color theme="1"/>
        <rFont val="Cambria"/>
        <family val="1"/>
      </rPr>
      <t xml:space="preserve"> 3568,27 tonnes = quota initial alloué au Maroc 2020 (3284 t) + 24,65 tonnes (reliquat de l'année 2021) transfert de l'Egypte (259,62 tonnes) Rec. 21-08</t>
    </r>
  </si>
  <si>
    <r>
      <rPr>
        <b/>
        <sz val="10"/>
        <color theme="1"/>
        <rFont val="Cambria"/>
        <family val="1"/>
      </rPr>
      <t xml:space="preserve">Quota ajustée 2021: </t>
    </r>
    <r>
      <rPr>
        <sz val="10"/>
        <color theme="1"/>
        <rFont val="Cambria"/>
        <family val="1"/>
      </rPr>
      <t>-32 tonnes = quota initial alloué au Maroc 2021 (10t) - 42 tonnes (surconsommation). Recommandation ICCAT 19-05/para 3 amendant la Rec 15-05</t>
    </r>
  </si>
  <si>
    <r>
      <rPr>
        <b/>
        <sz val="10"/>
        <color theme="1"/>
        <rFont val="Cambria"/>
        <family val="1"/>
      </rPr>
      <t>Quota ajustée 2022</t>
    </r>
    <r>
      <rPr>
        <sz val="10"/>
        <color theme="1"/>
        <rFont val="Cambria"/>
        <family val="1"/>
      </rPr>
      <t>: -22 tonnes = quota initial alloué au Maroc 2022 (10t) - 32 tonnes (surconsommation). Recommandation ICCAT 19-05/para 3 amendant la Rec 15-05</t>
    </r>
  </si>
  <si>
    <r>
      <rPr>
        <b/>
        <sz val="10"/>
        <color theme="1"/>
        <rFont val="Cambria"/>
        <family val="1"/>
      </rPr>
      <t xml:space="preserve">Quota ajustée 2023: </t>
    </r>
    <r>
      <rPr>
        <sz val="10"/>
        <color theme="1"/>
        <rFont val="Cambria"/>
        <family val="1"/>
      </rPr>
      <t>-12 tonnes = quota initial alloué au Maroc 2023 (10t) -22 tonnes (surconsommation). Recommandation ICCAT 19-05/para 3 amendant la Rec 15-05</t>
    </r>
  </si>
  <si>
    <t>9 : limite 2022 + 25% quota de capture initial 2020 (REC 20-03)</t>
  </si>
  <si>
    <t>7 : limite 2020 + 40% limite de capture initiale (Rec.16-03) + 40 tonnes transférées de l'Union Européenne (REC 17-02)+ 12,75 tonnes transférées du Vénézuela (REC 17-02)=40+(40*0.4)+40+12.75=108.75</t>
  </si>
  <si>
    <t>8 : limite 2022 + 40% limite de capture initiale (Rec.16-03) + 40 tonnes transférées de l'Union Européenne (REC 17-02)=40+(40*0.4)+40=96</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</si>
  <si>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</si>
  <si>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</si>
  <si>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</si>
  <si>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</si>
  <si>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</si>
  <si>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</si>
  <si>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</si>
  <si>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7 (A) = Limit 2022 + Carry over from Balance 2020 MAX. 10%3716 (371.6) Rec. 21-01 Para 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</si>
  <si>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</si>
  <si>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</si>
  <si>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</si>
  <si>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</si>
  <si>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</si>
  <si>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</si>
  <si>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</si>
  <si>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</si>
  <si>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</si>
  <si>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</si>
  <si>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</si>
  <si>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</si>
  <si>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</si>
  <si>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</si>
  <si>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</si>
  <si>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</si>
  <si>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</si>
  <si>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</si>
  <si>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</si>
  <si>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</si>
  <si>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</si>
  <si>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</si>
  <si>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</si>
  <si>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</si>
  <si>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</si>
  <si>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</si>
  <si>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</si>
  <si>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</si>
  <si>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</si>
  <si>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</si>
  <si>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</si>
  <si>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[2]= Límite de 2018 + balance de 2017</t>
  </si>
  <si>
    <t>[3]= Límite de 2019 + balance de 2018</t>
  </si>
  <si>
    <t>[4]= Límite de 2020 + balance de 2019</t>
  </si>
  <si>
    <t>[5]= Límite de 2021 + balance de 2020</t>
  </si>
  <si>
    <t>[6]= Límite de 2022 + balance de 2021</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</si>
  <si>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</si>
  <si>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</si>
  <si>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</si>
  <si>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</si>
  <si>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 xml:space="preserve">In 2021 the underharvest for the EU was of 548,06 t, which is less than the maximum allowed 20% provided in Rec 17-03. Therefore, the EU is entitled to carry over  548,06 t to 2023 if current management arrangmments are maintained. </t>
  </si>
  <si>
    <t xml:space="preserve">In 2021 the underharvest for the EU was of 247,93 t, which is less than the maximum allowed 5% provided in Rec 19-04. Therefore, the EU is entitled to carry over  247,93 t to 2023 if the current management arrangments are maintained. In Addition, the EU will transfer to United Kingdom 48,40t in 2022. </t>
  </si>
  <si>
    <t>JAPAN-N-ALB:Japan's 2021 adjusted limit = BET 2021 catch * 4% (Para6 of Rec16-06)</t>
  </si>
  <si>
    <t>BET</t>
    <phoneticPr fontId="6" type="noConversion"/>
  </si>
  <si>
    <t>ALBS</t>
  </si>
  <si>
    <t>JAPAN-S-ALB: 2022 adjusted limit = 1,355 t(Limit)+338.75t(2020 carry over(1355*25%) (para 4 of Rec. 16-07))</t>
  </si>
  <si>
    <t>Japan´s 2022 adjusted limit = 842 t(Limit)+1520.71 t(2021 carry over(para 1C of Rec.21-02))-150 t(transfer to Morocco(para 1A) of Rec. 21-02)-35 t(transfer to Canada(para 1A of Rec. 21-02))-25 t(transfer to Mauritania(para 1A of Rec. 21-02)).</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</si>
  <si>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</si>
  <si>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</si>
  <si>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</si>
  <si>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</si>
  <si>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</si>
  <si>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</si>
  <si>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</si>
  <si>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JAPAN-W-BFT:Japan's 2022 adjusted limit = 664.52t(Limit)+0.72t(2021 carry over(Para7a of Rec17-06 )</t>
  </si>
  <si>
    <t>JAPAN-BIGEYE: current catch for 2021 includes  5.3t of dead discard.</t>
  </si>
  <si>
    <t>JAPAN-BIGEYE:Japan's 2022 adjusted limit = 13868.00(Para 4 of Rec.21-01)+1769.6(2020 carry over(17696*10%)(Para12 of Rec21-01)-600(transfer to China (Footnote2 of Para.8  of Rec.21-01))-300(transfer to Europian Union (Footnote 2 of Para.8 of Rec.21-01))</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</si>
  <si>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</si>
  <si>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</si>
  <si>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</si>
  <si>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</si>
  <si>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10-2021 Balance (-59.66t)</t>
  </si>
  <si>
    <t>10-2020 Balance (-4.09t)</t>
  </si>
  <si>
    <t>242+(0.25*215)</t>
  </si>
  <si>
    <t>242+(0.25*242)</t>
  </si>
  <si>
    <t>2014-2022: 50t transferred to Belize</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</si>
  <si>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</si>
  <si>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</si>
  <si>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</si>
  <si>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</si>
  <si>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</si>
  <si>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</si>
  <si>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</si>
  <si>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</si>
  <si>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 xml:space="preserve">These cathches were intially reported as SWO-S which seemed incorrect based on this source (https://www.iccat.int/Data/ICCAT_maps.pdf). </t>
  </si>
  <si>
    <t>=1001+20%1001</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</si>
  <si>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</si>
  <si>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</si>
  <si>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</si>
  <si>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</si>
  <si>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</si>
  <si>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</si>
  <si>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</si>
  <si>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From 2016 to 2021, USA has transferred 50t to Namibia in accordance with Rec. 16-04/17-03.</t>
  </si>
  <si>
    <t>=1168+20%1168+50+50</t>
  </si>
  <si>
    <t>Adjusted limit for 2022 = 1341.14 + (.1)(1272.86) = 1468.43 t****</t>
  </si>
  <si>
    <t>****reflects that 10% of the 2021 initial quota may be carried forward to 2022</t>
  </si>
  <si>
    <t>Initial quota/catch limit includes 25 t allocation for by-catch, as per Rec. 17-06 para 6a, Rec. 20-06 Para 1(4), and Rec. 21-07 Para 1(D).</t>
  </si>
  <si>
    <t>Belize is carrying forward 25% of its initial catch limit (60.5t) from its balance of 268.10t in 2021 to be used in 2023</t>
  </si>
  <si>
    <t>Transfer of 200t from Chinese Taipei to Belize in 2022 and 2023</t>
  </si>
  <si>
    <t>Belize is carrying forward 25% of its initial balance (62.5 t) from its balance of 281.66 in 2021 to be used in 2023</t>
  </si>
  <si>
    <t>Limit + Underages</t>
  </si>
  <si>
    <t>Belize is carrying forward 40% of its initial limit (52 t) from its initial balance of 163 t in 2021 to be used in 2023. Transfer of 75 t from Trinidad and Tobago to Belize</t>
  </si>
  <si>
    <t>Belize is carrying forward 20% of its initial limit (25 t) from its balance of 245.92 t in 2021 to be used in 2023.Transfer of 25 t from USA to Belize. Transfer of 50 t from Brazil to Belize.Transfer of 50 t from Uruguay to Belize</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</si>
  <si>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</si>
  <si>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</si>
  <si>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</si>
  <si>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</si>
  <si>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</si>
  <si>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</si>
  <si>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</si>
  <si>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</si>
  <si>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</si>
  <si>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</si>
  <si>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</si>
  <si>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</si>
  <si>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=IQ2023+MAX. 0.20*IQ2021</t>
  </si>
  <si>
    <t>IQ2021+53.75</t>
  </si>
  <si>
    <t>IQ2023+MAX 25% IQ2021</t>
  </si>
  <si>
    <t>IQ2022+53.75</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</si>
  <si>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125t. </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</si>
  <si>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</si>
  <si>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</si>
  <si>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</si>
  <si>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</si>
  <si>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</si>
  <si>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2015-2022: 25t transferred to Mauritania</t>
  </si>
  <si>
    <t>2021= 128.44+25.90-transfer to Canada (60t) por Rec. 20-06</t>
  </si>
  <si>
    <t>2022= 128.44+32.34-transfer to Canada (to be determined) por Rec. 21-07</t>
  </si>
  <si>
    <t>(6)</t>
  </si>
  <si>
    <t>(6) Límite ajustado 2022 = Límite 2022 + Saldo 2021</t>
  </si>
  <si>
    <t xml:space="preserve">(1) Límite ajustado 2017 = Límite 2017 + Saldo 2016 </t>
  </si>
  <si>
    <t>=215+(MAX. 25% from 2020 quota= 13.27t)</t>
  </si>
  <si>
    <t>=215+(MAX. 25% from 2019 quota= 38.35t)</t>
  </si>
  <si>
    <t>Limite ajustee 2022 = Limite 2022 + max. Solde (Limite 2020*0.4) -transfert Canada (125 t+25 t) = 250 + (250 * 0.4) -150= 200 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</si>
  <si>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</si>
  <si>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</si>
  <si>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(1) Límite ajustado 2021 = Límite 2021 + Saldo 2020</t>
  </si>
  <si>
    <t>(2) Límite ajustado 2022 = Límite 2022 + Saldo 2021</t>
  </si>
  <si>
    <t>2017 = Initial allocation  + underharvest from 2016 + 73.98(transfer from MEX) Rec. 16-08</t>
  </si>
  <si>
    <t>2018 = Initial allocation +Mexican transfer (60.44) + underharvest from 2017 (MAX 10% IQ 2017)</t>
  </si>
  <si>
    <t>2020 = Initial allocation +Mexican transfer (100.44) + SPM transfer (4.78)+ underharvest from 2019 (39.84)</t>
  </si>
  <si>
    <t>2022 = Initial allocation + SPM transfer (4.78) + underharvest from 2021 (17.70)</t>
  </si>
  <si>
    <t>2019 = Initial allocation +Mexican transfer (79.44) + SPM transfer (9.62)+ underharvest from 2018 (53.06 = 10% of 2018 initial)</t>
  </si>
  <si>
    <t>2021 = Initial allocation +Mexican transfer (60) + SPM transfer (4.78)+ underharvest from 2020 (53.06 = 10% of 2020 initial)</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</si>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</sst>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6"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b/>
      <sz val="10"/>
      <color theme="1"/>
      <name val="Cambria"/>
      <family val="1"/>
    </font>
    <font>
      <sz val="10"/>
      <name val="Arial"/>
      <family val="2"/>
    </font>
    <font>
      <b/>
      <sz val="10"/>
      <color theme="1"/>
      <name val="Calibri"/>
      <family val="2"/>
      <scheme val="minor"/>
    </font>
    <font>
      <sz val="11"/>
      <color theme="1"/>
      <name val="Calibri"/>
      <family val="2"/>
      <scheme val="minor"/>
    </font>
    <font>
      <sz val="11"/>
      <color theme="1"/>
      <name val="Cambria"/>
      <family val="1"/>
    </font>
    <font>
      <sz val="8"/>
      <name val="Calibri"/>
      <family val="2"/>
      <scheme val="minor"/>
    </font>
    <font>
      <sz val="8"/>
      <color theme="1"/>
      <name val="Cambria"/>
      <family val="1"/>
    </font>
    <font>
      <sz val="10"/>
      <color theme="1"/>
      <name val="Times New Roman"/>
      <family val="1"/>
    </font>
    <font>
      <vertAlign val="superscript"/>
      <sz val="10"/>
      <color theme="1"/>
      <name val="Cambria"/>
      <family val="1"/>
    </font>
    <font>
      <strike/>
      <sz val="10"/>
      <color theme="1"/>
      <name val="Cambria"/>
      <family val="1"/>
    </font>
    <font>
      <sz val="10"/>
      <color theme="1"/>
      <name val="Arial"/>
      <family val="2"/>
    </font>
    <font>
      <b/>
      <sz val="10"/>
      <color rgb="FFFF0000"/>
      <name val="Cambria"/>
      <family val="1"/>
    </font>
    <font>
      <sz val="10"/>
      <name val="Cambria"/>
      <family val="1"/>
    </font>
    <font>
      <sz val="10"/>
      <name val="Times New Roman"/>
      <family val="1"/>
    </font>
    <font>
      <sz val="10"/>
      <color rgb="FFFF0000"/>
      <name val="Times New Roman"/>
      <family val="1"/>
    </font>
    <font>
      <b/>
      <sz val="10"/>
      <color rgb="FFFF0000"/>
      <name val="Times New Roman"/>
      <family val="1"/>
    </font>
    <font>
      <strike/>
      <sz val="10"/>
      <color rgb="FFFF0000"/>
      <name val="Cambria"/>
      <family val="1"/>
    </font>
    <font>
      <b/>
      <strike/>
      <sz val="10"/>
      <color rgb="FFFF0000"/>
      <name val="Cambria"/>
      <family val="1"/>
    </font>
  </fonts>
  <fills count="7">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9" fillId="0" borderId="0"/>
    <xf numFmtId="0" fontId="1" fillId="0" borderId="0"/>
  </cellStyleXfs>
  <cellXfs count="634">
    <xf numFmtId="0" fontId="0" fillId="0" borderId="0" xfId="0"/>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0" xfId="1" applyFont="1"/>
    <xf numFmtId="0" fontId="7" fillId="0" borderId="1" xfId="1" applyFont="1" applyBorder="1"/>
    <xf numFmtId="0" fontId="7" fillId="0" borderId="4" xfId="1" applyFont="1" applyBorder="1"/>
    <xf numFmtId="0" fontId="7" fillId="0" borderId="2" xfId="1" applyFont="1" applyBorder="1"/>
    <xf numFmtId="166" fontId="7" fillId="0" borderId="4" xfId="1" applyNumberFormat="1" applyFont="1" applyBorder="1" applyAlignment="1">
      <alignment horizontal="right" vertical="center"/>
    </xf>
    <xf numFmtId="0" fontId="7" fillId="0" borderId="4" xfId="1" applyFont="1" applyBorder="1" applyAlignment="1">
      <alignment horizontal="right"/>
    </xf>
    <xf numFmtId="0" fontId="8" fillId="0" borderId="2" xfId="1" applyFont="1" applyBorder="1"/>
    <xf numFmtId="0" fontId="7" fillId="0" borderId="11" xfId="1" applyFont="1" applyBorder="1"/>
    <xf numFmtId="0" fontId="7" fillId="0" borderId="6" xfId="1" applyFont="1" applyBorder="1"/>
    <xf numFmtId="0" fontId="8" fillId="0" borderId="1" xfId="1" applyFont="1" applyBorder="1"/>
    <xf numFmtId="0" fontId="7" fillId="0" borderId="12" xfId="1" applyFont="1" applyBorder="1"/>
    <xf numFmtId="0" fontId="8" fillId="0" borderId="0" xfId="0" applyFont="1"/>
    <xf numFmtId="0" fontId="7" fillId="0" borderId="0" xfId="0" applyFont="1"/>
    <xf numFmtId="0" fontId="7" fillId="0" borderId="12" xfId="0" applyFont="1" applyBorder="1"/>
    <xf numFmtId="0" fontId="7" fillId="0" borderId="10" xfId="0" applyFont="1" applyBorder="1"/>
    <xf numFmtId="0" fontId="7" fillId="0" borderId="4" xfId="0" applyFont="1" applyBorder="1"/>
    <xf numFmtId="2" fontId="7" fillId="0" borderId="4" xfId="0" applyNumberFormat="1" applyFont="1" applyBorder="1"/>
    <xf numFmtId="0" fontId="10" fillId="0" borderId="0" xfId="0" applyFont="1"/>
    <xf numFmtId="0" fontId="10" fillId="0" borderId="0" xfId="0" applyFont="1" applyAlignment="1">
      <alignment vertical="center"/>
    </xf>
    <xf numFmtId="0" fontId="12" fillId="0" borderId="0" xfId="0" applyFont="1"/>
    <xf numFmtId="0" fontId="7" fillId="0" borderId="4" xfId="1" applyFont="1" applyBorder="1" applyAlignment="1">
      <alignment horizontal="right" wrapText="1"/>
    </xf>
    <xf numFmtId="0" fontId="7" fillId="0" borderId="0" xfId="1" applyFont="1" applyAlignment="1">
      <alignment wrapText="1"/>
    </xf>
    <xf numFmtId="2" fontId="7" fillId="0" borderId="4" xfId="1" applyNumberFormat="1"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xf numFmtId="0" fontId="7" fillId="0" borderId="3" xfId="0" applyFont="1" applyBorder="1"/>
    <xf numFmtId="0" fontId="7" fillId="0" borderId="0" xfId="1" applyFont="1" applyAlignment="1">
      <alignment horizontal="left" wrapText="1"/>
    </xf>
    <xf numFmtId="0" fontId="7" fillId="0" borderId="15" xfId="0" applyFont="1" applyBorder="1"/>
    <xf numFmtId="0" fontId="7" fillId="0" borderId="7" xfId="1" applyFont="1" applyBorder="1"/>
    <xf numFmtId="0" fontId="7" fillId="0" borderId="15" xfId="1" applyFont="1" applyBorder="1"/>
    <xf numFmtId="0" fontId="7" fillId="0" borderId="9" xfId="1" applyFont="1" applyBorder="1"/>
    <xf numFmtId="0" fontId="7" fillId="0" borderId="4" xfId="0" applyFont="1" applyBorder="1" applyAlignment="1">
      <alignment horizontal="center" wrapText="1"/>
    </xf>
    <xf numFmtId="0" fontId="7" fillId="0" borderId="4" xfId="0" applyFont="1" applyBorder="1" applyAlignment="1">
      <alignment wrapText="1"/>
    </xf>
    <xf numFmtId="0" fontId="8" fillId="0" borderId="4" xfId="0" applyFont="1" applyBorder="1"/>
    <xf numFmtId="2" fontId="7" fillId="0" borderId="0" xfId="0" applyNumberFormat="1" applyFont="1"/>
    <xf numFmtId="0" fontId="7" fillId="0" borderId="15" xfId="0" applyFont="1" applyBorder="1" applyAlignment="1">
      <alignment vertical="center"/>
    </xf>
    <xf numFmtId="2" fontId="7" fillId="0" borderId="4" xfId="0" applyNumberFormat="1" applyFont="1" applyBorder="1" applyAlignment="1">
      <alignment horizontal="right" vertical="center"/>
    </xf>
    <xf numFmtId="2" fontId="7" fillId="0" borderId="4" xfId="0" applyNumberFormat="1" applyFont="1" applyBorder="1" applyAlignment="1">
      <alignment vertical="center"/>
    </xf>
    <xf numFmtId="0" fontId="8" fillId="0" borderId="4" xfId="0" applyFont="1" applyBorder="1" applyAlignment="1">
      <alignment horizontal="right" vertical="center"/>
    </xf>
    <xf numFmtId="2" fontId="7" fillId="0" borderId="2" xfId="1" applyNumberFormat="1" applyFont="1" applyBorder="1"/>
    <xf numFmtId="166" fontId="7" fillId="0" borderId="4" xfId="1" applyNumberFormat="1" applyFont="1" applyBorder="1" applyAlignment="1">
      <alignment horizontal="right"/>
    </xf>
    <xf numFmtId="0" fontId="7" fillId="0" borderId="8" xfId="1" applyFont="1" applyBorder="1"/>
    <xf numFmtId="2" fontId="6" fillId="0" borderId="4" xfId="0" applyNumberFormat="1" applyFont="1" applyBorder="1"/>
    <xf numFmtId="0" fontId="7" fillId="0" borderId="1" xfId="0" applyFont="1" applyBorder="1"/>
    <xf numFmtId="2" fontId="7" fillId="0" borderId="4" xfId="0" applyNumberFormat="1" applyFont="1" applyBorder="1" applyAlignment="1">
      <alignment horizontal="right"/>
    </xf>
    <xf numFmtId="2" fontId="7" fillId="0" borderId="4" xfId="0" applyNumberFormat="1" applyFont="1" applyBorder="1" applyAlignment="1">
      <alignment horizontal="right" vertical="center" wrapText="1"/>
    </xf>
    <xf numFmtId="0" fontId="7" fillId="0" borderId="7" xfId="0" applyFont="1" applyBorder="1"/>
    <xf numFmtId="0" fontId="7" fillId="0" borderId="0" xfId="0" applyFont="1" applyAlignment="1">
      <alignment horizontal="left"/>
    </xf>
    <xf numFmtId="0" fontId="8" fillId="0" borderId="4" xfId="0" applyFont="1" applyBorder="1" applyAlignment="1">
      <alignment horizontal="center"/>
    </xf>
    <xf numFmtId="0" fontId="7" fillId="0" borderId="16" xfId="0" applyFont="1" applyBorder="1"/>
    <xf numFmtId="2" fontId="7" fillId="0" borderId="16" xfId="0" applyNumberFormat="1" applyFont="1" applyBorder="1" applyAlignment="1">
      <alignment horizontal="right"/>
    </xf>
    <xf numFmtId="0" fontId="7" fillId="0" borderId="4" xfId="0" applyFont="1" applyBorder="1" applyAlignment="1">
      <alignment horizontal="center"/>
    </xf>
    <xf numFmtId="0" fontId="8" fillId="0" borderId="2" xfId="0" applyFont="1" applyBorder="1"/>
    <xf numFmtId="0" fontId="7" fillId="0" borderId="2" xfId="0" applyFont="1" applyBorder="1"/>
    <xf numFmtId="0" fontId="7" fillId="0" borderId="15" xfId="0" applyFont="1" applyBorder="1" applyAlignment="1">
      <alignment horizontal="center"/>
    </xf>
    <xf numFmtId="0" fontId="7" fillId="0" borderId="5" xfId="0" applyFont="1" applyBorder="1"/>
    <xf numFmtId="0" fontId="7" fillId="0" borderId="11" xfId="0" applyFont="1" applyBorder="1" applyAlignment="1">
      <alignment horizontal="left"/>
    </xf>
    <xf numFmtId="0" fontId="7" fillId="0" borderId="4" xfId="1" applyFont="1" applyBorder="1" applyAlignment="1">
      <alignment horizontal="center"/>
    </xf>
    <xf numFmtId="0" fontId="8" fillId="0" borderId="5" xfId="0" applyFont="1" applyBorder="1"/>
    <xf numFmtId="0" fontId="7" fillId="0" borderId="15" xfId="0" applyFont="1" applyBorder="1" applyAlignment="1">
      <alignment horizontal="right" vertical="center"/>
    </xf>
    <xf numFmtId="2" fontId="7" fillId="0" borderId="4" xfId="1" applyNumberFormat="1" applyFont="1" applyBorder="1" applyProtection="1">
      <protection locked="0"/>
    </xf>
    <xf numFmtId="2" fontId="7" fillId="0" borderId="4" xfId="1" applyNumberFormat="1" applyFont="1" applyBorder="1" applyAlignment="1" applyProtection="1">
      <alignment horizontal="right"/>
      <protection locked="0"/>
    </xf>
    <xf numFmtId="2" fontId="7" fillId="0" borderId="4" xfId="1"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2" fontId="7" fillId="0" borderId="4" xfId="1" applyNumberFormat="1" applyFont="1" applyBorder="1" applyAlignment="1" applyProtection="1">
      <alignment horizontal="right" vertical="center" wrapText="1"/>
      <protection locked="0"/>
    </xf>
    <xf numFmtId="0" fontId="7" fillId="0" borderId="15" xfId="1" applyFont="1" applyBorder="1" applyAlignment="1">
      <alignment horizontal="center"/>
    </xf>
    <xf numFmtId="0" fontId="8" fillId="0" borderId="1" xfId="0" applyFont="1" applyBorder="1" applyAlignment="1">
      <alignment horizontal="center"/>
    </xf>
    <xf numFmtId="0" fontId="7" fillId="0" borderId="9" xfId="1" applyFont="1" applyBorder="1" applyAlignment="1">
      <alignment horizontal="center"/>
    </xf>
    <xf numFmtId="0" fontId="7" fillId="0" borderId="0" xfId="0" applyFont="1" applyAlignment="1">
      <alignment wrapText="1"/>
    </xf>
    <xf numFmtId="0" fontId="7" fillId="0" borderId="4" xfId="0" quotePrefix="1" applyFont="1" applyBorder="1" applyAlignment="1">
      <alignment wrapText="1"/>
    </xf>
    <xf numFmtId="0" fontId="6" fillId="0" borderId="4" xfId="0" applyFont="1" applyBorder="1" applyAlignment="1">
      <alignment wrapText="1"/>
    </xf>
    <xf numFmtId="1" fontId="7" fillId="0" borderId="15" xfId="0" applyNumberFormat="1" applyFont="1" applyBorder="1" applyAlignment="1">
      <alignment horizontal="center"/>
    </xf>
    <xf numFmtId="0" fontId="8" fillId="0" borderId="3" xfId="0" applyFont="1" applyBorder="1"/>
    <xf numFmtId="0" fontId="7" fillId="0" borderId="11" xfId="0" applyFont="1" applyBorder="1" applyAlignment="1">
      <alignment vertical="center"/>
    </xf>
    <xf numFmtId="0" fontId="8" fillId="0" borderId="11" xfId="0" applyFont="1" applyBorder="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7" xfId="0" applyFont="1" applyBorder="1" applyAlignment="1">
      <alignment horizontal="left"/>
    </xf>
    <xf numFmtId="0" fontId="7" fillId="0" borderId="12" xfId="0" applyFont="1" applyBorder="1" applyAlignment="1">
      <alignment horizontal="left"/>
    </xf>
    <xf numFmtId="0" fontId="8" fillId="0" borderId="4" xfId="1" applyFont="1" applyBorder="1" applyAlignment="1">
      <alignment horizontal="center"/>
    </xf>
    <xf numFmtId="0" fontId="8" fillId="0" borderId="2" xfId="1" applyFont="1" applyBorder="1" applyAlignment="1">
      <alignment horizontal="center"/>
    </xf>
    <xf numFmtId="0" fontId="7" fillId="0" borderId="5" xfId="1" applyFont="1" applyBorder="1"/>
    <xf numFmtId="0" fontId="7" fillId="0" borderId="7" xfId="1" applyFont="1" applyBorder="1" applyAlignment="1">
      <alignment horizontal="left"/>
    </xf>
    <xf numFmtId="0" fontId="7" fillId="0" borderId="8" xfId="1" applyFont="1" applyBorder="1" applyAlignment="1">
      <alignment horizontal="left"/>
    </xf>
    <xf numFmtId="2" fontId="7" fillId="0" borderId="4" xfId="1" quotePrefix="1" applyNumberFormat="1" applyFont="1" applyBorder="1" applyAlignment="1">
      <alignment horizontal="right"/>
    </xf>
    <xf numFmtId="0" fontId="7" fillId="0" borderId="8" xfId="0" applyFont="1" applyBorder="1" applyAlignment="1">
      <alignment horizontal="center"/>
    </xf>
    <xf numFmtId="0" fontId="7" fillId="0" borderId="9"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2" fontId="7" fillId="0" borderId="4" xfId="0" applyNumberFormat="1" applyFont="1" applyBorder="1" applyAlignment="1">
      <alignment horizontal="center" wrapText="1"/>
    </xf>
    <xf numFmtId="0" fontId="8" fillId="0" borderId="6" xfId="0" applyFont="1" applyBorder="1" applyAlignment="1">
      <alignment horizontal="center"/>
    </xf>
    <xf numFmtId="0" fontId="8" fillId="0" borderId="8" xfId="0" applyFont="1" applyBorder="1"/>
    <xf numFmtId="2" fontId="7" fillId="0" borderId="4" xfId="0" applyNumberFormat="1" applyFont="1" applyBorder="1" applyAlignment="1">
      <alignment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1" fontId="7" fillId="0" borderId="15" xfId="0" applyNumberFormat="1" applyFont="1" applyBorder="1" applyAlignment="1">
      <alignment horizontal="right"/>
    </xf>
    <xf numFmtId="1" fontId="7" fillId="0" borderId="8" xfId="0" applyNumberFormat="1" applyFont="1" applyBorder="1" applyAlignment="1">
      <alignment horizontal="right"/>
    </xf>
    <xf numFmtId="1" fontId="7" fillId="0" borderId="9" xfId="0" applyNumberFormat="1" applyFont="1" applyBorder="1" applyAlignment="1">
      <alignment horizontal="right"/>
    </xf>
    <xf numFmtId="0" fontId="8" fillId="0" borderId="4" xfId="0" applyFont="1" applyBorder="1" applyAlignment="1">
      <alignment horizontal="center" wrapText="1"/>
    </xf>
    <xf numFmtId="0" fontId="8" fillId="0" borderId="5" xfId="0" applyFont="1" applyBorder="1" applyAlignment="1">
      <alignment horizontal="center" wrapText="1"/>
    </xf>
    <xf numFmtId="2" fontId="7" fillId="0" borderId="5" xfId="0" applyNumberFormat="1" applyFont="1" applyBorder="1" applyAlignment="1">
      <alignment wrapText="1"/>
    </xf>
    <xf numFmtId="2" fontId="7" fillId="0" borderId="2" xfId="0" applyNumberFormat="1" applyFont="1" applyBorder="1" applyAlignment="1">
      <alignment wrapText="1"/>
    </xf>
    <xf numFmtId="0" fontId="7" fillId="0" borderId="5" xfId="0" applyFont="1" applyBorder="1" applyAlignment="1">
      <alignment wrapText="1"/>
    </xf>
    <xf numFmtId="0" fontId="7" fillId="0" borderId="2" xfId="0" applyFont="1" applyBorder="1" applyAlignment="1">
      <alignment wrapText="1"/>
    </xf>
    <xf numFmtId="0" fontId="8" fillId="0" borderId="1" xfId="0" applyFont="1" applyBorder="1"/>
    <xf numFmtId="0" fontId="8" fillId="0" borderId="4" xfId="0" applyFont="1" applyBorder="1" applyAlignment="1">
      <alignment wrapText="1"/>
    </xf>
    <xf numFmtId="0" fontId="8" fillId="4" borderId="4" xfId="0" applyFont="1" applyFill="1" applyBorder="1" applyAlignment="1">
      <alignment horizontal="center"/>
    </xf>
    <xf numFmtId="0" fontId="8" fillId="4" borderId="5" xfId="0" applyFont="1" applyFill="1" applyBorder="1" applyAlignment="1">
      <alignment horizontal="center"/>
    </xf>
    <xf numFmtId="2" fontId="7" fillId="4" borderId="4" xfId="0" applyNumberFormat="1" applyFont="1" applyFill="1" applyBorder="1"/>
    <xf numFmtId="2" fontId="7" fillId="4" borderId="5" xfId="0" applyNumberFormat="1" applyFont="1" applyFill="1" applyBorder="1"/>
    <xf numFmtId="2" fontId="7" fillId="4" borderId="2" xfId="0" applyNumberFormat="1" applyFont="1" applyFill="1" applyBorder="1"/>
    <xf numFmtId="0" fontId="7" fillId="4" borderId="4" xfId="0" applyFont="1" applyFill="1" applyBorder="1"/>
    <xf numFmtId="0" fontId="7" fillId="4" borderId="5" xfId="0" applyFont="1" applyFill="1" applyBorder="1"/>
    <xf numFmtId="0" fontId="7" fillId="4" borderId="2" xfId="0" applyFont="1" applyFill="1" applyBorder="1"/>
    <xf numFmtId="0" fontId="7" fillId="4" borderId="15" xfId="0" applyFont="1" applyFill="1" applyBorder="1"/>
    <xf numFmtId="0" fontId="7" fillId="4" borderId="8" xfId="0" applyFont="1" applyFill="1" applyBorder="1"/>
    <xf numFmtId="0" fontId="7" fillId="4" borderId="9" xfId="0" applyFont="1" applyFill="1" applyBorder="1"/>
    <xf numFmtId="2" fontId="7" fillId="0" borderId="5" xfId="0" applyNumberFormat="1" applyFont="1" applyBorder="1"/>
    <xf numFmtId="2" fontId="7" fillId="0" borderId="2" xfId="0" applyNumberFormat="1" applyFont="1" applyBorder="1"/>
    <xf numFmtId="0" fontId="7" fillId="0" borderId="2" xfId="0" applyFont="1" applyBorder="1" applyAlignment="1">
      <alignment horizontal="left"/>
    </xf>
    <xf numFmtId="0" fontId="7" fillId="0" borderId="5" xfId="0" applyFont="1" applyBorder="1" applyAlignment="1">
      <alignment horizontal="left"/>
    </xf>
    <xf numFmtId="0" fontId="7" fillId="0" borderId="8" xfId="1" applyFont="1" applyBorder="1" applyAlignment="1">
      <alignment horizontal="center"/>
    </xf>
    <xf numFmtId="2" fontId="7" fillId="0" borderId="4" xfId="1" applyNumberFormat="1" applyFont="1" applyBorder="1" applyAlignment="1">
      <alignment horizontal="right"/>
    </xf>
    <xf numFmtId="2" fontId="7" fillId="0" borderId="4" xfId="1" applyNumberFormat="1" applyFont="1" applyBorder="1" applyAlignment="1">
      <alignment horizontal="right" wrapText="1"/>
    </xf>
    <xf numFmtId="0" fontId="7" fillId="0" borderId="11" xfId="1" applyFont="1" applyBorder="1" applyAlignment="1">
      <alignment horizontal="left"/>
    </xf>
    <xf numFmtId="0" fontId="7" fillId="0" borderId="6" xfId="1" applyFont="1" applyBorder="1" applyAlignment="1">
      <alignment horizontal="left"/>
    </xf>
    <xf numFmtId="0" fontId="7" fillId="0" borderId="3" xfId="1" applyFont="1" applyBorder="1" applyAlignment="1">
      <alignment horizontal="left"/>
    </xf>
    <xf numFmtId="0" fontId="7" fillId="0" borderId="16" xfId="1" applyFont="1" applyBorder="1"/>
    <xf numFmtId="0" fontId="8" fillId="0" borderId="16" xfId="0" applyFont="1" applyBorder="1" applyAlignment="1">
      <alignment horizontal="center"/>
    </xf>
    <xf numFmtId="0" fontId="8" fillId="0" borderId="2" xfId="0" applyFont="1" applyBorder="1" applyAlignment="1">
      <alignment horizontal="center"/>
    </xf>
    <xf numFmtId="0" fontId="8" fillId="0" borderId="16" xfId="1" applyFont="1" applyBorder="1" applyAlignment="1">
      <alignment horizontal="center"/>
    </xf>
    <xf numFmtId="0" fontId="8" fillId="2" borderId="15" xfId="1" applyFont="1" applyFill="1" applyBorder="1"/>
    <xf numFmtId="0" fontId="7" fillId="0" borderId="17" xfId="4" applyFont="1" applyBorder="1"/>
    <xf numFmtId="0" fontId="7" fillId="0" borderId="19" xfId="4" applyFont="1" applyBorder="1"/>
    <xf numFmtId="0" fontId="8" fillId="0" borderId="26" xfId="4" applyFont="1" applyBorder="1" applyAlignment="1">
      <alignment horizontal="center"/>
    </xf>
    <xf numFmtId="0" fontId="8" fillId="0" borderId="18" xfId="4" applyFont="1" applyBorder="1" applyAlignment="1">
      <alignment horizontal="center"/>
    </xf>
    <xf numFmtId="0" fontId="8" fillId="0" borderId="19" xfId="4" applyFont="1" applyBorder="1" applyAlignment="1">
      <alignment horizontal="center"/>
    </xf>
    <xf numFmtId="0" fontId="8" fillId="0" borderId="20" xfId="4" applyFont="1" applyBorder="1" applyAlignment="1">
      <alignment horizontal="center"/>
    </xf>
    <xf numFmtId="0" fontId="8" fillId="0" borderId="4" xfId="4" applyFont="1" applyBorder="1" applyAlignment="1">
      <alignment horizontal="center"/>
    </xf>
    <xf numFmtId="2" fontId="7" fillId="0" borderId="19" xfId="4" applyNumberFormat="1" applyFont="1" applyBorder="1" applyAlignment="1">
      <alignment horizontal="right"/>
    </xf>
    <xf numFmtId="2" fontId="7" fillId="0" borderId="19" xfId="4" applyNumberFormat="1" applyFont="1" applyBorder="1"/>
    <xf numFmtId="2" fontId="7" fillId="0" borderId="20" xfId="4" applyNumberFormat="1" applyFont="1" applyBorder="1"/>
    <xf numFmtId="2" fontId="7" fillId="0" borderId="4" xfId="4" applyNumberFormat="1" applyFont="1" applyBorder="1"/>
    <xf numFmtId="2" fontId="7" fillId="0" borderId="22" xfId="4" applyNumberFormat="1" applyFont="1" applyBorder="1"/>
    <xf numFmtId="0" fontId="7" fillId="0" borderId="27" xfId="4" applyFont="1" applyBorder="1"/>
    <xf numFmtId="0" fontId="7" fillId="0" borderId="28" xfId="4" applyFont="1" applyBorder="1"/>
    <xf numFmtId="0" fontId="7" fillId="0" borderId="28" xfId="4" applyFont="1" applyBorder="1" applyAlignment="1">
      <alignment horizontal="center"/>
    </xf>
    <xf numFmtId="0" fontId="7" fillId="0" borderId="23" xfId="4" applyFont="1" applyBorder="1" applyAlignment="1">
      <alignment horizontal="center"/>
    </xf>
    <xf numFmtId="0" fontId="7" fillId="0" borderId="29" xfId="4" applyFont="1" applyBorder="1" applyAlignment="1">
      <alignment horizontal="center"/>
    </xf>
    <xf numFmtId="0" fontId="7" fillId="0" borderId="7" xfId="4" applyFont="1" applyBorder="1"/>
    <xf numFmtId="0" fontId="7" fillId="0" borderId="8" xfId="4" applyFont="1" applyBorder="1"/>
    <xf numFmtId="0" fontId="7" fillId="0" borderId="9" xfId="4" applyFont="1" applyBorder="1"/>
    <xf numFmtId="0" fontId="7" fillId="0" borderId="12" xfId="4" applyFont="1" applyBorder="1"/>
    <xf numFmtId="0" fontId="7" fillId="0" borderId="0" xfId="4" applyFont="1"/>
    <xf numFmtId="0" fontId="7" fillId="0" borderId="10" xfId="4" applyFont="1" applyBorder="1"/>
    <xf numFmtId="0" fontId="7" fillId="0" borderId="11" xfId="4" applyFont="1" applyBorder="1"/>
    <xf numFmtId="0" fontId="7" fillId="0" borderId="6" xfId="4" applyFont="1" applyBorder="1"/>
    <xf numFmtId="0" fontId="7" fillId="0" borderId="3" xfId="4" applyFont="1" applyBorder="1"/>
    <xf numFmtId="0" fontId="8" fillId="0" borderId="17" xfId="4" applyFont="1" applyBorder="1"/>
    <xf numFmtId="0" fontId="8" fillId="0" borderId="20" xfId="4" applyFont="1" applyBorder="1"/>
    <xf numFmtId="0" fontId="8" fillId="0" borderId="4" xfId="4" applyFont="1" applyBorder="1"/>
    <xf numFmtId="2" fontId="7" fillId="0" borderId="21" xfId="4" applyNumberFormat="1" applyFont="1" applyBorder="1"/>
    <xf numFmtId="2" fontId="7" fillId="0" borderId="22" xfId="4" applyNumberFormat="1" applyFont="1" applyBorder="1" applyAlignment="1">
      <alignment horizontal="right"/>
    </xf>
    <xf numFmtId="0" fontId="7" fillId="0" borderId="0" xfId="4" applyFont="1" applyAlignment="1">
      <alignment horizontal="center"/>
    </xf>
    <xf numFmtId="0" fontId="7" fillId="0" borderId="15" xfId="4" applyFont="1" applyBorder="1" applyAlignment="1">
      <alignment horizontal="center"/>
    </xf>
    <xf numFmtId="2" fontId="7" fillId="0" borderId="4" xfId="4" applyNumberFormat="1" applyFont="1" applyBorder="1" applyAlignment="1">
      <alignment horizontal="right"/>
    </xf>
    <xf numFmtId="2" fontId="7" fillId="0" borderId="26" xfId="4" applyNumberFormat="1" applyFont="1" applyBorder="1" applyAlignment="1">
      <alignment horizontal="right"/>
    </xf>
    <xf numFmtId="0" fontId="7" fillId="0" borderId="19" xfId="4" applyFont="1" applyBorder="1" applyAlignment="1">
      <alignment horizontal="right"/>
    </xf>
    <xf numFmtId="0" fontId="7" fillId="0" borderId="20" xfId="4" applyFont="1" applyBorder="1"/>
    <xf numFmtId="0" fontId="8" fillId="0" borderId="21" xfId="4" applyFont="1" applyBorder="1" applyAlignment="1">
      <alignment horizontal="center"/>
    </xf>
    <xf numFmtId="0" fontId="8" fillId="0" borderId="0" xfId="4" applyFont="1" applyAlignment="1">
      <alignment horizontal="center"/>
    </xf>
    <xf numFmtId="0" fontId="8" fillId="0" borderId="28" xfId="4" applyFont="1" applyBorder="1" applyAlignment="1">
      <alignment horizontal="center"/>
    </xf>
    <xf numFmtId="0" fontId="8" fillId="0" borderId="29" xfId="4" applyFont="1" applyBorder="1" applyAlignment="1">
      <alignment horizontal="center"/>
    </xf>
    <xf numFmtId="0" fontId="7" fillId="0" borderId="8" xfId="4" applyFont="1" applyBorder="1" applyAlignment="1">
      <alignment horizontal="center"/>
    </xf>
    <xf numFmtId="0" fontId="8" fillId="0" borderId="2" xfId="0" applyFont="1" applyBorder="1" applyAlignment="1">
      <alignment horizontal="left"/>
    </xf>
    <xf numFmtId="49" fontId="7" fillId="0" borderId="4" xfId="1" applyNumberFormat="1" applyFont="1" applyBorder="1" applyAlignment="1">
      <alignment horizontal="right" wrapText="1"/>
    </xf>
    <xf numFmtId="49" fontId="7" fillId="0" borderId="4" xfId="1" quotePrefix="1" applyNumberFormat="1" applyFont="1" applyBorder="1" applyAlignment="1">
      <alignment horizontal="center" wrapText="1"/>
    </xf>
    <xf numFmtId="49" fontId="7" fillId="0" borderId="4" xfId="1" applyNumberFormat="1" applyFont="1" applyBorder="1" applyAlignment="1">
      <alignment horizontal="center" wrapText="1"/>
    </xf>
    <xf numFmtId="0" fontId="7"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wrapText="1"/>
    </xf>
    <xf numFmtId="0" fontId="7" fillId="0" borderId="9" xfId="0" applyFont="1" applyBorder="1" applyAlignment="1">
      <alignment wrapText="1"/>
    </xf>
    <xf numFmtId="0" fontId="7" fillId="0" borderId="10" xfId="0" applyFont="1" applyBorder="1" applyAlignment="1">
      <alignment horizontal="left" wrapText="1"/>
    </xf>
    <xf numFmtId="0" fontId="7" fillId="0" borderId="10" xfId="0" applyFont="1" applyBorder="1" applyAlignment="1">
      <alignment wrapText="1"/>
    </xf>
    <xf numFmtId="0" fontId="8" fillId="5" borderId="15" xfId="1" applyFont="1" applyFill="1" applyBorder="1"/>
    <xf numFmtId="0" fontId="7" fillId="0" borderId="0" xfId="1" applyFont="1" applyAlignment="1">
      <alignment horizontal="center"/>
    </xf>
    <xf numFmtId="0" fontId="7" fillId="0" borderId="10" xfId="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6" xfId="0" applyFont="1" applyBorder="1" applyAlignment="1">
      <alignment horizontal="left" wrapText="1"/>
    </xf>
    <xf numFmtId="0" fontId="8" fillId="2" borderId="1" xfId="0" applyFont="1" applyFill="1" applyBorder="1"/>
    <xf numFmtId="0" fontId="8" fillId="5" borderId="2" xfId="0" applyFont="1" applyFill="1" applyBorder="1"/>
    <xf numFmtId="1" fontId="7" fillId="0" borderId="4" xfId="0" applyNumberFormat="1" applyFont="1" applyBorder="1"/>
    <xf numFmtId="1" fontId="7" fillId="0" borderId="4" xfId="0" applyNumberFormat="1" applyFont="1" applyBorder="1" applyAlignment="1">
      <alignment wrapText="1"/>
    </xf>
    <xf numFmtId="1" fontId="14" fillId="0" borderId="4" xfId="0" applyNumberFormat="1" applyFont="1" applyBorder="1"/>
    <xf numFmtId="0" fontId="8" fillId="2" borderId="24" xfId="1" applyFont="1" applyFill="1" applyBorder="1"/>
    <xf numFmtId="0" fontId="8" fillId="0" borderId="24" xfId="1" applyFont="1" applyBorder="1"/>
    <xf numFmtId="0" fontId="8" fillId="0" borderId="4" xfId="1" applyFont="1" applyBorder="1"/>
    <xf numFmtId="2" fontId="7" fillId="0" borderId="5" xfId="1" applyNumberFormat="1" applyFont="1" applyBorder="1"/>
    <xf numFmtId="0" fontId="15" fillId="0" borderId="12" xfId="0" applyFont="1" applyBorder="1" applyAlignment="1">
      <alignment horizontal="left"/>
    </xf>
    <xf numFmtId="0" fontId="7" fillId="0" borderId="0" xfId="1" applyFont="1" applyAlignment="1">
      <alignment horizontal="left"/>
    </xf>
    <xf numFmtId="0" fontId="15" fillId="0" borderId="11" xfId="0" applyFont="1" applyBorder="1"/>
    <xf numFmtId="0" fontId="15" fillId="0" borderId="6" xfId="0" applyFont="1" applyBorder="1"/>
    <xf numFmtId="0" fontId="7" fillId="0" borderId="24" xfId="1" applyFont="1" applyBorder="1"/>
    <xf numFmtId="0" fontId="7" fillId="0" borderId="25" xfId="1" applyFont="1" applyBorder="1"/>
    <xf numFmtId="0" fontId="8" fillId="2" borderId="1" xfId="1" applyFont="1" applyFill="1" applyBorder="1"/>
    <xf numFmtId="39" fontId="7" fillId="0" borderId="4" xfId="1" applyNumberFormat="1" applyFont="1" applyBorder="1"/>
    <xf numFmtId="39" fontId="7" fillId="0" borderId="2" xfId="1" applyNumberFormat="1" applyFont="1" applyBorder="1"/>
    <xf numFmtId="164" fontId="7" fillId="0" borderId="4" xfId="1" applyNumberFormat="1" applyFont="1" applyBorder="1"/>
    <xf numFmtId="170" fontId="7" fillId="0" borderId="4" xfId="1" applyNumberFormat="1" applyFont="1" applyBorder="1"/>
    <xf numFmtId="170" fontId="7" fillId="0" borderId="2" xfId="1" applyNumberFormat="1" applyFont="1" applyBorder="1"/>
    <xf numFmtId="164" fontId="7" fillId="0" borderId="4" xfId="1" applyNumberFormat="1" applyFont="1" applyBorder="1" applyAlignment="1">
      <alignment wrapText="1"/>
    </xf>
    <xf numFmtId="1" fontId="7" fillId="0" borderId="15" xfId="1" applyNumberFormat="1" applyFont="1" applyBorder="1"/>
    <xf numFmtId="0" fontId="7" fillId="0" borderId="12" xfId="1" applyFont="1" applyBorder="1" applyAlignment="1">
      <alignment horizontal="left"/>
    </xf>
    <xf numFmtId="164" fontId="7" fillId="0" borderId="2" xfId="1" applyNumberFormat="1" applyFont="1" applyBorder="1"/>
    <xf numFmtId="1" fontId="7" fillId="0" borderId="8" xfId="1" applyNumberFormat="1" applyFont="1" applyBorder="1"/>
    <xf numFmtId="1" fontId="7" fillId="0" borderId="9" xfId="1" applyNumberFormat="1" applyFont="1" applyBorder="1"/>
    <xf numFmtId="0" fontId="7" fillId="2" borderId="1" xfId="0" applyFont="1" applyFill="1" applyBorder="1"/>
    <xf numFmtId="2" fontId="7" fillId="0" borderId="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left" vertical="center" wrapText="1"/>
    </xf>
    <xf numFmtId="0" fontId="8" fillId="0" borderId="16" xfId="0" applyFont="1" applyBorder="1" applyAlignment="1">
      <alignment horizontal="center" vertical="center"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0" fontId="7" fillId="0" borderId="4" xfId="0" quotePrefix="1" applyFont="1" applyBorder="1"/>
    <xf numFmtId="49" fontId="7" fillId="0" borderId="4" xfId="0" applyNumberFormat="1" applyFont="1" applyBorder="1"/>
    <xf numFmtId="49" fontId="7" fillId="0" borderId="2" xfId="0" applyNumberFormat="1" applyFont="1" applyBorder="1"/>
    <xf numFmtId="0" fontId="8" fillId="2" borderId="7" xfId="0" applyFont="1" applyFill="1" applyBorder="1"/>
    <xf numFmtId="0" fontId="8" fillId="5" borderId="15" xfId="0" applyFont="1" applyFill="1" applyBorder="1" applyAlignment="1">
      <alignment horizontal="center"/>
    </xf>
    <xf numFmtId="166" fontId="7" fillId="0" borderId="4" xfId="1" applyNumberFormat="1" applyFont="1" applyBorder="1"/>
    <xf numFmtId="0" fontId="7" fillId="0" borderId="11" xfId="1" applyFont="1" applyBorder="1" applyAlignment="1">
      <alignment horizontal="left" wrapText="1"/>
    </xf>
    <xf numFmtId="0" fontId="7" fillId="0" borderId="6" xfId="1" applyFont="1" applyBorder="1" applyAlignment="1">
      <alignment horizontal="left" wrapText="1"/>
    </xf>
    <xf numFmtId="2" fontId="7" fillId="0" borderId="4" xfId="0" applyNumberFormat="1" applyFont="1" applyBorder="1" applyAlignment="1">
      <alignment horizontal="center" vertical="center" wrapText="1"/>
    </xf>
    <xf numFmtId="2" fontId="7" fillId="0" borderId="1" xfId="0" applyNumberFormat="1" applyFont="1" applyBorder="1"/>
    <xf numFmtId="0" fontId="7" fillId="0" borderId="11" xfId="0" applyFont="1" applyBorder="1" applyProtection="1">
      <protection locked="0"/>
    </xf>
    <xf numFmtId="0" fontId="7" fillId="0" borderId="6" xfId="0" applyFont="1" applyBorder="1" applyAlignment="1" applyProtection="1">
      <alignment wrapText="1"/>
      <protection locked="0"/>
    </xf>
    <xf numFmtId="0" fontId="7" fillId="0" borderId="4" xfId="1" applyFont="1" applyBorder="1" applyAlignment="1" applyProtection="1">
      <alignment horizontal="right"/>
      <protection locked="0"/>
    </xf>
    <xf numFmtId="0" fontId="7" fillId="0" borderId="11" xfId="0" applyFont="1" applyBorder="1" applyAlignment="1">
      <alignment vertical="top"/>
    </xf>
    <xf numFmtId="0" fontId="7" fillId="0" borderId="6"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wrapText="1"/>
    </xf>
    <xf numFmtId="0" fontId="7" fillId="0" borderId="6" xfId="0" applyFont="1" applyBorder="1" applyAlignment="1">
      <alignment vertical="center" wrapText="1"/>
    </xf>
    <xf numFmtId="0" fontId="7" fillId="0" borderId="0" xfId="0" applyFont="1" applyAlignment="1">
      <alignment horizontal="left" vertical="center" wrapText="1"/>
    </xf>
    <xf numFmtId="0" fontId="8" fillId="3" borderId="1" xfId="0" applyFont="1" applyFill="1" applyBorder="1"/>
    <xf numFmtId="0" fontId="8" fillId="0" borderId="1" xfId="0" applyFont="1" applyBorder="1" applyAlignment="1">
      <alignment wrapText="1"/>
    </xf>
    <xf numFmtId="0" fontId="8" fillId="0" borderId="2" xfId="0" applyFont="1" applyBorder="1" applyAlignment="1">
      <alignment wrapText="1"/>
    </xf>
    <xf numFmtId="0" fontId="7" fillId="0" borderId="1" xfId="0" applyFont="1" applyBorder="1" applyAlignment="1">
      <alignment wrapText="1"/>
    </xf>
    <xf numFmtId="0" fontId="7" fillId="0" borderId="7" xfId="0" applyFont="1" applyBorder="1" applyAlignment="1">
      <alignment wrapText="1"/>
    </xf>
    <xf numFmtId="0" fontId="7" fillId="0" borderId="15" xfId="0" applyFont="1" applyBorder="1" applyAlignment="1">
      <alignment wrapText="1"/>
    </xf>
    <xf numFmtId="0" fontId="7" fillId="4" borderId="15" xfId="0" applyFont="1" applyFill="1" applyBorder="1" applyAlignment="1">
      <alignment wrapText="1"/>
    </xf>
    <xf numFmtId="0" fontId="7" fillId="0" borderId="0" xfId="2" applyFont="1"/>
    <xf numFmtId="0" fontId="8" fillId="0" borderId="5" xfId="1" applyFont="1" applyBorder="1" applyAlignment="1">
      <alignment horizontal="center"/>
    </xf>
    <xf numFmtId="1" fontId="7" fillId="0" borderId="15" xfId="1" applyNumberFormat="1" applyFont="1" applyBorder="1" applyAlignment="1">
      <alignment horizontal="center"/>
    </xf>
    <xf numFmtId="0" fontId="7" fillId="0" borderId="7" xfId="0" applyFont="1" applyBorder="1" applyAlignment="1">
      <alignment horizontal="left" vertical="center" wrapText="1"/>
    </xf>
    <xf numFmtId="0" fontId="7" fillId="0" borderId="8" xfId="0" applyFont="1" applyBorder="1" applyAlignment="1">
      <alignment vertical="center" wrapText="1"/>
    </xf>
    <xf numFmtId="0" fontId="7" fillId="0" borderId="0" xfId="0" applyFont="1" applyAlignment="1">
      <alignment vertical="center" wrapText="1"/>
    </xf>
    <xf numFmtId="2" fontId="7" fillId="0" borderId="15" xfId="1" applyNumberFormat="1" applyFont="1" applyBorder="1"/>
    <xf numFmtId="0" fontId="8" fillId="2" borderId="7" xfId="2" applyFont="1" applyFill="1" applyBorder="1"/>
    <xf numFmtId="0" fontId="8" fillId="0" borderId="1" xfId="2" applyFont="1" applyBorder="1"/>
    <xf numFmtId="0" fontId="8" fillId="0" borderId="2" xfId="2" applyFont="1" applyBorder="1"/>
    <xf numFmtId="0" fontId="7" fillId="0" borderId="11" xfId="2" applyFont="1" applyBorder="1"/>
    <xf numFmtId="0" fontId="15" fillId="0" borderId="0" xfId="2" applyFont="1"/>
    <xf numFmtId="0" fontId="7" fillId="0" borderId="1" xfId="2" applyFont="1" applyBorder="1"/>
    <xf numFmtId="40" fontId="7" fillId="0" borderId="4" xfId="2" applyNumberFormat="1" applyFont="1" applyBorder="1"/>
    <xf numFmtId="167" fontId="7" fillId="0" borderId="4" xfId="2" applyNumberFormat="1" applyFont="1" applyBorder="1"/>
    <xf numFmtId="0" fontId="7" fillId="0" borderId="7" xfId="2" applyFont="1" applyBorder="1"/>
    <xf numFmtId="0" fontId="7" fillId="0" borderId="8" xfId="2" applyFont="1" applyBorder="1"/>
    <xf numFmtId="0" fontId="7" fillId="0" borderId="9" xfId="2" applyFont="1" applyBorder="1"/>
    <xf numFmtId="0" fontId="7" fillId="0" borderId="12" xfId="2" applyFont="1" applyBorder="1"/>
    <xf numFmtId="0" fontId="7" fillId="0" borderId="10" xfId="2" applyFont="1" applyBorder="1"/>
    <xf numFmtId="0" fontId="7" fillId="0" borderId="4" xfId="2" applyFont="1" applyBorder="1" applyAlignment="1">
      <alignment horizontal="left"/>
    </xf>
    <xf numFmtId="168" fontId="7" fillId="0" borderId="4" xfId="2" applyNumberFormat="1" applyFont="1" applyBorder="1"/>
    <xf numFmtId="0" fontId="7" fillId="0" borderId="4" xfId="2" applyFont="1" applyBorder="1"/>
    <xf numFmtId="0" fontId="7" fillId="0" borderId="6" xfId="2" applyFont="1" applyBorder="1"/>
    <xf numFmtId="0" fontId="7" fillId="0" borderId="3" xfId="2" applyFont="1" applyBorder="1"/>
    <xf numFmtId="1" fontId="8" fillId="0" borderId="16" xfId="2" applyNumberFormat="1" applyFont="1" applyBorder="1" applyAlignment="1">
      <alignment horizontal="center" vertical="top"/>
    </xf>
    <xf numFmtId="1" fontId="8" fillId="0" borderId="4" xfId="2" applyNumberFormat="1" applyFont="1" applyBorder="1" applyAlignment="1">
      <alignment horizontal="center" vertical="top"/>
    </xf>
    <xf numFmtId="2" fontId="7" fillId="0" borderId="4" xfId="2" applyNumberFormat="1" applyFont="1" applyBorder="1"/>
    <xf numFmtId="0" fontId="7" fillId="0" borderId="15" xfId="2" applyFont="1" applyBorder="1"/>
    <xf numFmtId="0" fontId="7" fillId="0" borderId="15" xfId="2" applyFont="1" applyBorder="1" applyAlignment="1">
      <alignment horizontal="center"/>
    </xf>
    <xf numFmtId="0" fontId="7" fillId="0" borderId="5" xfId="2" applyFont="1" applyBorder="1"/>
    <xf numFmtId="0" fontId="7" fillId="0" borderId="2" xfId="2" applyFont="1" applyBorder="1"/>
    <xf numFmtId="0" fontId="7" fillId="0" borderId="0" xfId="2" applyFont="1" applyAlignment="1">
      <alignment horizontal="left"/>
    </xf>
    <xf numFmtId="0" fontId="7" fillId="0" borderId="0" xfId="2" applyFont="1" applyAlignment="1">
      <alignment horizontal="center"/>
    </xf>
    <xf numFmtId="168" fontId="7" fillId="0" borderId="0" xfId="2" applyNumberFormat="1" applyFont="1"/>
    <xf numFmtId="0" fontId="7" fillId="0" borderId="12" xfId="3" applyFont="1" applyBorder="1" applyAlignment="1">
      <alignment horizontal="left"/>
    </xf>
    <xf numFmtId="0" fontId="17" fillId="0" borderId="0" xfId="2" applyFont="1"/>
    <xf numFmtId="0" fontId="17" fillId="0" borderId="0" xfId="2" applyFont="1" applyAlignment="1">
      <alignment horizontal="center"/>
    </xf>
    <xf numFmtId="0" fontId="17" fillId="0" borderId="10" xfId="2" applyFont="1" applyBorder="1"/>
    <xf numFmtId="0" fontId="17" fillId="0" borderId="0" xfId="0" applyFont="1"/>
    <xf numFmtId="166" fontId="17" fillId="0" borderId="0" xfId="2" applyNumberFormat="1" applyFont="1" applyAlignment="1">
      <alignment horizontal="center"/>
    </xf>
    <xf numFmtId="0" fontId="7" fillId="0" borderId="12" xfId="3" applyFont="1" applyBorder="1"/>
    <xf numFmtId="0" fontId="7" fillId="0" borderId="0" xfId="3" applyFont="1"/>
    <xf numFmtId="0" fontId="7" fillId="0" borderId="10" xfId="3" applyFont="1" applyBorder="1"/>
    <xf numFmtId="0" fontId="7" fillId="0" borderId="11" xfId="3" applyFont="1" applyBorder="1"/>
    <xf numFmtId="0" fontId="7" fillId="0" borderId="6" xfId="3" applyFont="1" applyBorder="1"/>
    <xf numFmtId="0" fontId="7" fillId="0" borderId="3" xfId="3" applyFont="1" applyBorder="1"/>
    <xf numFmtId="1" fontId="7" fillId="0" borderId="4" xfId="2" applyNumberFormat="1" applyFont="1" applyBorder="1"/>
    <xf numFmtId="169" fontId="7" fillId="0" borderId="15" xfId="2" applyNumberFormat="1" applyFont="1" applyBorder="1"/>
    <xf numFmtId="40" fontId="7" fillId="0" borderId="15" xfId="2" applyNumberFormat="1" applyFont="1" applyBorder="1"/>
    <xf numFmtId="0" fontId="7" fillId="0" borderId="12" xfId="2" applyFont="1" applyBorder="1" applyAlignment="1">
      <alignment horizontal="left"/>
    </xf>
    <xf numFmtId="0" fontId="7" fillId="0" borderId="10" xfId="3" applyFont="1" applyBorder="1" applyAlignment="1">
      <alignment wrapText="1"/>
    </xf>
    <xf numFmtId="0" fontId="7" fillId="0" borderId="6" xfId="3" applyFont="1" applyBorder="1" applyAlignment="1">
      <alignment wrapText="1"/>
    </xf>
    <xf numFmtId="0" fontId="7" fillId="0" borderId="3" xfId="3" applyFont="1" applyBorder="1" applyAlignment="1">
      <alignment wrapText="1"/>
    </xf>
    <xf numFmtId="0" fontId="7" fillId="0" borderId="11" xfId="3" applyFont="1" applyBorder="1" applyAlignment="1">
      <alignment horizontal="left"/>
    </xf>
    <xf numFmtId="0" fontId="8" fillId="0" borderId="4" xfId="2" applyFont="1" applyBorder="1"/>
    <xf numFmtId="2" fontId="7" fillId="0" borderId="4" xfId="2" applyNumberFormat="1" applyFont="1" applyBorder="1" applyAlignment="1">
      <alignment horizontal="right"/>
    </xf>
    <xf numFmtId="0" fontId="7" fillId="0" borderId="6" xfId="2" applyFont="1" applyBorder="1" applyAlignment="1">
      <alignment horizontal="center"/>
    </xf>
    <xf numFmtId="0" fontId="8" fillId="0" borderId="7" xfId="2" applyFont="1" applyBorder="1"/>
    <xf numFmtId="1" fontId="8" fillId="0" borderId="2" xfId="2" applyNumberFormat="1" applyFont="1" applyBorder="1" applyAlignment="1">
      <alignment horizontal="center" vertical="top"/>
    </xf>
    <xf numFmtId="1" fontId="8" fillId="0" borderId="13" xfId="2" applyNumberFormat="1" applyFont="1" applyBorder="1" applyAlignment="1">
      <alignment horizontal="center" vertical="top"/>
    </xf>
    <xf numFmtId="2" fontId="7" fillId="0" borderId="2" xfId="2" applyNumberFormat="1" applyFont="1" applyBorder="1" applyAlignment="1">
      <alignment horizontal="right"/>
    </xf>
    <xf numFmtId="2" fontId="7" fillId="0" borderId="2" xfId="2" applyNumberFormat="1" applyFont="1" applyBorder="1"/>
    <xf numFmtId="0" fontId="7" fillId="0" borderId="6" xfId="2" applyFont="1" applyBorder="1" applyAlignment="1">
      <alignment horizontal="left"/>
    </xf>
    <xf numFmtId="0" fontId="7" fillId="0" borderId="3" xfId="2" applyFont="1" applyBorder="1" applyAlignment="1">
      <alignment horizontal="left"/>
    </xf>
    <xf numFmtId="2" fontId="7" fillId="0" borderId="5" xfId="2" applyNumberFormat="1" applyFont="1" applyBorder="1"/>
    <xf numFmtId="40" fontId="7" fillId="0" borderId="9" xfId="2" applyNumberFormat="1" applyFont="1" applyBorder="1"/>
    <xf numFmtId="166" fontId="7" fillId="0" borderId="6" xfId="2" applyNumberFormat="1" applyFont="1" applyBorder="1" applyAlignment="1">
      <alignment horizontal="center"/>
    </xf>
    <xf numFmtId="40" fontId="7" fillId="0" borderId="8" xfId="2" applyNumberFormat="1" applyFont="1" applyBorder="1"/>
    <xf numFmtId="0" fontId="18" fillId="0" borderId="0" xfId="0" applyFont="1"/>
    <xf numFmtId="2" fontId="7" fillId="0" borderId="4" xfId="1" applyNumberFormat="1" applyFont="1" applyBorder="1" applyAlignment="1">
      <alignment vertical="center" wrapText="1"/>
    </xf>
    <xf numFmtId="0" fontId="8" fillId="2" borderId="15" xfId="0" applyFont="1" applyFill="1" applyBorder="1"/>
    <xf numFmtId="2" fontId="7" fillId="0" borderId="4" xfId="0" applyNumberFormat="1" applyFont="1" applyBorder="1" applyAlignment="1">
      <alignment horizontal="center"/>
    </xf>
    <xf numFmtId="0" fontId="7" fillId="0" borderId="0" xfId="0" applyFont="1" applyAlignment="1">
      <alignment horizontal="left" vertical="center"/>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xf>
    <xf numFmtId="0" fontId="8" fillId="0" borderId="6" xfId="0" applyFont="1" applyBorder="1"/>
    <xf numFmtId="2" fontId="7" fillId="0" borderId="13" xfId="0" applyNumberFormat="1" applyFont="1" applyBorder="1" applyAlignment="1">
      <alignment horizontal="right"/>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2" xfId="0" applyNumberFormat="1" applyFont="1" applyBorder="1" applyAlignment="1">
      <alignment horizontal="center"/>
    </xf>
    <xf numFmtId="2" fontId="7" fillId="0" borderId="2" xfId="0" applyNumberFormat="1" applyFont="1" applyBorder="1" applyAlignment="1">
      <alignment horizontal="center"/>
    </xf>
    <xf numFmtId="0" fontId="8" fillId="0" borderId="9" xfId="0" applyFont="1" applyBorder="1" applyAlignment="1">
      <alignment horizontal="left"/>
    </xf>
    <xf numFmtId="0" fontId="8" fillId="0" borderId="15" xfId="0" applyFont="1" applyBorder="1"/>
    <xf numFmtId="0" fontId="8" fillId="0" borderId="16" xfId="0" applyFont="1" applyBorder="1"/>
    <xf numFmtId="0" fontId="8" fillId="0" borderId="8" xfId="0" applyFont="1" applyBorder="1" applyAlignment="1">
      <alignment horizontal="right"/>
    </xf>
    <xf numFmtId="0" fontId="8" fillId="0" borderId="6" xfId="0" applyFont="1" applyBorder="1" applyAlignment="1">
      <alignment horizontal="right"/>
    </xf>
    <xf numFmtId="0" fontId="7" fillId="0" borderId="10" xfId="0" applyFont="1" applyBorder="1" applyAlignment="1">
      <alignment horizontal="center"/>
    </xf>
    <xf numFmtId="0" fontId="7" fillId="0" borderId="3" xfId="0" applyFont="1" applyBorder="1" applyAlignment="1">
      <alignment horizontal="center"/>
    </xf>
    <xf numFmtId="0" fontId="8" fillId="0" borderId="2" xfId="0" applyFont="1" applyBorder="1" applyAlignment="1">
      <alignment horizontal="center" vertical="top" wrapText="1"/>
    </xf>
    <xf numFmtId="0" fontId="8" fillId="0" borderId="13" xfId="0" applyFont="1" applyBorder="1" applyAlignment="1">
      <alignment horizontal="center" vertical="top" wrapText="1"/>
    </xf>
    <xf numFmtId="2" fontId="7" fillId="0" borderId="14" xfId="0" applyNumberFormat="1" applyFont="1" applyBorder="1"/>
    <xf numFmtId="0" fontId="8" fillId="2" borderId="17" xfId="4" applyFont="1" applyFill="1" applyBorder="1"/>
    <xf numFmtId="0" fontId="6" fillId="0" borderId="11" xfId="0" applyFont="1" applyBorder="1"/>
    <xf numFmtId="0" fontId="19" fillId="5" borderId="18" xfId="4" applyFont="1" applyFill="1" applyBorder="1"/>
    <xf numFmtId="0" fontId="19" fillId="2" borderId="17" xfId="4" applyFont="1" applyFill="1" applyBorder="1"/>
    <xf numFmtId="0" fontId="6" fillId="0" borderId="0" xfId="0" applyFont="1"/>
    <xf numFmtId="0" fontId="6" fillId="0" borderId="0" xfId="4" applyFont="1"/>
    <xf numFmtId="0" fontId="19" fillId="0" borderId="17" xfId="4" applyFont="1" applyBorder="1"/>
    <xf numFmtId="0" fontId="19" fillId="0" borderId="20" xfId="4" applyFont="1" applyBorder="1"/>
    <xf numFmtId="0" fontId="19" fillId="0" borderId="4" xfId="4" applyFont="1" applyBorder="1"/>
    <xf numFmtId="0" fontId="6" fillId="0" borderId="17" xfId="4" applyFont="1" applyBorder="1"/>
    <xf numFmtId="0" fontId="6" fillId="0" borderId="19" xfId="4" applyFont="1" applyBorder="1"/>
    <xf numFmtId="0" fontId="19" fillId="0" borderId="26" xfId="4" applyFont="1" applyBorder="1" applyAlignment="1">
      <alignment horizontal="center"/>
    </xf>
    <xf numFmtId="0" fontId="19" fillId="0" borderId="18" xfId="4" applyFont="1" applyBorder="1" applyAlignment="1">
      <alignment horizontal="center"/>
    </xf>
    <xf numFmtId="0" fontId="19" fillId="0" borderId="19" xfId="4" applyFont="1" applyBorder="1" applyAlignment="1">
      <alignment horizontal="center"/>
    </xf>
    <xf numFmtId="2" fontId="6" fillId="0" borderId="19" xfId="4" applyNumberFormat="1" applyFont="1" applyBorder="1" applyAlignment="1">
      <alignment horizontal="right"/>
    </xf>
    <xf numFmtId="2" fontId="6" fillId="0" borderId="19" xfId="4" applyNumberFormat="1" applyFont="1" applyBorder="1"/>
    <xf numFmtId="2" fontId="6" fillId="0" borderId="22" xfId="4" applyNumberFormat="1" applyFont="1" applyBorder="1"/>
    <xf numFmtId="0" fontId="6" fillId="0" borderId="27" xfId="4" applyFont="1" applyBorder="1"/>
    <xf numFmtId="0" fontId="6" fillId="0" borderId="28" xfId="4" applyFont="1" applyBorder="1"/>
    <xf numFmtId="0" fontId="6" fillId="0" borderId="28" xfId="4" applyFont="1" applyBorder="1" applyAlignment="1">
      <alignment horizontal="center"/>
    </xf>
    <xf numFmtId="0" fontId="6" fillId="0" borderId="23" xfId="4" applyFont="1" applyBorder="1" applyAlignment="1">
      <alignment horizontal="center"/>
    </xf>
    <xf numFmtId="0" fontId="19" fillId="0" borderId="4" xfId="0" applyFont="1" applyBorder="1" applyAlignment="1">
      <alignment horizontal="center"/>
    </xf>
    <xf numFmtId="2" fontId="6" fillId="0" borderId="4" xfId="0" applyNumberFormat="1" applyFont="1" applyBorder="1" applyAlignment="1">
      <alignment horizontal="right"/>
    </xf>
    <xf numFmtId="2" fontId="6" fillId="0" borderId="2" xfId="0" applyNumberFormat="1" applyFont="1" applyBorder="1" applyAlignment="1">
      <alignment horizontal="right"/>
    </xf>
    <xf numFmtId="49" fontId="6" fillId="0" borderId="2" xfId="0" applyNumberFormat="1" applyFont="1" applyBorder="1" applyAlignment="1">
      <alignment wrapText="1"/>
    </xf>
    <xf numFmtId="0" fontId="6" fillId="0" borderId="15" xfId="0" applyFont="1" applyBorder="1" applyAlignment="1">
      <alignment horizontal="center"/>
    </xf>
    <xf numFmtId="0" fontId="6" fillId="0" borderId="9" xfId="0" applyFont="1" applyBorder="1"/>
    <xf numFmtId="0" fontId="6" fillId="0" borderId="4" xfId="1" applyFont="1" applyBorder="1" applyAlignment="1">
      <alignment horizontal="center"/>
    </xf>
    <xf numFmtId="2" fontId="6" fillId="0" borderId="4" xfId="1" applyNumberFormat="1" applyFont="1" applyBorder="1"/>
    <xf numFmtId="0" fontId="6" fillId="0" borderId="4" xfId="1" applyFont="1" applyBorder="1" applyAlignment="1">
      <alignment horizontal="right" wrapText="1"/>
    </xf>
    <xf numFmtId="0" fontId="7" fillId="0" borderId="7" xfId="1" applyFont="1" applyBorder="1" applyAlignment="1">
      <alignment wrapText="1"/>
    </xf>
    <xf numFmtId="0" fontId="7" fillId="0" borderId="8" xfId="1" applyFont="1" applyBorder="1" applyAlignment="1">
      <alignment wrapText="1"/>
    </xf>
    <xf numFmtId="0" fontId="6" fillId="0" borderId="15" xfId="1" applyFont="1" applyBorder="1" applyAlignment="1">
      <alignment horizontal="center"/>
    </xf>
    <xf numFmtId="0" fontId="6" fillId="0" borderId="4" xfId="0" applyFont="1" applyBorder="1"/>
    <xf numFmtId="1" fontId="7" fillId="0" borderId="5" xfId="0" applyNumberFormat="1" applyFont="1" applyBorder="1"/>
    <xf numFmtId="1" fontId="7" fillId="0" borderId="2" xfId="0" applyNumberFormat="1" applyFont="1" applyBorder="1"/>
    <xf numFmtId="0" fontId="6" fillId="0" borderId="11" xfId="0" applyFont="1" applyBorder="1" applyAlignment="1">
      <alignment horizontal="left"/>
    </xf>
    <xf numFmtId="1" fontId="19" fillId="0" borderId="4" xfId="2" applyNumberFormat="1" applyFont="1" applyBorder="1" applyAlignment="1">
      <alignment horizontal="center" vertical="top"/>
    </xf>
    <xf numFmtId="2" fontId="6" fillId="0" borderId="4" xfId="2" applyNumberFormat="1" applyFont="1" applyBorder="1" applyAlignment="1">
      <alignment horizontal="right"/>
    </xf>
    <xf numFmtId="2" fontId="6" fillId="0" borderId="4" xfId="2" applyNumberFormat="1" applyFont="1" applyBorder="1"/>
    <xf numFmtId="0" fontId="6" fillId="0" borderId="11" xfId="2" applyFont="1" applyBorder="1" applyAlignment="1">
      <alignment horizontal="left"/>
    </xf>
    <xf numFmtId="0" fontId="19" fillId="0" borderId="2" xfId="1" applyFont="1" applyBorder="1" applyAlignment="1">
      <alignment horizontal="center"/>
    </xf>
    <xf numFmtId="0" fontId="6" fillId="0" borderId="6" xfId="0" applyFont="1" applyBorder="1" applyAlignment="1">
      <alignment horizontal="left" wrapText="1"/>
    </xf>
    <xf numFmtId="0" fontId="19" fillId="0" borderId="1" xfId="0" applyFont="1" applyBorder="1"/>
    <xf numFmtId="0" fontId="19" fillId="0" borderId="2" xfId="0" applyFont="1" applyBorder="1"/>
    <xf numFmtId="0" fontId="19" fillId="0" borderId="2" xfId="0" applyFont="1" applyBorder="1" applyAlignment="1">
      <alignment horizontal="left"/>
    </xf>
    <xf numFmtId="0" fontId="6" fillId="0" borderId="16" xfId="0" applyFont="1" applyBorder="1"/>
    <xf numFmtId="49" fontId="6" fillId="0" borderId="4" xfId="1" applyNumberFormat="1" applyFont="1" applyBorder="1" applyAlignment="1">
      <alignment horizontal="center" wrapText="1"/>
    </xf>
    <xf numFmtId="0" fontId="6" fillId="0" borderId="7"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6" fillId="0" borderId="12" xfId="0" applyFont="1" applyBorder="1"/>
    <xf numFmtId="0" fontId="6" fillId="0" borderId="0" xfId="0" applyFont="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19" fillId="2" borderId="15" xfId="0" applyFont="1" applyFill="1" applyBorder="1"/>
    <xf numFmtId="0" fontId="19" fillId="5" borderId="15" xfId="0" applyFont="1" applyFill="1" applyBorder="1"/>
    <xf numFmtId="2" fontId="6" fillId="0" borderId="2" xfId="1" applyNumberFormat="1" applyFont="1" applyBorder="1"/>
    <xf numFmtId="2" fontId="6" fillId="0" borderId="4" xfId="1" quotePrefix="1" applyNumberFormat="1" applyFont="1" applyBorder="1" applyAlignment="1">
      <alignment horizontal="right"/>
    </xf>
    <xf numFmtId="0" fontId="6" fillId="0" borderId="9" xfId="1" applyFont="1" applyBorder="1"/>
    <xf numFmtId="2" fontId="6" fillId="0" borderId="2" xfId="0" applyNumberFormat="1" applyFont="1" applyBorder="1"/>
    <xf numFmtId="0" fontId="18" fillId="0" borderId="10" xfId="0" applyFont="1" applyBorder="1"/>
    <xf numFmtId="0" fontId="18" fillId="0" borderId="2" xfId="0" applyFont="1" applyBorder="1"/>
    <xf numFmtId="0" fontId="7" fillId="0" borderId="12" xfId="0" applyFont="1" applyBorder="1" applyAlignment="1">
      <alignment horizontal="left" vertical="center"/>
    </xf>
    <xf numFmtId="0" fontId="7" fillId="0" borderId="10" xfId="0" applyFont="1" applyBorder="1" applyAlignment="1">
      <alignment horizontal="left" vertical="center"/>
    </xf>
    <xf numFmtId="0" fontId="20" fillId="0" borderId="11" xfId="0" applyFont="1" applyBorder="1"/>
    <xf numFmtId="0" fontId="5" fillId="0" borderId="4" xfId="0" applyFont="1" applyBorder="1" applyAlignment="1">
      <alignment horizontal="center"/>
    </xf>
    <xf numFmtId="2" fontId="20" fillId="0" borderId="2" xfId="0" applyNumberFormat="1" applyFont="1" applyBorder="1" applyAlignment="1">
      <alignment horizontal="right"/>
    </xf>
    <xf numFmtId="1" fontId="20" fillId="0" borderId="4" xfId="0" applyNumberFormat="1" applyFont="1" applyBorder="1"/>
    <xf numFmtId="2" fontId="20" fillId="0" borderId="4" xfId="0" applyNumberFormat="1" applyFont="1" applyBorder="1"/>
    <xf numFmtId="1" fontId="20" fillId="0" borderId="15" xfId="0" applyNumberFormat="1" applyFont="1" applyBorder="1" applyAlignment="1">
      <alignment horizontal="right"/>
    </xf>
    <xf numFmtId="0" fontId="20" fillId="0" borderId="9" xfId="0" applyFont="1" applyBorder="1"/>
    <xf numFmtId="0" fontId="20" fillId="0" borderId="7" xfId="0" applyFont="1" applyBorder="1"/>
    <xf numFmtId="0" fontId="20" fillId="0" borderId="8" xfId="0" applyFont="1" applyBorder="1"/>
    <xf numFmtId="0" fontId="20" fillId="0" borderId="12" xfId="0" applyFont="1" applyBorder="1"/>
    <xf numFmtId="0" fontId="20" fillId="0" borderId="0" xfId="0" applyFont="1"/>
    <xf numFmtId="0" fontId="20" fillId="0" borderId="10" xfId="0" applyFont="1" applyBorder="1"/>
    <xf numFmtId="0" fontId="20" fillId="0" borderId="6" xfId="0" applyFont="1" applyBorder="1"/>
    <xf numFmtId="0" fontId="20" fillId="0" borderId="3" xfId="0" applyFont="1" applyBorder="1"/>
    <xf numFmtId="0" fontId="7" fillId="0" borderId="3" xfId="0" applyFont="1" applyBorder="1" applyAlignment="1">
      <alignment wrapText="1"/>
    </xf>
    <xf numFmtId="0" fontId="20" fillId="0" borderId="4" xfId="0" applyFont="1" applyBorder="1"/>
    <xf numFmtId="0" fontId="20" fillId="0" borderId="15" xfId="0" applyFont="1" applyBorder="1"/>
    <xf numFmtId="0" fontId="5" fillId="0" borderId="2" xfId="1" applyFont="1" applyBorder="1" applyAlignment="1">
      <alignment horizontal="center"/>
    </xf>
    <xf numFmtId="1" fontId="20" fillId="0" borderId="15" xfId="1" applyNumberFormat="1" applyFont="1" applyBorder="1" applyAlignment="1">
      <alignment horizontal="center"/>
    </xf>
    <xf numFmtId="0" fontId="8" fillId="0" borderId="7" xfId="1" applyFont="1" applyBorder="1"/>
    <xf numFmtId="0" fontId="8" fillId="0" borderId="9" xfId="1" applyFont="1" applyBorder="1"/>
    <xf numFmtId="2" fontId="6" fillId="0" borderId="4" xfId="0" applyNumberFormat="1" applyFont="1" applyBorder="1" applyAlignment="1">
      <alignment horizontal="right" vertical="center"/>
    </xf>
    <xf numFmtId="0" fontId="7" fillId="0" borderId="2" xfId="1" applyFont="1" applyBorder="1" applyAlignment="1">
      <alignment horizontal="left"/>
    </xf>
    <xf numFmtId="0" fontId="8" fillId="0" borderId="15" xfId="0" applyFont="1" applyBorder="1" applyAlignment="1">
      <alignment horizontal="center" vertical="center" wrapText="1"/>
    </xf>
    <xf numFmtId="2" fontId="20" fillId="0" borderId="4" xfId="0" applyNumberFormat="1" applyFont="1" applyBorder="1" applyAlignment="1">
      <alignment horizontal="right"/>
    </xf>
    <xf numFmtId="0" fontId="6" fillId="0" borderId="12" xfId="0" applyFont="1" applyBorder="1" applyAlignment="1">
      <alignment horizontal="left"/>
    </xf>
    <xf numFmtId="0" fontId="20" fillId="0" borderId="2" xfId="0" applyFont="1" applyBorder="1"/>
    <xf numFmtId="0" fontId="20" fillId="0" borderId="11" xfId="0" applyFont="1" applyBorder="1" applyAlignment="1">
      <alignment horizontal="left"/>
    </xf>
    <xf numFmtId="0" fontId="21" fillId="0" borderId="0" xfId="0" applyFont="1"/>
    <xf numFmtId="0" fontId="1" fillId="0" borderId="0" xfId="0" applyFont="1"/>
    <xf numFmtId="0" fontId="19" fillId="0" borderId="1" xfId="1" applyFont="1" applyBorder="1"/>
    <xf numFmtId="0" fontId="19" fillId="0" borderId="2" xfId="1" applyFont="1" applyBorder="1"/>
    <xf numFmtId="0" fontId="6" fillId="0" borderId="0" xfId="1" applyFont="1"/>
    <xf numFmtId="0" fontId="22" fillId="0" borderId="1" xfId="0" applyFont="1" applyBorder="1"/>
    <xf numFmtId="0" fontId="23" fillId="0" borderId="4" xfId="0" applyFont="1" applyBorder="1"/>
    <xf numFmtId="0" fontId="23" fillId="0" borderId="5" xfId="0" applyFont="1" applyBorder="1"/>
    <xf numFmtId="0" fontId="23" fillId="0" borderId="2" xfId="0" applyFont="1" applyBorder="1"/>
    <xf numFmtId="2" fontId="22" fillId="0" borderId="4" xfId="0" applyNumberFormat="1" applyFont="1" applyBorder="1" applyAlignment="1">
      <alignment horizontal="right" vertical="center"/>
    </xf>
    <xf numFmtId="2" fontId="22" fillId="0" borderId="2" xfId="0" applyNumberFormat="1" applyFont="1" applyBorder="1" applyAlignment="1">
      <alignment horizontal="right" vertical="center"/>
    </xf>
    <xf numFmtId="0" fontId="22" fillId="0" borderId="4" xfId="0" applyFont="1" applyBorder="1" applyAlignment="1">
      <alignment horizontal="right"/>
    </xf>
    <xf numFmtId="2" fontId="22" fillId="0" borderId="4" xfId="0" applyNumberFormat="1" applyFont="1" applyBorder="1" applyAlignment="1">
      <alignment horizontal="right"/>
    </xf>
    <xf numFmtId="0" fontId="22" fillId="0" borderId="5" xfId="0" applyFont="1" applyBorder="1" applyAlignment="1">
      <alignment horizontal="right"/>
    </xf>
    <xf numFmtId="0" fontId="22" fillId="0" borderId="2" xfId="0" applyFont="1" applyBorder="1" applyAlignment="1">
      <alignment horizontal="right"/>
    </xf>
    <xf numFmtId="0" fontId="22" fillId="0" borderId="7" xfId="0" applyFont="1" applyBorder="1"/>
    <xf numFmtId="0" fontId="22" fillId="0" borderId="8" xfId="0" applyFont="1" applyBorder="1"/>
    <xf numFmtId="0" fontId="22" fillId="0" borderId="9" xfId="0" applyFont="1" applyBorder="1"/>
    <xf numFmtId="0" fontId="22" fillId="0" borderId="12" xfId="0" applyFont="1" applyBorder="1"/>
    <xf numFmtId="0" fontId="22" fillId="0" borderId="0" xfId="0" applyFont="1"/>
    <xf numFmtId="0" fontId="22" fillId="0" borderId="10" xfId="0" applyFont="1" applyBorder="1"/>
    <xf numFmtId="0" fontId="22" fillId="0" borderId="11" xfId="0" applyFont="1" applyBorder="1"/>
    <xf numFmtId="0" fontId="22" fillId="0" borderId="6" xfId="0" applyFont="1" applyBorder="1"/>
    <xf numFmtId="0" fontId="22" fillId="0" borderId="3" xfId="0" applyFont="1" applyBorder="1"/>
    <xf numFmtId="2" fontId="22" fillId="0" borderId="4" xfId="0" applyNumberFormat="1" applyFont="1" applyBorder="1" applyAlignment="1">
      <alignment vertical="center"/>
    </xf>
    <xf numFmtId="2" fontId="22" fillId="0" borderId="2" xfId="0" applyNumberFormat="1" applyFont="1" applyBorder="1" applyAlignment="1">
      <alignment vertical="center"/>
    </xf>
    <xf numFmtId="0" fontId="22" fillId="0" borderId="4" xfId="0" applyFont="1" applyBorder="1"/>
    <xf numFmtId="2" fontId="22" fillId="0" borderId="4" xfId="0" applyNumberFormat="1" applyFont="1" applyBorder="1"/>
    <xf numFmtId="0" fontId="22" fillId="0" borderId="2" xfId="0" applyFont="1" applyBorder="1"/>
    <xf numFmtId="0" fontId="22" fillId="0" borderId="15" xfId="0" applyFont="1" applyBorder="1"/>
    <xf numFmtId="0" fontId="22" fillId="0" borderId="5" xfId="0" applyFont="1" applyBorder="1"/>
    <xf numFmtId="20" fontId="22" fillId="0" borderId="7" xfId="0" applyNumberFormat="1" applyFont="1" applyBorder="1"/>
    <xf numFmtId="20" fontId="22" fillId="0" borderId="12" xfId="0" applyNumberFormat="1" applyFont="1" applyBorder="1"/>
    <xf numFmtId="20" fontId="22" fillId="0" borderId="11" xfId="0" applyNumberFormat="1" applyFont="1" applyBorder="1"/>
    <xf numFmtId="0" fontId="23" fillId="0" borderId="4" xfId="0" applyFont="1" applyBorder="1" applyAlignment="1">
      <alignment horizontal="right"/>
    </xf>
    <xf numFmtId="0" fontId="23" fillId="0" borderId="5" xfId="0" applyFont="1" applyBorder="1" applyAlignment="1">
      <alignment horizontal="right"/>
    </xf>
    <xf numFmtId="0" fontId="23" fillId="0" borderId="2" xfId="0" applyFont="1" applyBorder="1" applyAlignment="1">
      <alignment horizontal="right"/>
    </xf>
    <xf numFmtId="2" fontId="22" fillId="0" borderId="4" xfId="0" applyNumberFormat="1" applyFont="1" applyBorder="1" applyAlignment="1">
      <alignment horizontal="right" vertical="center" wrapText="1"/>
    </xf>
    <xf numFmtId="2" fontId="22" fillId="0" borderId="2" xfId="0" applyNumberFormat="1" applyFont="1" applyBorder="1" applyAlignment="1">
      <alignment horizontal="right" vertical="center" wrapText="1"/>
    </xf>
    <xf numFmtId="0" fontId="20" fillId="0" borderId="4" xfId="2" applyFont="1" applyBorder="1" applyAlignment="1">
      <alignment horizontal="center"/>
    </xf>
    <xf numFmtId="165" fontId="20" fillId="0" borderId="4" xfId="2" applyNumberFormat="1" applyFont="1" applyBorder="1" applyAlignment="1">
      <alignment horizontal="center"/>
    </xf>
    <xf numFmtId="0" fontId="8" fillId="0" borderId="16" xfId="2" applyFont="1" applyBorder="1" applyAlignment="1">
      <alignment horizontal="center" vertical="top"/>
    </xf>
    <xf numFmtId="0" fontId="8" fillId="0" borderId="4" xfId="2" applyFont="1" applyBorder="1" applyAlignment="1">
      <alignment horizontal="center" vertical="top"/>
    </xf>
    <xf numFmtId="166" fontId="7" fillId="0" borderId="0" xfId="2" applyNumberFormat="1" applyFont="1" applyAlignment="1">
      <alignment horizontal="center"/>
    </xf>
    <xf numFmtId="0" fontId="7" fillId="0" borderId="0" xfId="3" applyFont="1" applyAlignment="1">
      <alignment wrapText="1"/>
    </xf>
    <xf numFmtId="0" fontId="6" fillId="0" borderId="12" xfId="3" applyFont="1" applyBorder="1" applyAlignment="1">
      <alignment horizontal="left"/>
    </xf>
    <xf numFmtId="2" fontId="20" fillId="0" borderId="4" xfId="2" applyNumberFormat="1" applyFont="1" applyBorder="1"/>
    <xf numFmtId="40" fontId="6" fillId="0" borderId="15" xfId="2" applyNumberFormat="1" applyFont="1" applyBorder="1"/>
    <xf numFmtId="2" fontId="6" fillId="6" borderId="4" xfId="0" applyNumberFormat="1" applyFont="1" applyFill="1" applyBorder="1"/>
    <xf numFmtId="0" fontId="8" fillId="0" borderId="5" xfId="1" applyFont="1" applyBorder="1"/>
    <xf numFmtId="0" fontId="6" fillId="0" borderId="11" xfId="1" applyFont="1" applyBorder="1" applyAlignment="1">
      <alignment horizontal="left"/>
    </xf>
    <xf numFmtId="0" fontId="24" fillId="0" borderId="11" xfId="1" applyFont="1" applyBorder="1" applyAlignment="1">
      <alignment horizontal="left"/>
    </xf>
    <xf numFmtId="0" fontId="8" fillId="0" borderId="16" xfId="1" applyFont="1" applyBorder="1"/>
    <xf numFmtId="170" fontId="6" fillId="0" borderId="4" xfId="1" applyNumberFormat="1" applyFont="1" applyBorder="1"/>
    <xf numFmtId="0" fontId="7" fillId="0" borderId="1" xfId="1" applyFont="1" applyBorder="1" applyAlignment="1">
      <alignment vertical="top" wrapText="1"/>
    </xf>
    <xf numFmtId="0" fontId="7" fillId="0" borderId="5" xfId="1" applyFont="1" applyBorder="1" applyAlignment="1">
      <alignment vertical="top" wrapText="1"/>
    </xf>
    <xf numFmtId="0" fontId="7" fillId="0" borderId="2" xfId="1" applyFont="1" applyBorder="1" applyAlignment="1">
      <alignment vertical="top" wrapText="1"/>
    </xf>
    <xf numFmtId="0" fontId="7" fillId="0" borderId="11" xfId="1" applyFont="1" applyBorder="1" applyAlignment="1">
      <alignment vertical="top"/>
    </xf>
    <xf numFmtId="0" fontId="7" fillId="0" borderId="6" xfId="1" applyFont="1" applyBorder="1" applyAlignment="1">
      <alignment vertical="top" wrapText="1"/>
    </xf>
    <xf numFmtId="0" fontId="7" fillId="0" borderId="3" xfId="1" applyFont="1" applyBorder="1" applyAlignment="1">
      <alignment vertical="top" wrapText="1"/>
    </xf>
    <xf numFmtId="0" fontId="19" fillId="2" borderId="7" xfId="0" applyFont="1" applyFill="1" applyBorder="1"/>
    <xf numFmtId="0" fontId="6" fillId="0" borderId="11" xfId="1" applyFont="1" applyBorder="1"/>
    <xf numFmtId="0" fontId="19" fillId="0" borderId="4" xfId="1" applyFont="1" applyBorder="1" applyAlignment="1">
      <alignment horizontal="center"/>
    </xf>
    <xf numFmtId="0" fontId="6" fillId="0" borderId="1" xfId="1" applyFont="1" applyBorder="1"/>
    <xf numFmtId="2" fontId="6" fillId="0" borderId="4" xfId="1" applyNumberFormat="1" applyFont="1" applyBorder="1" applyAlignment="1">
      <alignment horizontal="right"/>
    </xf>
    <xf numFmtId="0" fontId="6" fillId="0" borderId="7" xfId="1" applyFont="1" applyBorder="1"/>
    <xf numFmtId="0" fontId="6" fillId="0" borderId="15" xfId="1" applyFont="1" applyBorder="1"/>
    <xf numFmtId="0" fontId="6" fillId="0" borderId="4" xfId="1" applyFont="1" applyBorder="1" applyAlignment="1">
      <alignment wrapText="1"/>
    </xf>
    <xf numFmtId="0" fontId="7" fillId="0" borderId="4" xfId="1" applyFont="1" applyBorder="1" applyAlignment="1">
      <alignment wrapText="1"/>
    </xf>
    <xf numFmtId="0" fontId="19" fillId="0" borderId="16" xfId="1" applyFont="1" applyBorder="1" applyAlignment="1">
      <alignment horizontal="center"/>
    </xf>
    <xf numFmtId="0" fontId="25" fillId="0" borderId="1" xfId="1" applyFont="1" applyBorder="1"/>
    <xf numFmtId="0" fontId="25" fillId="0" borderId="2" xfId="1" applyFont="1" applyBorder="1"/>
    <xf numFmtId="0" fontId="24" fillId="0" borderId="0" xfId="1" applyFont="1"/>
    <xf numFmtId="0" fontId="24" fillId="0" borderId="11" xfId="1" applyFont="1" applyBorder="1"/>
    <xf numFmtId="0" fontId="25" fillId="0" borderId="16" xfId="1" applyFont="1" applyBorder="1" applyAlignment="1">
      <alignment horizontal="center"/>
    </xf>
    <xf numFmtId="0" fontId="25" fillId="0" borderId="4" xfId="1" applyFont="1" applyBorder="1" applyAlignment="1">
      <alignment horizontal="center"/>
    </xf>
    <xf numFmtId="0" fontId="24" fillId="0" borderId="1" xfId="1" applyFont="1" applyBorder="1"/>
    <xf numFmtId="2" fontId="24" fillId="0" borderId="4" xfId="1" applyNumberFormat="1" applyFont="1" applyBorder="1"/>
    <xf numFmtId="2" fontId="24" fillId="0" borderId="4" xfId="1" applyNumberFormat="1" applyFont="1" applyBorder="1" applyAlignment="1">
      <alignment horizontal="right"/>
    </xf>
    <xf numFmtId="0" fontId="24" fillId="0" borderId="7" xfId="1" applyFont="1" applyBorder="1"/>
    <xf numFmtId="0" fontId="24" fillId="0" borderId="15" xfId="1" applyFont="1" applyBorder="1"/>
    <xf numFmtId="0" fontId="24" fillId="0" borderId="5" xfId="1" applyFont="1" applyBorder="1"/>
    <xf numFmtId="0" fontId="24" fillId="0" borderId="2" xfId="1" applyFont="1" applyBorder="1"/>
    <xf numFmtId="0" fontId="7" fillId="0" borderId="3" xfId="1" applyFont="1" applyBorder="1" applyAlignment="1">
      <alignment wrapText="1"/>
    </xf>
    <xf numFmtId="0" fontId="6" fillId="0" borderId="8" xfId="1" applyFont="1" applyBorder="1"/>
    <xf numFmtId="0" fontId="6" fillId="0" borderId="6" xfId="1" applyFont="1" applyBorder="1"/>
    <xf numFmtId="0" fontId="8" fillId="0" borderId="0" xfId="0" applyFont="1" applyAlignment="1">
      <alignment horizontal="right"/>
    </xf>
    <xf numFmtId="2" fontId="6" fillId="0" borderId="4" xfId="4" applyNumberFormat="1" applyFont="1" applyBorder="1"/>
    <xf numFmtId="2" fontId="20" fillId="0" borderId="4" xfId="4" applyNumberFormat="1" applyFont="1" applyBorder="1"/>
    <xf numFmtId="2" fontId="6" fillId="0" borderId="20" xfId="4" applyNumberFormat="1" applyFont="1" applyBorder="1"/>
    <xf numFmtId="0" fontId="6" fillId="0" borderId="19" xfId="4" applyFont="1" applyBorder="1" applyAlignment="1">
      <alignment horizontal="right"/>
    </xf>
    <xf numFmtId="0" fontId="21" fillId="0" borderId="12" xfId="0" applyFont="1" applyBorder="1"/>
    <xf numFmtId="0" fontId="15" fillId="0" borderId="0" xfId="0" applyFont="1" applyAlignment="1">
      <alignment horizontal="left"/>
    </xf>
    <xf numFmtId="0" fontId="15" fillId="0" borderId="12" xfId="0" applyFont="1" applyBorder="1"/>
    <xf numFmtId="0" fontId="20" fillId="0" borderId="4" xfId="0" applyFont="1" applyBorder="1" applyAlignment="1">
      <alignment wrapText="1"/>
    </xf>
    <xf numFmtId="0" fontId="20" fillId="0" borderId="15" xfId="0" applyFont="1" applyBorder="1" applyAlignment="1">
      <alignment horizontal="center"/>
    </xf>
    <xf numFmtId="0" fontId="20" fillId="0" borderId="9" xfId="0" applyFont="1" applyBorder="1" applyAlignment="1">
      <alignment horizontal="center"/>
    </xf>
    <xf numFmtId="0" fontId="6" fillId="0" borderId="0" xfId="4" applyFont="1" applyAlignment="1">
      <alignment horizontal="left" wrapText="1"/>
    </xf>
    <xf numFmtId="0" fontId="6" fillId="0" borderId="6" xfId="4" applyFont="1" applyBorder="1" applyAlignment="1">
      <alignment horizontal="left" wrapText="1"/>
    </xf>
    <xf numFmtId="2" fontId="6" fillId="0" borderId="19" xfId="4" quotePrefix="1" applyNumberFormat="1" applyFont="1" applyBorder="1"/>
    <xf numFmtId="0" fontId="19" fillId="0" borderId="1" xfId="0" applyFont="1" applyBorder="1" applyAlignment="1">
      <alignment horizontal="center"/>
    </xf>
    <xf numFmtId="0" fontId="6" fillId="0" borderId="4" xfId="1" applyFont="1" applyBorder="1" applyAlignment="1">
      <alignment horizontal="center" wrapText="1"/>
    </xf>
    <xf numFmtId="0" fontId="6" fillId="0" borderId="8" xfId="0" applyFont="1" applyBorder="1" applyAlignment="1">
      <alignment wrapText="1"/>
    </xf>
    <xf numFmtId="0" fontId="6" fillId="0" borderId="9"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0" fontId="6" fillId="0" borderId="10" xfId="0" applyFont="1" applyBorder="1"/>
    <xf numFmtId="0" fontId="6" fillId="0" borderId="6" xfId="0" applyFont="1" applyBorder="1"/>
    <xf numFmtId="0" fontId="6" fillId="0" borderId="3" xfId="0" applyFont="1" applyBorder="1"/>
    <xf numFmtId="0" fontId="7" fillId="0" borderId="10" xfId="0" applyFont="1" applyBorder="1" applyAlignment="1">
      <alignment horizontal="left"/>
    </xf>
    <xf numFmtId="0" fontId="7" fillId="0" borderId="3" xfId="0" applyFont="1" applyBorder="1" applyAlignment="1">
      <alignment horizontal="left"/>
    </xf>
    <xf numFmtId="49" fontId="7" fillId="0" borderId="4" xfId="0" applyNumberFormat="1" applyFont="1" applyBorder="1" applyAlignment="1">
      <alignment horizontal="center"/>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9" xfId="1" applyFont="1" applyBorder="1" applyAlignment="1">
      <alignment horizontal="left" vertical="top"/>
    </xf>
    <xf numFmtId="0" fontId="6" fillId="0" borderId="12" xfId="0" applyFont="1" applyBorder="1" applyAlignment="1">
      <alignment vertical="center"/>
    </xf>
    <xf numFmtId="2" fontId="6" fillId="0" borderId="19" xfId="4" applyNumberFormat="1" applyFont="1" applyBorder="1" applyAlignment="1">
      <alignment wrapText="1"/>
    </xf>
    <xf numFmtId="0" fontId="7" fillId="0" borderId="1" xfId="1" applyFont="1" applyBorder="1" applyAlignment="1">
      <alignment wrapText="1"/>
    </xf>
    <xf numFmtId="0" fontId="7" fillId="0" borderId="5" xfId="1" applyFont="1" applyBorder="1" applyAlignment="1">
      <alignment wrapText="1"/>
    </xf>
    <xf numFmtId="0" fontId="7" fillId="0" borderId="2" xfId="1" applyFont="1" applyBorder="1" applyAlignment="1">
      <alignmen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0" borderId="12"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lignment horizontal="left" wrapText="1"/>
    </xf>
    <xf numFmtId="0" fontId="6" fillId="0" borderId="1" xfId="4" applyFont="1" applyBorder="1" applyAlignment="1">
      <alignment horizontal="left" wrapText="1"/>
    </xf>
    <xf numFmtId="0" fontId="6" fillId="0" borderId="5" xfId="4" applyFont="1" applyBorder="1" applyAlignment="1">
      <alignment horizontal="left" wrapText="1"/>
    </xf>
    <xf numFmtId="0" fontId="6" fillId="0" borderId="2" xfId="4" applyFont="1" applyBorder="1" applyAlignment="1">
      <alignment horizontal="left" wrapText="1"/>
    </xf>
    <xf numFmtId="0" fontId="7" fillId="0" borderId="3" xfId="0" applyFont="1" applyBorder="1" applyAlignment="1">
      <alignment horizontal="left" wrapText="1"/>
    </xf>
    <xf numFmtId="0" fontId="6" fillId="0" borderId="7" xfId="4" applyFont="1" applyBorder="1" applyAlignment="1">
      <alignment horizontal="left" wrapText="1"/>
    </xf>
    <xf numFmtId="0" fontId="6" fillId="0" borderId="8" xfId="4" applyFont="1" applyBorder="1" applyAlignment="1">
      <alignment horizontal="left" wrapText="1"/>
    </xf>
    <xf numFmtId="0" fontId="6" fillId="0" borderId="9" xfId="4" applyFont="1" applyBorder="1" applyAlignment="1">
      <alignment horizontal="left" wrapText="1"/>
    </xf>
    <xf numFmtId="0" fontId="6" fillId="0" borderId="12" xfId="4" applyFont="1" applyBorder="1" applyAlignment="1">
      <alignment horizontal="left" wrapText="1"/>
    </xf>
    <xf numFmtId="0" fontId="6" fillId="0" borderId="0" xfId="4" applyFont="1" applyAlignment="1">
      <alignment horizontal="left" wrapText="1"/>
    </xf>
    <xf numFmtId="0" fontId="6" fillId="0" borderId="10" xfId="4"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6" fillId="0" borderId="12" xfId="0" applyFont="1" applyBorder="1" applyAlignment="1">
      <alignment horizontal="left" wrapText="1"/>
    </xf>
    <xf numFmtId="0" fontId="6" fillId="0" borderId="0" xfId="0" applyFont="1" applyAlignment="1">
      <alignment horizontal="left" wrapText="1"/>
    </xf>
    <xf numFmtId="0" fontId="7" fillId="0" borderId="1" xfId="1" applyFont="1" applyBorder="1" applyAlignment="1">
      <alignment horizontal="left" wrapText="1"/>
    </xf>
    <xf numFmtId="0" fontId="7" fillId="0" borderId="5" xfId="1" applyFont="1" applyBorder="1" applyAlignment="1">
      <alignment horizontal="left" wrapText="1"/>
    </xf>
    <xf numFmtId="0" fontId="7" fillId="0" borderId="2" xfId="1" applyFont="1" applyBorder="1" applyAlignment="1">
      <alignment horizontal="left" wrapText="1"/>
    </xf>
    <xf numFmtId="0" fontId="7" fillId="0" borderId="11" xfId="1" applyFont="1" applyBorder="1" applyAlignment="1">
      <alignment horizontal="left" vertical="top" wrapText="1"/>
    </xf>
    <xf numFmtId="0" fontId="7" fillId="0" borderId="6" xfId="1" applyFont="1" applyBorder="1" applyAlignment="1">
      <alignment horizontal="left" vertical="top" wrapText="1"/>
    </xf>
    <xf numFmtId="0" fontId="7" fillId="0" borderId="3" xfId="1" applyFont="1" applyBorder="1" applyAlignment="1">
      <alignment horizontal="left" vertical="top"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0" applyFont="1" applyBorder="1" applyAlignment="1">
      <alignment horizontal="left"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6" fillId="0" borderId="10" xfId="0" applyFont="1" applyBorder="1" applyAlignment="1">
      <alignment horizontal="left" wrapText="1"/>
    </xf>
    <xf numFmtId="0" fontId="7" fillId="0" borderId="12" xfId="3" applyFont="1" applyBorder="1" applyAlignment="1">
      <alignment horizontal="left" wrapText="1"/>
    </xf>
    <xf numFmtId="0" fontId="7" fillId="0" borderId="0" xfId="3" applyFont="1" applyAlignment="1">
      <alignment horizontal="left" wrapText="1"/>
    </xf>
    <xf numFmtId="0" fontId="8" fillId="0" borderId="12" xfId="0" applyFont="1" applyBorder="1" applyAlignment="1">
      <alignment horizontal="left" vertical="center" wrapText="1"/>
    </xf>
    <xf numFmtId="0" fontId="6" fillId="0" borderId="11" xfId="4" applyFont="1" applyBorder="1" applyAlignment="1">
      <alignment horizontal="left" wrapText="1"/>
    </xf>
    <xf numFmtId="0" fontId="6" fillId="0" borderId="6" xfId="4" applyFont="1" applyBorder="1" applyAlignment="1">
      <alignment horizontal="left" wrapText="1"/>
    </xf>
    <xf numFmtId="0" fontId="6" fillId="0" borderId="3" xfId="4"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7" fillId="0" borderId="12" xfId="0" applyFont="1" applyBorder="1" applyAlignment="1">
      <alignment horizontal="left"/>
    </xf>
    <xf numFmtId="0" fontId="7" fillId="0" borderId="0" xfId="0" applyFont="1" applyAlignment="1">
      <alignment horizontal="left"/>
    </xf>
    <xf numFmtId="0" fontId="8" fillId="0" borderId="11" xfId="0" applyFont="1" applyBorder="1" applyAlignment="1">
      <alignment horizontal="left" vertical="center" wrapText="1"/>
    </xf>
    <xf numFmtId="0" fontId="7" fillId="0" borderId="6" xfId="0" applyFont="1" applyBorder="1" applyAlignment="1">
      <alignment horizontal="left" vertical="center" wrapText="1"/>
    </xf>
    <xf numFmtId="2" fontId="7" fillId="0" borderId="1" xfId="1" applyNumberFormat="1" applyFont="1" applyBorder="1" applyAlignment="1">
      <alignment horizontal="center"/>
    </xf>
    <xf numFmtId="2" fontId="7" fillId="0" borderId="5" xfId="1" applyNumberFormat="1" applyFont="1" applyBorder="1" applyAlignment="1">
      <alignment horizontal="center"/>
    </xf>
    <xf numFmtId="2" fontId="7" fillId="0" borderId="2" xfId="1" applyNumberFormat="1" applyFont="1" applyBorder="1" applyAlignment="1">
      <alignment horizontal="center"/>
    </xf>
    <xf numFmtId="0" fontId="7" fillId="0" borderId="4" xfId="1" applyFont="1" applyBorder="1" applyAlignment="1">
      <alignment horizontal="left"/>
    </xf>
    <xf numFmtId="0" fontId="7" fillId="0" borderId="1" xfId="1" applyFont="1" applyBorder="1" applyAlignment="1">
      <alignment horizontal="left"/>
    </xf>
    <xf numFmtId="0" fontId="7" fillId="0" borderId="5" xfId="1" applyFont="1" applyBorder="1" applyAlignment="1">
      <alignment horizontal="left"/>
    </xf>
    <xf numFmtId="0" fontId="15" fillId="0" borderId="12" xfId="0" applyFont="1" applyBorder="1" applyAlignment="1">
      <alignment horizontal="left"/>
    </xf>
    <xf numFmtId="0" fontId="15" fillId="0" borderId="0" xfId="0" applyFont="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8" fillId="5" borderId="2" xfId="1" applyFont="1" applyFill="1" applyBorder="1"/>
    <xf numFmtId="0" fontId="19" fillId="5" borderId="15" xfId="0" applyFont="1" applyFill="1" applyBorder="1" applyAlignment="1">
      <alignment horizontal="center"/>
    </xf>
    <xf numFmtId="0" fontId="8" fillId="5" borderId="15" xfId="2" applyFont="1" applyFill="1" applyBorder="1"/>
    <xf numFmtId="0" fontId="8" fillId="5" borderId="9" xfId="1" applyFont="1" applyFill="1" applyBorder="1"/>
    <xf numFmtId="0" fontId="8" fillId="5" borderId="15" xfId="0" applyFont="1" applyFill="1" applyBorder="1"/>
    <xf numFmtId="0" fontId="8" fillId="5" borderId="2" xfId="0" applyFont="1" applyFill="1" applyBorder="1" applyAlignment="1">
      <alignment wrapText="1"/>
    </xf>
    <xf numFmtId="0" fontId="8" fillId="5" borderId="18" xfId="4" applyFont="1" applyFill="1" applyBorder="1"/>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13"/>
  <sheetViews>
    <sheetView tabSelected="1" zoomScale="70" zoomScaleNormal="70" workbookViewId="0">
      <selection activeCell="G44" sqref="G44"/>
    </sheetView>
  </sheetViews>
  <sheetFormatPr defaultColWidth="9.140625" defaultRowHeight="12.75" x14ac:dyDescent="0.2"/>
  <cols>
    <col min="1" max="1" width="19.85546875" style="19" customWidth="1"/>
    <col min="2" max="11" width="27" style="19" customWidth="1"/>
    <col min="12" max="13" width="25.28515625" style="19" customWidth="1"/>
    <col min="14" max="15" width="14.5703125" style="19" customWidth="1"/>
    <col min="16" max="16384" width="9.140625" style="19"/>
  </cols>
  <sheetData>
    <row r="1" spans="1:7" x14ac:dyDescent="0.2">
      <c r="A1" s="24" t="s">
        <v>648</v>
      </c>
      <c r="B1" s="18"/>
      <c r="C1" s="18"/>
      <c r="D1" s="18"/>
      <c r="E1" s="18"/>
      <c r="F1" s="24"/>
      <c r="G1" s="18"/>
    </row>
    <row r="2" spans="1:7" x14ac:dyDescent="0.2">
      <c r="A2" s="25" t="s">
        <v>649</v>
      </c>
      <c r="B2" s="18"/>
      <c r="C2" s="18"/>
      <c r="D2" s="18"/>
      <c r="E2" s="18"/>
      <c r="F2" s="24"/>
      <c r="G2" s="18"/>
    </row>
    <row r="3" spans="1:7" x14ac:dyDescent="0.2">
      <c r="A3" s="24" t="s">
        <v>650</v>
      </c>
      <c r="B3" s="18"/>
      <c r="C3" s="18"/>
      <c r="D3" s="18"/>
      <c r="E3" s="18"/>
      <c r="F3" s="24"/>
      <c r="G3" s="18"/>
    </row>
    <row r="4" spans="1:7" x14ac:dyDescent="0.2">
      <c r="F4" s="24"/>
    </row>
    <row r="5" spans="1:7" x14ac:dyDescent="0.2">
      <c r="A5" s="205" t="s">
        <v>12</v>
      </c>
      <c r="B5" s="206" t="s">
        <v>211</v>
      </c>
      <c r="C5" s="7"/>
    </row>
    <row r="6" spans="1:7" x14ac:dyDescent="0.2">
      <c r="A6" s="117" t="s">
        <v>14</v>
      </c>
      <c r="B6" s="61" t="s">
        <v>709</v>
      </c>
      <c r="C6" s="42" t="s">
        <v>15</v>
      </c>
    </row>
    <row r="7" spans="1:7" x14ac:dyDescent="0.2">
      <c r="A7" s="52" t="s">
        <v>16</v>
      </c>
      <c r="B7" s="22"/>
      <c r="C7" s="22">
        <v>2019</v>
      </c>
      <c r="D7" s="22">
        <v>2020</v>
      </c>
      <c r="E7" s="22">
        <v>2021</v>
      </c>
    </row>
    <row r="8" spans="1:7" x14ac:dyDescent="0.2">
      <c r="A8" s="52" t="s">
        <v>17</v>
      </c>
      <c r="B8" s="23"/>
      <c r="C8" s="23">
        <v>215</v>
      </c>
      <c r="D8" s="23">
        <v>215</v>
      </c>
      <c r="E8" s="23">
        <v>242</v>
      </c>
    </row>
    <row r="9" spans="1:7" x14ac:dyDescent="0.2">
      <c r="A9" s="52" t="s">
        <v>18</v>
      </c>
      <c r="B9" s="23"/>
      <c r="C9" s="23">
        <v>265</v>
      </c>
      <c r="D9" s="23">
        <v>265</v>
      </c>
      <c r="E9" s="23">
        <f>E8+0.25*C8</f>
        <v>295.75</v>
      </c>
    </row>
    <row r="10" spans="1:7" ht="25.5" x14ac:dyDescent="0.2">
      <c r="A10" s="52" t="s">
        <v>19</v>
      </c>
      <c r="B10" s="207"/>
      <c r="C10" s="208" t="s">
        <v>395</v>
      </c>
      <c r="D10" s="208" t="s">
        <v>439</v>
      </c>
      <c r="E10" s="208" t="s">
        <v>472</v>
      </c>
    </row>
    <row r="11" spans="1:7" x14ac:dyDescent="0.2">
      <c r="A11" s="52" t="s">
        <v>20</v>
      </c>
      <c r="B11" s="23"/>
      <c r="C11" s="23">
        <v>7.12</v>
      </c>
      <c r="D11" s="23">
        <v>10.18</v>
      </c>
      <c r="E11" s="23">
        <v>12.5</v>
      </c>
    </row>
    <row r="12" spans="1:7" x14ac:dyDescent="0.2">
      <c r="A12" s="52" t="s">
        <v>21</v>
      </c>
      <c r="B12" s="23"/>
      <c r="C12" s="23">
        <f>C9-C11</f>
        <v>257.88</v>
      </c>
      <c r="D12" s="23">
        <f>D9-D11</f>
        <v>254.82</v>
      </c>
      <c r="E12" s="23">
        <f>E9-E11</f>
        <v>283.25</v>
      </c>
    </row>
    <row r="13" spans="1:7" x14ac:dyDescent="0.2">
      <c r="A13" s="55" t="s">
        <v>22</v>
      </c>
      <c r="B13" s="36"/>
      <c r="C13" s="36">
        <v>2021</v>
      </c>
      <c r="D13" s="36">
        <v>2022</v>
      </c>
      <c r="E13" s="36">
        <v>2023</v>
      </c>
    </row>
    <row r="14" spans="1:7" x14ac:dyDescent="0.2">
      <c r="A14" s="55" t="s">
        <v>23</v>
      </c>
      <c r="B14" s="30"/>
      <c r="C14" s="30"/>
      <c r="D14" s="30"/>
      <c r="E14" s="31"/>
    </row>
    <row r="15" spans="1:7" x14ac:dyDescent="0.2">
      <c r="A15" s="32" t="s">
        <v>315</v>
      </c>
      <c r="B15" s="33"/>
      <c r="C15" s="33"/>
      <c r="D15" s="33"/>
      <c r="E15" s="34"/>
    </row>
    <row r="16" spans="1:7" x14ac:dyDescent="0.2">
      <c r="A16" s="32"/>
      <c r="B16" s="33"/>
      <c r="C16" s="33"/>
    </row>
    <row r="17" spans="1:6" x14ac:dyDescent="0.2">
      <c r="A17" s="117" t="s">
        <v>14</v>
      </c>
      <c r="B17" s="61" t="s">
        <v>708</v>
      </c>
      <c r="C17" s="42" t="s">
        <v>15</v>
      </c>
    </row>
    <row r="18" spans="1:6" x14ac:dyDescent="0.2">
      <c r="A18" s="52" t="s">
        <v>16</v>
      </c>
      <c r="B18" s="22">
        <v>2018</v>
      </c>
      <c r="C18" s="22">
        <v>2019</v>
      </c>
      <c r="D18" s="22">
        <v>2020</v>
      </c>
      <c r="E18" s="22">
        <v>2021</v>
      </c>
    </row>
    <row r="19" spans="1:6" x14ac:dyDescent="0.2">
      <c r="A19" s="52" t="s">
        <v>17</v>
      </c>
      <c r="B19" s="23">
        <v>45</v>
      </c>
      <c r="C19" s="23">
        <v>45</v>
      </c>
      <c r="D19" s="23">
        <v>45</v>
      </c>
      <c r="E19" s="23">
        <v>45</v>
      </c>
    </row>
    <row r="20" spans="1:6" x14ac:dyDescent="0.2">
      <c r="A20" s="52" t="s">
        <v>18</v>
      </c>
      <c r="B20" s="23">
        <v>63</v>
      </c>
      <c r="C20" s="23">
        <v>63</v>
      </c>
      <c r="D20" s="23">
        <v>63</v>
      </c>
      <c r="E20" s="23">
        <v>63</v>
      </c>
    </row>
    <row r="21" spans="1:6" x14ac:dyDescent="0.2">
      <c r="A21" s="52" t="s">
        <v>19</v>
      </c>
      <c r="B21" s="22" t="s">
        <v>312</v>
      </c>
      <c r="C21" s="22" t="s">
        <v>312</v>
      </c>
      <c r="D21" s="22" t="s">
        <v>312</v>
      </c>
      <c r="E21" s="22" t="s">
        <v>312</v>
      </c>
    </row>
    <row r="22" spans="1:6" x14ac:dyDescent="0.2">
      <c r="A22" s="52" t="s">
        <v>20</v>
      </c>
      <c r="B22" s="23">
        <v>18.100000000000001</v>
      </c>
      <c r="C22" s="23">
        <v>9.9499999999999993</v>
      </c>
      <c r="D22" s="23">
        <v>11.79</v>
      </c>
      <c r="E22" s="23">
        <v>13.29</v>
      </c>
    </row>
    <row r="23" spans="1:6" x14ac:dyDescent="0.2">
      <c r="A23" s="52" t="s">
        <v>21</v>
      </c>
      <c r="B23" s="23">
        <f>B20-B22</f>
        <v>44.9</v>
      </c>
      <c r="C23" s="23">
        <f>C20-C22</f>
        <v>53.05</v>
      </c>
      <c r="D23" s="23">
        <f>D20-D22</f>
        <v>51.21</v>
      </c>
      <c r="E23" s="23">
        <f>E20-E22</f>
        <v>49.71</v>
      </c>
    </row>
    <row r="24" spans="1:6" x14ac:dyDescent="0.2">
      <c r="A24" s="55" t="s">
        <v>22</v>
      </c>
      <c r="B24" s="36">
        <v>2020</v>
      </c>
      <c r="C24" s="36">
        <v>2021</v>
      </c>
      <c r="D24" s="36">
        <v>2022</v>
      </c>
      <c r="E24" s="36">
        <v>2023</v>
      </c>
    </row>
    <row r="25" spans="1:6" x14ac:dyDescent="0.2">
      <c r="A25" s="55" t="s">
        <v>162</v>
      </c>
      <c r="B25" s="30"/>
      <c r="C25" s="30"/>
      <c r="D25" s="30"/>
      <c r="E25" s="31"/>
    </row>
    <row r="26" spans="1:6" x14ac:dyDescent="0.2">
      <c r="A26" s="32" t="s">
        <v>440</v>
      </c>
      <c r="B26" s="33"/>
      <c r="C26" s="33"/>
      <c r="D26" s="33"/>
      <c r="E26" s="34"/>
    </row>
    <row r="28" spans="1:6" x14ac:dyDescent="0.2">
      <c r="A28" s="117" t="s">
        <v>14</v>
      </c>
      <c r="B28" s="61" t="s">
        <v>82</v>
      </c>
      <c r="C28" s="42" t="s">
        <v>15</v>
      </c>
    </row>
    <row r="29" spans="1:6" x14ac:dyDescent="0.2">
      <c r="A29" s="52" t="s">
        <v>16</v>
      </c>
      <c r="B29" s="22">
        <v>2018</v>
      </c>
      <c r="C29" s="22">
        <v>2019</v>
      </c>
      <c r="D29" s="22">
        <v>2020</v>
      </c>
      <c r="E29" s="22">
        <v>2021</v>
      </c>
      <c r="F29" s="22">
        <v>2022</v>
      </c>
    </row>
    <row r="30" spans="1:6" x14ac:dyDescent="0.2">
      <c r="A30" s="52" t="s">
        <v>17</v>
      </c>
      <c r="B30" s="23">
        <v>10</v>
      </c>
      <c r="C30" s="23">
        <v>10</v>
      </c>
      <c r="D30" s="23">
        <v>10</v>
      </c>
      <c r="E30" s="23">
        <v>10</v>
      </c>
      <c r="F30" s="23">
        <v>10</v>
      </c>
    </row>
    <row r="31" spans="1:6" x14ac:dyDescent="0.2">
      <c r="A31" s="52" t="s">
        <v>18</v>
      </c>
      <c r="B31" s="23">
        <v>-28.870000000000005</v>
      </c>
      <c r="C31" s="23">
        <v>-32.42</v>
      </c>
      <c r="D31" s="23">
        <v>-35.900000000000006</v>
      </c>
      <c r="E31" s="23">
        <v>-47.430000000000007</v>
      </c>
      <c r="F31" s="500">
        <f>E34+F30</f>
        <v>-49.660000000000011</v>
      </c>
    </row>
    <row r="32" spans="1:6" x14ac:dyDescent="0.2">
      <c r="A32" s="52" t="s">
        <v>19</v>
      </c>
      <c r="B32" s="209" t="s">
        <v>442</v>
      </c>
      <c r="C32" s="209" t="s">
        <v>443</v>
      </c>
      <c r="D32" s="209" t="s">
        <v>444</v>
      </c>
      <c r="E32" s="209" t="s">
        <v>445</v>
      </c>
      <c r="F32" s="209" t="s">
        <v>749</v>
      </c>
    </row>
    <row r="33" spans="1:6" x14ac:dyDescent="0.2">
      <c r="A33" s="52" t="s">
        <v>20</v>
      </c>
      <c r="B33" s="23">
        <v>13.55</v>
      </c>
      <c r="C33" s="23">
        <v>13.48</v>
      </c>
      <c r="D33" s="23">
        <v>21.53</v>
      </c>
      <c r="E33" s="23">
        <v>12.23</v>
      </c>
      <c r="F33" s="23"/>
    </row>
    <row r="34" spans="1:6" x14ac:dyDescent="0.2">
      <c r="A34" s="52" t="s">
        <v>21</v>
      </c>
      <c r="B34" s="23">
        <v>-42.42</v>
      </c>
      <c r="C34" s="23">
        <v>-45.900000000000006</v>
      </c>
      <c r="D34" s="23">
        <v>-57.430000000000007</v>
      </c>
      <c r="E34" s="23">
        <f>E31-E33</f>
        <v>-59.660000000000011</v>
      </c>
      <c r="F34" s="23"/>
    </row>
    <row r="35" spans="1:6" x14ac:dyDescent="0.2">
      <c r="A35" s="55" t="s">
        <v>22</v>
      </c>
      <c r="B35" s="36">
        <v>2019</v>
      </c>
      <c r="C35" s="36">
        <v>2020</v>
      </c>
      <c r="D35" s="36">
        <v>2021</v>
      </c>
      <c r="E35" s="36">
        <v>2022</v>
      </c>
      <c r="F35" s="36">
        <v>2023</v>
      </c>
    </row>
    <row r="36" spans="1:6" x14ac:dyDescent="0.2">
      <c r="A36" s="52" t="s">
        <v>23</v>
      </c>
      <c r="B36" s="64"/>
      <c r="C36" s="64"/>
      <c r="D36" s="64"/>
      <c r="E36" s="64"/>
      <c r="F36" s="62"/>
    </row>
    <row r="37" spans="1:6" x14ac:dyDescent="0.2">
      <c r="A37" s="32" t="s">
        <v>441</v>
      </c>
      <c r="B37" s="33"/>
      <c r="C37" s="33"/>
      <c r="D37" s="33"/>
      <c r="E37" s="33"/>
      <c r="F37" s="34"/>
    </row>
    <row r="39" spans="1:6" x14ac:dyDescent="0.2">
      <c r="A39" s="117" t="s">
        <v>14</v>
      </c>
      <c r="B39" s="61" t="s">
        <v>87</v>
      </c>
      <c r="C39" s="42" t="s">
        <v>15</v>
      </c>
    </row>
    <row r="40" spans="1:6" x14ac:dyDescent="0.2">
      <c r="A40" s="52" t="s">
        <v>16</v>
      </c>
      <c r="B40" s="22">
        <v>2018</v>
      </c>
      <c r="C40" s="22">
        <v>2019</v>
      </c>
      <c r="D40" s="22">
        <v>2020</v>
      </c>
      <c r="E40" s="22">
        <v>2021</v>
      </c>
      <c r="F40" s="22">
        <v>2022</v>
      </c>
    </row>
    <row r="41" spans="1:6" x14ac:dyDescent="0.2">
      <c r="A41" s="52" t="s">
        <v>17</v>
      </c>
      <c r="B41" s="23">
        <v>10</v>
      </c>
      <c r="C41" s="23">
        <v>10</v>
      </c>
      <c r="D41" s="23">
        <v>10</v>
      </c>
      <c r="E41" s="23">
        <v>10</v>
      </c>
      <c r="F41" s="23">
        <v>10</v>
      </c>
    </row>
    <row r="42" spans="1:6" x14ac:dyDescent="0.2">
      <c r="A42" s="52" t="s">
        <v>18</v>
      </c>
      <c r="B42" s="23">
        <f>10-2.23</f>
        <v>7.77</v>
      </c>
      <c r="C42" s="23">
        <f>C41-7.1</f>
        <v>2.9000000000000004</v>
      </c>
      <c r="D42" s="23">
        <f>10+B45</f>
        <v>0.26999999999999957</v>
      </c>
      <c r="E42" s="23">
        <f>10+C45</f>
        <v>1.4000000000000004</v>
      </c>
      <c r="F42" s="500">
        <f>F41+D45</f>
        <v>-4.09</v>
      </c>
    </row>
    <row r="43" spans="1:6" x14ac:dyDescent="0.2">
      <c r="A43" s="52" t="s">
        <v>19</v>
      </c>
      <c r="B43" s="207" t="s">
        <v>313</v>
      </c>
      <c r="C43" s="207" t="s">
        <v>314</v>
      </c>
      <c r="D43" s="207" t="s">
        <v>446</v>
      </c>
      <c r="E43" s="207" t="s">
        <v>447</v>
      </c>
      <c r="F43" s="207" t="s">
        <v>750</v>
      </c>
    </row>
    <row r="44" spans="1:6" x14ac:dyDescent="0.2">
      <c r="A44" s="52" t="s">
        <v>20</v>
      </c>
      <c r="B44" s="23">
        <v>17.5</v>
      </c>
      <c r="C44" s="23">
        <v>11.5</v>
      </c>
      <c r="D44" s="23">
        <v>14.36</v>
      </c>
      <c r="E44" s="23">
        <v>10</v>
      </c>
      <c r="F44" s="23"/>
    </row>
    <row r="45" spans="1:6" x14ac:dyDescent="0.2">
      <c r="A45" s="52" t="s">
        <v>21</v>
      </c>
      <c r="B45" s="23">
        <f>B42-B44</f>
        <v>-9.73</v>
      </c>
      <c r="C45" s="23">
        <f>C42-C44</f>
        <v>-8.6</v>
      </c>
      <c r="D45" s="23">
        <f>D42-D44</f>
        <v>-14.09</v>
      </c>
      <c r="E45" s="23">
        <f>E42-E44</f>
        <v>-8.6</v>
      </c>
      <c r="F45" s="23"/>
    </row>
    <row r="46" spans="1:6" x14ac:dyDescent="0.2">
      <c r="A46" s="55" t="s">
        <v>22</v>
      </c>
      <c r="B46" s="36">
        <v>2020</v>
      </c>
      <c r="C46" s="36">
        <v>2021</v>
      </c>
      <c r="D46" s="36">
        <v>2022</v>
      </c>
      <c r="E46" s="36">
        <v>2023</v>
      </c>
      <c r="F46" s="36">
        <v>2024</v>
      </c>
    </row>
    <row r="47" spans="1:6" x14ac:dyDescent="0.2">
      <c r="A47" s="52" t="s">
        <v>23</v>
      </c>
      <c r="B47" s="64"/>
      <c r="C47" s="64"/>
      <c r="D47" s="64"/>
      <c r="E47" s="64"/>
      <c r="F47" s="62"/>
    </row>
    <row r="48" spans="1:6" x14ac:dyDescent="0.2">
      <c r="A48" s="32" t="s">
        <v>441</v>
      </c>
      <c r="B48" s="33"/>
      <c r="C48" s="33"/>
      <c r="D48" s="33"/>
      <c r="E48" s="33"/>
      <c r="F48" s="34"/>
    </row>
    <row r="51" spans="1:9" x14ac:dyDescent="0.2">
      <c r="A51" s="210" t="s">
        <v>12</v>
      </c>
      <c r="B51" s="627" t="s">
        <v>174</v>
      </c>
      <c r="C51" s="7"/>
      <c r="D51" s="7"/>
      <c r="E51" s="7"/>
      <c r="F51" s="7"/>
    </row>
    <row r="52" spans="1:9" x14ac:dyDescent="0.2">
      <c r="A52" s="211" t="s">
        <v>14</v>
      </c>
      <c r="B52" s="13" t="s">
        <v>709</v>
      </c>
      <c r="C52" s="212" t="s">
        <v>15</v>
      </c>
      <c r="D52" s="7"/>
      <c r="E52" s="7"/>
      <c r="F52" s="7"/>
    </row>
    <row r="53" spans="1:9" x14ac:dyDescent="0.2">
      <c r="A53" s="8" t="s">
        <v>16</v>
      </c>
      <c r="B53" s="9"/>
      <c r="C53" s="501">
        <v>2017</v>
      </c>
      <c r="D53" s="212">
        <v>2018</v>
      </c>
      <c r="E53" s="212">
        <v>2019</v>
      </c>
      <c r="F53" s="212">
        <v>2020</v>
      </c>
      <c r="G53" s="212">
        <v>2021</v>
      </c>
      <c r="H53" s="212">
        <v>2022</v>
      </c>
      <c r="I53" s="212">
        <v>2023</v>
      </c>
    </row>
    <row r="54" spans="1:9" x14ac:dyDescent="0.2">
      <c r="A54" s="8" t="s">
        <v>17</v>
      </c>
      <c r="B54" s="9"/>
      <c r="C54" s="213">
        <v>200</v>
      </c>
      <c r="D54" s="29">
        <v>200</v>
      </c>
      <c r="E54" s="29">
        <v>215</v>
      </c>
      <c r="F54" s="29">
        <v>215</v>
      </c>
      <c r="G54" s="29">
        <v>242</v>
      </c>
      <c r="H54" s="29">
        <v>242</v>
      </c>
      <c r="I54" s="29">
        <v>242</v>
      </c>
    </row>
    <row r="55" spans="1:9" x14ac:dyDescent="0.2">
      <c r="A55" s="8" t="s">
        <v>18</v>
      </c>
      <c r="B55" s="9"/>
      <c r="C55" s="213">
        <v>450</v>
      </c>
      <c r="D55" s="29">
        <v>450</v>
      </c>
      <c r="E55" s="29">
        <f>E54+C58+200</f>
        <v>416.56</v>
      </c>
      <c r="F55" s="29">
        <v>465</v>
      </c>
      <c r="G55" s="29">
        <f>G54+0.25*E54+200</f>
        <v>495.75</v>
      </c>
      <c r="H55" s="29">
        <f>H54+0.25*F54+200</f>
        <v>495.75</v>
      </c>
      <c r="I55" s="29">
        <f>I54+0.25*G54+200</f>
        <v>502.5</v>
      </c>
    </row>
    <row r="56" spans="1:9" x14ac:dyDescent="0.2">
      <c r="A56" s="8" t="s">
        <v>19</v>
      </c>
      <c r="B56" s="9"/>
      <c r="C56" s="213"/>
      <c r="D56" s="29"/>
      <c r="E56" s="616" t="s">
        <v>175</v>
      </c>
      <c r="F56" s="617"/>
      <c r="G56" s="617"/>
      <c r="H56" s="617"/>
      <c r="I56" s="618"/>
    </row>
    <row r="57" spans="1:9" x14ac:dyDescent="0.2">
      <c r="A57" s="8" t="s">
        <v>20</v>
      </c>
      <c r="B57" s="9"/>
      <c r="C57" s="29">
        <v>448.44</v>
      </c>
      <c r="D57" s="29">
        <v>385.14</v>
      </c>
      <c r="E57" s="29">
        <v>216.09</v>
      </c>
      <c r="F57" s="29">
        <v>326.05</v>
      </c>
      <c r="G57" s="29">
        <v>200.65</v>
      </c>
      <c r="H57" s="29"/>
      <c r="I57" s="29"/>
    </row>
    <row r="58" spans="1:9" x14ac:dyDescent="0.2">
      <c r="A58" s="8" t="s">
        <v>21</v>
      </c>
      <c r="B58" s="9"/>
      <c r="C58" s="29">
        <f>C55-C57</f>
        <v>1.5600000000000023</v>
      </c>
      <c r="D58" s="29">
        <f>D55-D57</f>
        <v>64.860000000000014</v>
      </c>
      <c r="E58" s="29">
        <f>E55-E57</f>
        <v>200.47</v>
      </c>
      <c r="F58" s="29">
        <f>F55-F57</f>
        <v>138.94999999999999</v>
      </c>
      <c r="G58" s="29">
        <f>G55-G57</f>
        <v>295.10000000000002</v>
      </c>
      <c r="H58" s="29"/>
      <c r="I58" s="29"/>
    </row>
    <row r="59" spans="1:9" x14ac:dyDescent="0.2">
      <c r="A59" s="37" t="s">
        <v>22</v>
      </c>
      <c r="B59" s="38"/>
      <c r="C59" s="50">
        <v>2019</v>
      </c>
      <c r="D59" s="38">
        <v>2020</v>
      </c>
      <c r="E59" s="38">
        <v>2021</v>
      </c>
      <c r="F59" s="38">
        <v>2022</v>
      </c>
      <c r="G59" s="38">
        <v>2023</v>
      </c>
      <c r="H59" s="38">
        <v>2024</v>
      </c>
      <c r="I59" s="38">
        <v>2025</v>
      </c>
    </row>
    <row r="60" spans="1:9" x14ac:dyDescent="0.2">
      <c r="A60" s="597" t="s">
        <v>216</v>
      </c>
      <c r="B60" s="598"/>
      <c r="C60" s="598"/>
      <c r="D60" s="598"/>
      <c r="E60" s="598"/>
      <c r="F60" s="598"/>
      <c r="G60" s="30"/>
      <c r="H60" s="30"/>
      <c r="I60" s="31"/>
    </row>
    <row r="61" spans="1:9" x14ac:dyDescent="0.2">
      <c r="A61" s="622" t="s">
        <v>396</v>
      </c>
      <c r="B61" s="623"/>
      <c r="C61" s="623"/>
      <c r="D61" s="623"/>
      <c r="E61" s="623"/>
      <c r="F61" s="623"/>
      <c r="I61" s="21"/>
    </row>
    <row r="62" spans="1:9" x14ac:dyDescent="0.2">
      <c r="A62" s="214" t="s">
        <v>261</v>
      </c>
      <c r="B62" s="544"/>
      <c r="C62" s="544"/>
      <c r="D62" s="215"/>
      <c r="E62" s="215"/>
      <c r="F62" s="215"/>
      <c r="I62" s="21"/>
    </row>
    <row r="63" spans="1:9" x14ac:dyDescent="0.2">
      <c r="A63" s="214" t="s">
        <v>619</v>
      </c>
      <c r="B63" s="544"/>
      <c r="C63" s="544"/>
      <c r="D63" s="215"/>
      <c r="E63" s="215"/>
      <c r="F63" s="215"/>
      <c r="I63" s="21"/>
    </row>
    <row r="64" spans="1:9" x14ac:dyDescent="0.2">
      <c r="A64" s="214" t="s">
        <v>448</v>
      </c>
      <c r="B64" s="544"/>
      <c r="C64" s="544"/>
      <c r="D64" s="215"/>
      <c r="E64" s="215"/>
      <c r="F64" s="215"/>
      <c r="I64" s="21"/>
    </row>
    <row r="65" spans="1:9" x14ac:dyDescent="0.2">
      <c r="A65" s="545" t="s">
        <v>624</v>
      </c>
      <c r="B65" s="544"/>
      <c r="C65" s="544"/>
      <c r="D65" s="215"/>
      <c r="E65" s="215"/>
      <c r="F65" s="215"/>
      <c r="I65" s="21"/>
    </row>
    <row r="66" spans="1:9" x14ac:dyDescent="0.2">
      <c r="A66" s="543" t="s">
        <v>777</v>
      </c>
      <c r="B66" s="544"/>
      <c r="C66" s="544"/>
      <c r="D66" s="215"/>
      <c r="E66" s="215"/>
      <c r="F66" s="215"/>
      <c r="I66" s="21"/>
    </row>
    <row r="67" spans="1:9" x14ac:dyDescent="0.2">
      <c r="A67" s="216" t="s">
        <v>776</v>
      </c>
      <c r="B67" s="217"/>
      <c r="C67" s="217"/>
      <c r="D67" s="217"/>
      <c r="E67" s="217"/>
      <c r="F67" s="217"/>
      <c r="G67" s="33"/>
      <c r="H67" s="33"/>
      <c r="I67" s="34"/>
    </row>
    <row r="68" spans="1:9" x14ac:dyDescent="0.2">
      <c r="A68" s="7"/>
      <c r="B68" s="7"/>
      <c r="C68" s="7"/>
      <c r="D68" s="7"/>
      <c r="E68" s="7"/>
      <c r="F68" s="7"/>
    </row>
    <row r="70" spans="1:9" x14ac:dyDescent="0.2">
      <c r="A70" s="211" t="s">
        <v>14</v>
      </c>
      <c r="B70" s="13" t="s">
        <v>732</v>
      </c>
      <c r="C70" s="212" t="s">
        <v>15</v>
      </c>
      <c r="D70" s="7"/>
      <c r="E70" s="7"/>
      <c r="F70" s="7"/>
    </row>
    <row r="71" spans="1:9" x14ac:dyDescent="0.2">
      <c r="A71" s="218" t="s">
        <v>16</v>
      </c>
      <c r="B71" s="9"/>
      <c r="C71" s="212">
        <v>2017</v>
      </c>
      <c r="D71" s="212">
        <v>2018</v>
      </c>
      <c r="E71" s="212">
        <v>2019</v>
      </c>
      <c r="F71" s="212">
        <v>2020</v>
      </c>
      <c r="G71" s="212">
        <v>2021</v>
      </c>
      <c r="H71" s="212">
        <v>2022</v>
      </c>
      <c r="I71" s="212">
        <v>2023</v>
      </c>
    </row>
    <row r="72" spans="1:9" x14ac:dyDescent="0.2">
      <c r="A72" s="218" t="s">
        <v>17</v>
      </c>
      <c r="B72" s="9"/>
      <c r="C72" s="29">
        <v>250</v>
      </c>
      <c r="D72" s="29">
        <v>250</v>
      </c>
      <c r="E72" s="29">
        <v>250</v>
      </c>
      <c r="F72" s="29">
        <v>250</v>
      </c>
      <c r="G72" s="29">
        <v>250</v>
      </c>
      <c r="H72" s="29">
        <v>250</v>
      </c>
      <c r="I72" s="29">
        <v>250</v>
      </c>
    </row>
    <row r="73" spans="1:9" x14ac:dyDescent="0.2">
      <c r="A73" s="218" t="s">
        <v>18</v>
      </c>
      <c r="B73" s="9"/>
      <c r="C73" s="29">
        <v>312.5</v>
      </c>
      <c r="D73" s="29">
        <v>312.5</v>
      </c>
      <c r="E73" s="29">
        <v>312.5</v>
      </c>
      <c r="F73" s="29">
        <f>F72+D76</f>
        <v>251.98000000000002</v>
      </c>
      <c r="G73" s="29">
        <f>G72+0.25*E72</f>
        <v>312.5</v>
      </c>
      <c r="H73" s="29">
        <f>H72+0.25*F72</f>
        <v>312.5</v>
      </c>
      <c r="I73" s="29">
        <f>I72+0.25*G72</f>
        <v>312.5</v>
      </c>
    </row>
    <row r="74" spans="1:9" ht="15" customHeight="1" x14ac:dyDescent="0.2">
      <c r="A74" s="218" t="s">
        <v>19</v>
      </c>
      <c r="B74" s="9"/>
      <c r="C74" s="616" t="s">
        <v>779</v>
      </c>
      <c r="D74" s="617"/>
      <c r="E74" s="617"/>
      <c r="F74" s="617"/>
      <c r="G74" s="617"/>
      <c r="H74" s="617"/>
      <c r="I74" s="618"/>
    </row>
    <row r="75" spans="1:9" x14ac:dyDescent="0.2">
      <c r="A75" s="218" t="s">
        <v>20</v>
      </c>
      <c r="B75" s="9"/>
      <c r="C75" s="29">
        <v>219.03</v>
      </c>
      <c r="D75" s="29">
        <v>310.52</v>
      </c>
      <c r="E75" s="29">
        <v>158.13999999999999</v>
      </c>
      <c r="F75" s="29">
        <v>162.13</v>
      </c>
      <c r="G75" s="29">
        <v>30.84</v>
      </c>
      <c r="H75" s="29"/>
      <c r="I75" s="29"/>
    </row>
    <row r="76" spans="1:9" x14ac:dyDescent="0.2">
      <c r="A76" s="218" t="s">
        <v>21</v>
      </c>
      <c r="B76" s="9"/>
      <c r="C76" s="29">
        <f>C73-C75</f>
        <v>93.47</v>
      </c>
      <c r="D76" s="29">
        <f t="shared" ref="D76:G76" si="0">D73-D75</f>
        <v>1.9800000000000182</v>
      </c>
      <c r="E76" s="29">
        <f t="shared" si="0"/>
        <v>154.36000000000001</v>
      </c>
      <c r="F76" s="29">
        <f t="shared" si="0"/>
        <v>89.850000000000023</v>
      </c>
      <c r="G76" s="29">
        <f t="shared" si="0"/>
        <v>281.66000000000003</v>
      </c>
      <c r="H76" s="29"/>
      <c r="I76" s="29"/>
    </row>
    <row r="77" spans="1:9" x14ac:dyDescent="0.2">
      <c r="A77" s="219" t="s">
        <v>22</v>
      </c>
      <c r="B77" s="38"/>
      <c r="C77" s="38">
        <v>2019</v>
      </c>
      <c r="D77" s="38">
        <v>2020</v>
      </c>
      <c r="E77" s="38">
        <v>2021</v>
      </c>
      <c r="F77" s="38">
        <v>2022</v>
      </c>
      <c r="G77" s="38">
        <v>2023</v>
      </c>
      <c r="H77" s="38">
        <v>2024</v>
      </c>
      <c r="I77" s="38">
        <v>2025</v>
      </c>
    </row>
    <row r="78" spans="1:9" x14ac:dyDescent="0.2">
      <c r="A78" s="37" t="s">
        <v>217</v>
      </c>
      <c r="B78" s="50"/>
      <c r="C78" s="50"/>
      <c r="D78" s="50"/>
      <c r="E78" s="50"/>
      <c r="F78" s="50"/>
      <c r="G78" s="30"/>
      <c r="H78" s="30"/>
      <c r="I78" s="31"/>
    </row>
    <row r="79" spans="1:9" x14ac:dyDescent="0.2">
      <c r="A79" s="17" t="s">
        <v>263</v>
      </c>
      <c r="B79" s="7"/>
      <c r="C79" s="7"/>
      <c r="D79" s="7"/>
      <c r="E79" s="7"/>
      <c r="F79" s="7"/>
      <c r="I79" s="21"/>
    </row>
    <row r="80" spans="1:9" x14ac:dyDescent="0.2">
      <c r="A80" s="17" t="s">
        <v>449</v>
      </c>
      <c r="B80" s="7"/>
      <c r="C80" s="7"/>
      <c r="D80" s="7"/>
      <c r="E80" s="7"/>
      <c r="F80" s="7"/>
      <c r="I80" s="21"/>
    </row>
    <row r="81" spans="1:9" x14ac:dyDescent="0.2">
      <c r="A81" s="20" t="s">
        <v>625</v>
      </c>
      <c r="B81" s="7"/>
      <c r="C81" s="7"/>
      <c r="D81" s="7"/>
      <c r="E81" s="7"/>
      <c r="F81" s="7"/>
      <c r="I81" s="21"/>
    </row>
    <row r="82" spans="1:9" ht="12.75" customHeight="1" x14ac:dyDescent="0.2">
      <c r="A82" s="32" t="s">
        <v>778</v>
      </c>
      <c r="B82" s="15"/>
      <c r="C82" s="15"/>
      <c r="D82" s="15"/>
      <c r="E82" s="15"/>
      <c r="F82" s="15"/>
      <c r="G82" s="33"/>
      <c r="H82" s="33"/>
      <c r="I82" s="34"/>
    </row>
    <row r="84" spans="1:9" x14ac:dyDescent="0.2">
      <c r="A84" s="211" t="s">
        <v>14</v>
      </c>
      <c r="B84" s="13" t="s">
        <v>708</v>
      </c>
      <c r="C84" s="212" t="s">
        <v>15</v>
      </c>
      <c r="D84" s="7"/>
      <c r="E84" s="7"/>
      <c r="F84" s="7"/>
    </row>
    <row r="85" spans="1:9" x14ac:dyDescent="0.2">
      <c r="A85" s="218" t="s">
        <v>16</v>
      </c>
      <c r="B85" s="9"/>
      <c r="C85" s="212">
        <v>2017</v>
      </c>
      <c r="D85" s="212">
        <v>2018</v>
      </c>
      <c r="E85" s="212">
        <v>2019</v>
      </c>
      <c r="F85" s="212">
        <v>2020</v>
      </c>
      <c r="G85" s="212">
        <v>2021</v>
      </c>
      <c r="H85" s="212">
        <v>2022</v>
      </c>
      <c r="I85" s="212">
        <v>2023</v>
      </c>
    </row>
    <row r="86" spans="1:9" x14ac:dyDescent="0.2">
      <c r="A86" s="218" t="s">
        <v>17</v>
      </c>
      <c r="B86" s="9"/>
      <c r="C86" s="29">
        <v>130</v>
      </c>
      <c r="D86" s="29">
        <v>130</v>
      </c>
      <c r="E86" s="29">
        <v>130</v>
      </c>
      <c r="F86" s="29">
        <v>130</v>
      </c>
      <c r="G86" s="29">
        <v>130</v>
      </c>
      <c r="H86" s="29">
        <v>130</v>
      </c>
      <c r="I86" s="29">
        <v>130</v>
      </c>
    </row>
    <row r="87" spans="1:9" x14ac:dyDescent="0.2">
      <c r="A87" s="218" t="s">
        <v>18</v>
      </c>
      <c r="B87" s="9"/>
      <c r="C87" s="29">
        <v>257</v>
      </c>
      <c r="D87" s="29">
        <v>257</v>
      </c>
      <c r="E87" s="29">
        <f>E86*1.4+75</f>
        <v>257</v>
      </c>
      <c r="F87" s="29">
        <f>F86*1.4+75</f>
        <v>257</v>
      </c>
      <c r="G87" s="29">
        <f>G86+0.4*E86+75</f>
        <v>257</v>
      </c>
      <c r="H87" s="29">
        <f>H86+0.4*F86+75</f>
        <v>257</v>
      </c>
      <c r="I87" s="29">
        <f>I86+0.4*G86+75</f>
        <v>257</v>
      </c>
    </row>
    <row r="88" spans="1:9" ht="14.45" customHeight="1" x14ac:dyDescent="0.2">
      <c r="A88" s="218" t="s">
        <v>19</v>
      </c>
      <c r="B88" s="9"/>
      <c r="C88" s="616" t="s">
        <v>175</v>
      </c>
      <c r="D88" s="617"/>
      <c r="E88" s="617"/>
      <c r="F88" s="617"/>
      <c r="G88" s="617"/>
      <c r="H88" s="617"/>
      <c r="I88" s="618"/>
    </row>
    <row r="89" spans="1:9" x14ac:dyDescent="0.2">
      <c r="A89" s="218" t="s">
        <v>20</v>
      </c>
      <c r="B89" s="9"/>
      <c r="C89" s="29">
        <v>59.08</v>
      </c>
      <c r="D89" s="29">
        <v>145.32</v>
      </c>
      <c r="E89" s="29">
        <v>116.8</v>
      </c>
      <c r="F89" s="29">
        <v>110.73</v>
      </c>
      <c r="G89" s="29">
        <v>94</v>
      </c>
      <c r="H89" s="29"/>
      <c r="I89" s="29"/>
    </row>
    <row r="90" spans="1:9" x14ac:dyDescent="0.2">
      <c r="A90" s="218" t="s">
        <v>21</v>
      </c>
      <c r="B90" s="9"/>
      <c r="C90" s="29">
        <f>C87-C89</f>
        <v>197.92000000000002</v>
      </c>
      <c r="D90" s="29">
        <f t="shared" ref="D90:G90" si="1">D87-D89</f>
        <v>111.68</v>
      </c>
      <c r="E90" s="29">
        <f t="shared" si="1"/>
        <v>140.19999999999999</v>
      </c>
      <c r="F90" s="29">
        <f t="shared" si="1"/>
        <v>146.26999999999998</v>
      </c>
      <c r="G90" s="29">
        <f t="shared" si="1"/>
        <v>163</v>
      </c>
      <c r="H90" s="29"/>
      <c r="I90" s="29"/>
    </row>
    <row r="91" spans="1:9" x14ac:dyDescent="0.2">
      <c r="A91" s="219" t="s">
        <v>22</v>
      </c>
      <c r="B91" s="38"/>
      <c r="C91" s="38">
        <v>2019</v>
      </c>
      <c r="D91" s="38">
        <v>2020</v>
      </c>
      <c r="E91" s="38">
        <v>2021</v>
      </c>
      <c r="F91" s="38">
        <v>2022</v>
      </c>
      <c r="G91" s="38">
        <v>2023</v>
      </c>
      <c r="H91" s="38">
        <v>2024</v>
      </c>
      <c r="I91" s="38">
        <v>2025</v>
      </c>
    </row>
    <row r="92" spans="1:9" x14ac:dyDescent="0.2">
      <c r="A92" s="37" t="s">
        <v>264</v>
      </c>
      <c r="B92" s="50"/>
      <c r="C92" s="50"/>
      <c r="D92" s="50"/>
      <c r="E92" s="50"/>
      <c r="F92" s="50"/>
      <c r="G92" s="50"/>
      <c r="H92" s="30"/>
      <c r="I92" s="31"/>
    </row>
    <row r="93" spans="1:9" x14ac:dyDescent="0.2">
      <c r="A93" s="17" t="s">
        <v>218</v>
      </c>
      <c r="B93" s="7"/>
      <c r="C93" s="7"/>
      <c r="D93" s="7"/>
      <c r="E93" s="7"/>
      <c r="F93" s="7"/>
      <c r="G93" s="7"/>
      <c r="I93" s="21"/>
    </row>
    <row r="94" spans="1:9" x14ac:dyDescent="0.2">
      <c r="A94" s="17" t="s">
        <v>265</v>
      </c>
      <c r="B94" s="7"/>
      <c r="C94" s="7"/>
      <c r="D94" s="7"/>
      <c r="E94" s="7"/>
      <c r="F94" s="7"/>
      <c r="G94" s="7"/>
      <c r="I94" s="21"/>
    </row>
    <row r="95" spans="1:9" x14ac:dyDescent="0.2">
      <c r="A95" s="17" t="s">
        <v>450</v>
      </c>
      <c r="B95" s="7"/>
      <c r="C95" s="7"/>
      <c r="D95" s="7"/>
      <c r="E95" s="7"/>
      <c r="F95" s="7"/>
      <c r="G95" s="7"/>
      <c r="I95" s="21"/>
    </row>
    <row r="96" spans="1:9" x14ac:dyDescent="0.2">
      <c r="A96" s="17" t="s">
        <v>626</v>
      </c>
      <c r="B96" s="7"/>
      <c r="C96" s="7"/>
      <c r="D96" s="7"/>
      <c r="E96" s="7"/>
      <c r="F96" s="7"/>
      <c r="G96" s="7"/>
      <c r="I96" s="21"/>
    </row>
    <row r="97" spans="1:9" x14ac:dyDescent="0.2">
      <c r="A97" s="14" t="s">
        <v>780</v>
      </c>
      <c r="B97" s="15"/>
      <c r="C97" s="15"/>
      <c r="D97" s="15"/>
      <c r="E97" s="15"/>
      <c r="F97" s="15"/>
      <c r="G97" s="15"/>
      <c r="H97" s="33"/>
      <c r="I97" s="34"/>
    </row>
    <row r="99" spans="1:9" x14ac:dyDescent="0.2">
      <c r="A99" s="211" t="s">
        <v>14</v>
      </c>
      <c r="B99" s="13" t="s">
        <v>736</v>
      </c>
      <c r="C99" s="212" t="s">
        <v>15</v>
      </c>
      <c r="D99" s="7"/>
      <c r="E99" s="7"/>
      <c r="F99" s="7"/>
    </row>
    <row r="100" spans="1:9" x14ac:dyDescent="0.2">
      <c r="A100" s="9" t="s">
        <v>16</v>
      </c>
      <c r="B100" s="9"/>
      <c r="C100" s="212">
        <v>2017</v>
      </c>
      <c r="D100" s="212">
        <v>2018</v>
      </c>
      <c r="E100" s="212">
        <v>2019</v>
      </c>
      <c r="F100" s="212">
        <v>2020</v>
      </c>
      <c r="G100" s="212">
        <v>2021</v>
      </c>
      <c r="H100" s="212">
        <v>2022</v>
      </c>
      <c r="I100" s="212">
        <v>2023</v>
      </c>
    </row>
    <row r="101" spans="1:9" x14ac:dyDescent="0.2">
      <c r="A101" s="9" t="s">
        <v>17</v>
      </c>
      <c r="B101" s="9"/>
      <c r="C101" s="29">
        <v>125</v>
      </c>
      <c r="D101" s="29">
        <v>125</v>
      </c>
      <c r="E101" s="29">
        <v>125</v>
      </c>
      <c r="F101" s="29">
        <v>125</v>
      </c>
      <c r="G101" s="29">
        <v>125</v>
      </c>
      <c r="H101" s="29">
        <v>125</v>
      </c>
      <c r="I101" s="29">
        <v>125</v>
      </c>
    </row>
    <row r="102" spans="1:9" x14ac:dyDescent="0.2">
      <c r="A102" s="9" t="s">
        <v>18</v>
      </c>
      <c r="B102" s="9"/>
      <c r="C102" s="29">
        <v>275</v>
      </c>
      <c r="D102" s="29">
        <v>287.5</v>
      </c>
      <c r="E102" s="29">
        <f>E101*1.2+25+50+50</f>
        <v>275</v>
      </c>
      <c r="F102" s="29">
        <f>F101*1.2+25+50+50</f>
        <v>275</v>
      </c>
      <c r="G102" s="29">
        <f>G101+0.2*E101+25+50+50</f>
        <v>275</v>
      </c>
      <c r="H102" s="29">
        <f>H101+0.2*F101+24.94+50+50</f>
        <v>274.94</v>
      </c>
      <c r="I102" s="29">
        <f t="shared" ref="I102" si="2">I101+0.2*G101+25+50+50</f>
        <v>275</v>
      </c>
    </row>
    <row r="103" spans="1:9" ht="14.45" customHeight="1" x14ac:dyDescent="0.2">
      <c r="A103" s="9" t="s">
        <v>19</v>
      </c>
      <c r="B103" s="9"/>
      <c r="C103" s="616" t="s">
        <v>175</v>
      </c>
      <c r="D103" s="617"/>
      <c r="E103" s="617"/>
      <c r="F103" s="617"/>
      <c r="G103" s="617"/>
      <c r="H103" s="617"/>
      <c r="I103" s="618"/>
    </row>
    <row r="104" spans="1:9" x14ac:dyDescent="0.2">
      <c r="A104" s="9" t="s">
        <v>20</v>
      </c>
      <c r="B104" s="9"/>
      <c r="C104" s="29">
        <v>166.01</v>
      </c>
      <c r="D104" s="29">
        <v>115.22</v>
      </c>
      <c r="E104" s="29">
        <v>55.33</v>
      </c>
      <c r="F104" s="29">
        <v>2.12</v>
      </c>
      <c r="G104" s="29">
        <v>29.08</v>
      </c>
      <c r="H104" s="29"/>
      <c r="I104" s="29"/>
    </row>
    <row r="105" spans="1:9" x14ac:dyDescent="0.2">
      <c r="A105" s="9" t="s">
        <v>21</v>
      </c>
      <c r="B105" s="9"/>
      <c r="C105" s="29">
        <f>C102-C104</f>
        <v>108.99000000000001</v>
      </c>
      <c r="D105" s="29">
        <f t="shared" ref="D105:G105" si="3">D102-D104</f>
        <v>172.28</v>
      </c>
      <c r="E105" s="29">
        <f t="shared" si="3"/>
        <v>219.67000000000002</v>
      </c>
      <c r="F105" s="29">
        <f t="shared" si="3"/>
        <v>272.88</v>
      </c>
      <c r="G105" s="29">
        <f t="shared" si="3"/>
        <v>245.92000000000002</v>
      </c>
      <c r="H105" s="29"/>
      <c r="I105" s="29"/>
    </row>
    <row r="106" spans="1:9" x14ac:dyDescent="0.2">
      <c r="A106" s="38" t="s">
        <v>22</v>
      </c>
      <c r="B106" s="38"/>
      <c r="C106" s="38">
        <v>2019</v>
      </c>
      <c r="D106" s="38">
        <v>2020</v>
      </c>
      <c r="E106" s="38">
        <v>2021</v>
      </c>
      <c r="F106" s="38">
        <v>2022</v>
      </c>
      <c r="G106" s="38">
        <v>2023</v>
      </c>
      <c r="H106" s="38">
        <v>2024</v>
      </c>
      <c r="I106" s="38">
        <v>2025</v>
      </c>
    </row>
    <row r="107" spans="1:9" x14ac:dyDescent="0.2">
      <c r="A107" s="37" t="s">
        <v>267</v>
      </c>
      <c r="B107" s="50"/>
      <c r="C107" s="50"/>
      <c r="D107" s="50"/>
      <c r="E107" s="50"/>
      <c r="F107" s="50"/>
      <c r="G107" s="30"/>
      <c r="H107" s="30"/>
      <c r="I107" s="31"/>
    </row>
    <row r="108" spans="1:9" x14ac:dyDescent="0.2">
      <c r="A108" s="17" t="s">
        <v>268</v>
      </c>
      <c r="B108" s="7"/>
      <c r="C108" s="7"/>
      <c r="D108" s="7"/>
      <c r="E108" s="7"/>
      <c r="F108" s="7"/>
      <c r="I108" s="21"/>
    </row>
    <row r="109" spans="1:9" x14ac:dyDescent="0.2">
      <c r="A109" s="17" t="s">
        <v>269</v>
      </c>
      <c r="B109" s="7"/>
      <c r="C109" s="7"/>
      <c r="D109" s="7"/>
      <c r="E109" s="7"/>
      <c r="F109" s="7"/>
      <c r="I109" s="21"/>
    </row>
    <row r="110" spans="1:9" x14ac:dyDescent="0.2">
      <c r="A110" s="17" t="s">
        <v>219</v>
      </c>
      <c r="B110" s="7"/>
      <c r="C110" s="7"/>
      <c r="D110" s="7"/>
      <c r="E110" s="7"/>
      <c r="F110" s="7"/>
      <c r="I110" s="21"/>
    </row>
    <row r="111" spans="1:9" x14ac:dyDescent="0.2">
      <c r="A111" s="17" t="s">
        <v>266</v>
      </c>
      <c r="B111" s="7"/>
      <c r="C111" s="7"/>
      <c r="D111" s="7"/>
      <c r="E111" s="7"/>
      <c r="F111" s="7"/>
      <c r="I111" s="21"/>
    </row>
    <row r="112" spans="1:9" x14ac:dyDescent="0.2">
      <c r="A112" s="17" t="s">
        <v>451</v>
      </c>
      <c r="B112" s="7"/>
      <c r="C112" s="7"/>
      <c r="D112" s="7"/>
      <c r="E112" s="7"/>
      <c r="F112" s="7"/>
      <c r="I112" s="21"/>
    </row>
    <row r="113" spans="1:10" x14ac:dyDescent="0.2">
      <c r="A113" s="20" t="s">
        <v>627</v>
      </c>
      <c r="B113" s="7"/>
      <c r="C113" s="7"/>
      <c r="D113" s="7"/>
      <c r="E113" s="7"/>
      <c r="F113" s="7"/>
      <c r="I113" s="21"/>
    </row>
    <row r="114" spans="1:10" x14ac:dyDescent="0.2">
      <c r="A114" s="32" t="s">
        <v>781</v>
      </c>
      <c r="B114" s="33"/>
      <c r="C114" s="33"/>
      <c r="D114" s="33"/>
      <c r="E114" s="33"/>
      <c r="F114" s="33"/>
      <c r="G114" s="33"/>
      <c r="H114" s="33"/>
      <c r="I114" s="34"/>
    </row>
    <row r="117" spans="1:10" x14ac:dyDescent="0.2">
      <c r="A117" s="220" t="s">
        <v>12</v>
      </c>
      <c r="B117" s="627" t="s">
        <v>173</v>
      </c>
      <c r="C117" s="7"/>
      <c r="D117" s="7"/>
      <c r="E117" s="7"/>
      <c r="F117" s="7"/>
      <c r="G117" s="7"/>
    </row>
    <row r="118" spans="1:10" x14ac:dyDescent="0.2">
      <c r="A118" s="16" t="s">
        <v>14</v>
      </c>
      <c r="B118" s="13" t="s">
        <v>709</v>
      </c>
      <c r="C118" s="212" t="s">
        <v>15</v>
      </c>
      <c r="D118" s="7"/>
      <c r="E118" s="7"/>
      <c r="F118" s="7"/>
      <c r="G118" s="7"/>
    </row>
    <row r="119" spans="1:10" x14ac:dyDescent="0.2">
      <c r="A119" s="8" t="s">
        <v>16</v>
      </c>
      <c r="B119" s="212">
        <v>2014</v>
      </c>
      <c r="C119" s="212">
        <v>2015</v>
      </c>
      <c r="D119" s="501">
        <v>2016</v>
      </c>
      <c r="E119" s="212">
        <v>2017</v>
      </c>
      <c r="F119" s="13">
        <v>2018</v>
      </c>
      <c r="G119" s="13">
        <v>2019</v>
      </c>
      <c r="H119" s="13">
        <v>2020</v>
      </c>
      <c r="I119" s="13">
        <v>2021</v>
      </c>
      <c r="J119" s="13">
        <v>2022</v>
      </c>
    </row>
    <row r="120" spans="1:10" x14ac:dyDescent="0.2">
      <c r="A120" s="8" t="s">
        <v>17</v>
      </c>
      <c r="B120" s="221">
        <v>200</v>
      </c>
      <c r="C120" s="221">
        <v>200</v>
      </c>
      <c r="D120" s="221">
        <v>200</v>
      </c>
      <c r="E120" s="221">
        <v>200</v>
      </c>
      <c r="F120" s="222">
        <v>200</v>
      </c>
      <c r="G120" s="222">
        <v>215</v>
      </c>
      <c r="H120" s="222">
        <v>215</v>
      </c>
      <c r="I120" s="222">
        <v>242</v>
      </c>
      <c r="J120" s="222">
        <v>242</v>
      </c>
    </row>
    <row r="121" spans="1:10" x14ac:dyDescent="0.2">
      <c r="A121" s="8" t="s">
        <v>18</v>
      </c>
      <c r="B121" s="221">
        <v>250</v>
      </c>
      <c r="C121" s="221">
        <v>250</v>
      </c>
      <c r="D121" s="221">
        <v>250</v>
      </c>
      <c r="E121" s="221">
        <v>250</v>
      </c>
      <c r="F121" s="222">
        <v>250</v>
      </c>
      <c r="G121" s="222">
        <f>E120*0.25+G120</f>
        <v>265</v>
      </c>
      <c r="H121" s="222">
        <f>H120+0.25*G120</f>
        <v>268.75</v>
      </c>
      <c r="I121" s="222">
        <f>I120+0.25*H120</f>
        <v>295.75</v>
      </c>
      <c r="J121" s="222">
        <f>J120+0.25*I120</f>
        <v>302.5</v>
      </c>
    </row>
    <row r="122" spans="1:10" x14ac:dyDescent="0.2">
      <c r="A122" s="8" t="s">
        <v>19</v>
      </c>
      <c r="B122" s="223" t="s">
        <v>332</v>
      </c>
      <c r="C122" s="223" t="s">
        <v>332</v>
      </c>
      <c r="D122" s="223" t="s">
        <v>332</v>
      </c>
      <c r="E122" s="223" t="s">
        <v>332</v>
      </c>
      <c r="F122" s="223" t="s">
        <v>332</v>
      </c>
      <c r="G122" s="223" t="s">
        <v>397</v>
      </c>
      <c r="H122" s="223" t="s">
        <v>466</v>
      </c>
      <c r="I122" s="223" t="s">
        <v>751</v>
      </c>
      <c r="J122" s="223" t="s">
        <v>752</v>
      </c>
    </row>
    <row r="123" spans="1:10" x14ac:dyDescent="0.2">
      <c r="A123" s="8" t="s">
        <v>20</v>
      </c>
      <c r="B123" s="221">
        <v>0</v>
      </c>
      <c r="C123" s="221">
        <v>0</v>
      </c>
      <c r="D123" s="221">
        <v>0</v>
      </c>
      <c r="E123" s="221">
        <v>0</v>
      </c>
      <c r="F123" s="222">
        <v>0</v>
      </c>
      <c r="G123" s="222">
        <v>0</v>
      </c>
      <c r="H123" s="222">
        <v>0</v>
      </c>
      <c r="I123" s="222">
        <v>0</v>
      </c>
      <c r="J123" s="222"/>
    </row>
    <row r="124" spans="1:10" x14ac:dyDescent="0.2">
      <c r="A124" s="8" t="s">
        <v>21</v>
      </c>
      <c r="B124" s="221">
        <v>250</v>
      </c>
      <c r="C124" s="221">
        <v>250</v>
      </c>
      <c r="D124" s="221">
        <v>250</v>
      </c>
      <c r="E124" s="221">
        <v>250</v>
      </c>
      <c r="F124" s="222">
        <v>250</v>
      </c>
      <c r="G124" s="222">
        <f>G121</f>
        <v>265</v>
      </c>
      <c r="H124" s="222">
        <f>H121</f>
        <v>268.75</v>
      </c>
      <c r="I124" s="222">
        <f>I121</f>
        <v>295.75</v>
      </c>
      <c r="J124" s="222"/>
    </row>
    <row r="125" spans="1:10" x14ac:dyDescent="0.2">
      <c r="A125" s="37" t="s">
        <v>22</v>
      </c>
      <c r="B125" s="227">
        <v>2015</v>
      </c>
      <c r="C125" s="227">
        <v>2016</v>
      </c>
      <c r="D125" s="227">
        <v>2017</v>
      </c>
      <c r="E125" s="227">
        <v>2018</v>
      </c>
      <c r="F125" s="227">
        <v>2019</v>
      </c>
      <c r="G125" s="227">
        <v>2020</v>
      </c>
      <c r="H125" s="227">
        <v>2021</v>
      </c>
      <c r="I125" s="227">
        <v>2022</v>
      </c>
      <c r="J125" s="227">
        <v>2023</v>
      </c>
    </row>
    <row r="126" spans="1:10" x14ac:dyDescent="0.2">
      <c r="A126" s="8" t="s">
        <v>462</v>
      </c>
      <c r="B126" s="90"/>
      <c r="C126" s="90"/>
      <c r="D126" s="90"/>
      <c r="E126" s="90"/>
      <c r="F126" s="90"/>
      <c r="G126" s="90"/>
      <c r="H126" s="90"/>
      <c r="I126" s="90"/>
      <c r="J126" s="62"/>
    </row>
    <row r="128" spans="1:10" x14ac:dyDescent="0.2">
      <c r="A128" s="16" t="s">
        <v>14</v>
      </c>
      <c r="B128" s="13" t="s">
        <v>732</v>
      </c>
      <c r="C128" s="212" t="s">
        <v>15</v>
      </c>
      <c r="D128" s="7"/>
      <c r="E128" s="7"/>
      <c r="F128" s="7"/>
      <c r="G128" s="7"/>
    </row>
    <row r="129" spans="1:10" x14ac:dyDescent="0.2">
      <c r="A129" s="8" t="s">
        <v>16</v>
      </c>
      <c r="B129" s="212">
        <v>2014</v>
      </c>
      <c r="C129" s="212">
        <v>2015</v>
      </c>
      <c r="D129" s="501">
        <v>2016</v>
      </c>
      <c r="E129" s="212">
        <v>2017</v>
      </c>
      <c r="F129" s="13">
        <v>2018</v>
      </c>
      <c r="G129" s="13">
        <v>2019</v>
      </c>
      <c r="H129" s="13">
        <v>2020</v>
      </c>
      <c r="I129" s="13">
        <v>2021</v>
      </c>
      <c r="J129" s="13">
        <v>2022</v>
      </c>
    </row>
    <row r="130" spans="1:10" x14ac:dyDescent="0.2">
      <c r="A130" s="8" t="s">
        <v>17</v>
      </c>
      <c r="B130" s="224">
        <v>2160</v>
      </c>
      <c r="C130" s="224">
        <v>2160</v>
      </c>
      <c r="D130" s="224">
        <v>2160</v>
      </c>
      <c r="E130" s="224">
        <v>2160</v>
      </c>
      <c r="F130" s="225">
        <v>2160</v>
      </c>
      <c r="G130" s="225">
        <v>2160</v>
      </c>
      <c r="H130" s="225">
        <v>2160</v>
      </c>
      <c r="I130" s="225">
        <v>2160</v>
      </c>
      <c r="J130" s="225">
        <v>2160</v>
      </c>
    </row>
    <row r="131" spans="1:10" x14ac:dyDescent="0.2">
      <c r="A131" s="8" t="s">
        <v>18</v>
      </c>
      <c r="B131" s="224">
        <v>2700</v>
      </c>
      <c r="C131" s="224">
        <v>2700</v>
      </c>
      <c r="D131" s="224">
        <v>2700</v>
      </c>
      <c r="E131" s="224">
        <v>2600</v>
      </c>
      <c r="F131" s="224">
        <v>2600</v>
      </c>
      <c r="G131" s="224">
        <v>2600</v>
      </c>
      <c r="H131" s="224">
        <f>H130+0.25*G130-200</f>
        <v>2500</v>
      </c>
      <c r="I131" s="505">
        <f>I130+0.25*H130</f>
        <v>2700</v>
      </c>
      <c r="J131" s="224">
        <v>2700</v>
      </c>
    </row>
    <row r="132" spans="1:10" ht="27.6" customHeight="1" x14ac:dyDescent="0.2">
      <c r="A132" s="8" t="s">
        <v>19</v>
      </c>
      <c r="B132" s="226" t="s">
        <v>333</v>
      </c>
      <c r="C132" s="226" t="s">
        <v>333</v>
      </c>
      <c r="D132" s="226" t="s">
        <v>333</v>
      </c>
      <c r="E132" s="226" t="s">
        <v>334</v>
      </c>
      <c r="F132" s="226" t="s">
        <v>334</v>
      </c>
      <c r="G132" s="226" t="s">
        <v>334</v>
      </c>
      <c r="H132" s="226" t="s">
        <v>468</v>
      </c>
      <c r="I132" s="226" t="s">
        <v>333</v>
      </c>
      <c r="J132" s="226" t="s">
        <v>333</v>
      </c>
    </row>
    <row r="133" spans="1:10" x14ac:dyDescent="0.2">
      <c r="A133" s="8" t="s">
        <v>20</v>
      </c>
      <c r="B133" s="224">
        <v>462.36</v>
      </c>
      <c r="C133" s="224">
        <v>490.22</v>
      </c>
      <c r="D133" s="224">
        <v>657.59</v>
      </c>
      <c r="E133" s="224">
        <v>496.85</v>
      </c>
      <c r="F133" s="225">
        <v>396</v>
      </c>
      <c r="G133" s="225">
        <v>1002.664409132517</v>
      </c>
      <c r="H133" s="225">
        <v>617</v>
      </c>
      <c r="I133" s="225">
        <v>516</v>
      </c>
      <c r="J133" s="225"/>
    </row>
    <row r="134" spans="1:10" x14ac:dyDescent="0.2">
      <c r="A134" s="8" t="s">
        <v>21</v>
      </c>
      <c r="B134" s="224">
        <f t="shared" ref="B134:G134" si="4">B131-B133</f>
        <v>2237.64</v>
      </c>
      <c r="C134" s="224">
        <f t="shared" si="4"/>
        <v>2209.7799999999997</v>
      </c>
      <c r="D134" s="224">
        <f t="shared" si="4"/>
        <v>2042.4099999999999</v>
      </c>
      <c r="E134" s="224">
        <f t="shared" si="4"/>
        <v>2103.15</v>
      </c>
      <c r="F134" s="224">
        <f t="shared" si="4"/>
        <v>2204</v>
      </c>
      <c r="G134" s="224">
        <f t="shared" si="4"/>
        <v>1597.335590867483</v>
      </c>
      <c r="H134" s="224">
        <f t="shared" ref="H134:I134" si="5">H131-H133</f>
        <v>1883</v>
      </c>
      <c r="I134" s="224">
        <f t="shared" si="5"/>
        <v>2184</v>
      </c>
      <c r="J134" s="224"/>
    </row>
    <row r="135" spans="1:10" x14ac:dyDescent="0.2">
      <c r="A135" s="37" t="s">
        <v>22</v>
      </c>
      <c r="B135" s="227">
        <v>2016</v>
      </c>
      <c r="C135" s="227">
        <v>2017</v>
      </c>
      <c r="D135" s="227">
        <v>2018</v>
      </c>
      <c r="E135" s="227">
        <v>2019</v>
      </c>
      <c r="F135" s="227">
        <v>2020</v>
      </c>
      <c r="G135" s="227">
        <v>2021</v>
      </c>
      <c r="H135" s="227">
        <v>2022</v>
      </c>
      <c r="I135" s="227">
        <v>2023</v>
      </c>
      <c r="J135" s="227">
        <v>2024</v>
      </c>
    </row>
    <row r="136" spans="1:10" x14ac:dyDescent="0.2">
      <c r="A136" s="620" t="s">
        <v>463</v>
      </c>
      <c r="B136" s="621"/>
      <c r="C136" s="621"/>
      <c r="D136" s="621"/>
      <c r="E136" s="621"/>
      <c r="F136" s="621"/>
      <c r="G136" s="621"/>
      <c r="H136" s="64"/>
      <c r="I136" s="64"/>
      <c r="J136" s="62"/>
    </row>
    <row r="137" spans="1:10" x14ac:dyDescent="0.2">
      <c r="A137" s="228" t="s">
        <v>335</v>
      </c>
      <c r="B137" s="215"/>
      <c r="C137" s="215"/>
      <c r="D137" s="215"/>
      <c r="E137" s="215"/>
      <c r="F137" s="215"/>
      <c r="G137" s="215"/>
      <c r="J137" s="21"/>
    </row>
    <row r="138" spans="1:10" x14ac:dyDescent="0.2">
      <c r="A138" s="228" t="s">
        <v>467</v>
      </c>
      <c r="B138" s="215"/>
      <c r="C138" s="215"/>
      <c r="D138" s="215"/>
      <c r="E138" s="215"/>
      <c r="F138" s="215"/>
      <c r="G138" s="215"/>
      <c r="J138" s="21"/>
    </row>
    <row r="139" spans="1:10" x14ac:dyDescent="0.2">
      <c r="A139" s="503" t="s">
        <v>629</v>
      </c>
      <c r="B139" s="138"/>
      <c r="C139" s="138"/>
      <c r="D139" s="138"/>
      <c r="E139" s="138"/>
      <c r="F139" s="138"/>
      <c r="G139" s="138"/>
      <c r="H139" s="33"/>
      <c r="I139" s="33"/>
      <c r="J139" s="34"/>
    </row>
    <row r="141" spans="1:10" x14ac:dyDescent="0.2">
      <c r="A141" s="16" t="s">
        <v>14</v>
      </c>
      <c r="B141" s="13" t="s">
        <v>708</v>
      </c>
      <c r="C141" s="504" t="s">
        <v>15</v>
      </c>
      <c r="D141" s="7"/>
      <c r="E141" s="7"/>
      <c r="F141" s="7"/>
    </row>
    <row r="142" spans="1:10" x14ac:dyDescent="0.2">
      <c r="A142" s="8" t="s">
        <v>16</v>
      </c>
      <c r="B142" s="212">
        <v>2014</v>
      </c>
      <c r="C142" s="212">
        <v>2015</v>
      </c>
      <c r="D142" s="501">
        <v>2016</v>
      </c>
      <c r="E142" s="212">
        <v>2017</v>
      </c>
      <c r="F142" s="13">
        <v>2018</v>
      </c>
      <c r="G142" s="13">
        <v>2019</v>
      </c>
      <c r="H142" s="13">
        <v>2020</v>
      </c>
      <c r="I142" s="13">
        <v>2021</v>
      </c>
      <c r="J142" s="13">
        <v>2022</v>
      </c>
    </row>
    <row r="143" spans="1:10" x14ac:dyDescent="0.2">
      <c r="A143" s="8" t="s">
        <v>17</v>
      </c>
      <c r="B143" s="221">
        <v>50</v>
      </c>
      <c r="C143" s="221">
        <v>50</v>
      </c>
      <c r="D143" s="221">
        <v>50</v>
      </c>
      <c r="E143" s="221">
        <v>50</v>
      </c>
      <c r="F143" s="221">
        <v>50</v>
      </c>
      <c r="G143" s="221">
        <v>50</v>
      </c>
      <c r="H143" s="221">
        <v>50</v>
      </c>
      <c r="I143" s="221">
        <v>50</v>
      </c>
      <c r="J143" s="221">
        <v>50</v>
      </c>
    </row>
    <row r="144" spans="1:10" x14ac:dyDescent="0.2">
      <c r="A144" s="8" t="s">
        <v>18</v>
      </c>
      <c r="B144" s="221">
        <v>75</v>
      </c>
      <c r="C144" s="221">
        <v>50</v>
      </c>
      <c r="D144" s="221">
        <v>50</v>
      </c>
      <c r="E144" s="221">
        <f>E143*1.5-25</f>
        <v>50</v>
      </c>
      <c r="F144" s="221">
        <f>F143*1.4-25</f>
        <v>45</v>
      </c>
      <c r="G144" s="221">
        <f>G143*1.4-25</f>
        <v>45</v>
      </c>
      <c r="H144" s="221">
        <f t="shared" ref="H144:J144" si="6">H143*1.4-25</f>
        <v>45</v>
      </c>
      <c r="I144" s="221">
        <f t="shared" si="6"/>
        <v>45</v>
      </c>
      <c r="J144" s="221">
        <f t="shared" si="6"/>
        <v>45</v>
      </c>
    </row>
    <row r="145" spans="1:10" x14ac:dyDescent="0.2">
      <c r="A145" s="8" t="s">
        <v>19</v>
      </c>
      <c r="B145" s="221" t="s">
        <v>336</v>
      </c>
      <c r="C145" s="221" t="s">
        <v>337</v>
      </c>
      <c r="D145" s="221" t="s">
        <v>337</v>
      </c>
      <c r="E145" s="221" t="s">
        <v>337</v>
      </c>
      <c r="F145" s="221" t="s">
        <v>338</v>
      </c>
      <c r="G145" s="221" t="s">
        <v>338</v>
      </c>
      <c r="H145" s="221" t="s">
        <v>338</v>
      </c>
      <c r="I145" s="221" t="s">
        <v>338</v>
      </c>
      <c r="J145" s="221" t="s">
        <v>338</v>
      </c>
    </row>
    <row r="146" spans="1:10" x14ac:dyDescent="0.2">
      <c r="A146" s="8" t="s">
        <v>20</v>
      </c>
      <c r="B146" s="221">
        <v>0</v>
      </c>
      <c r="C146" s="221">
        <v>0</v>
      </c>
      <c r="D146" s="221">
        <v>0</v>
      </c>
      <c r="E146" s="221">
        <v>0</v>
      </c>
      <c r="F146" s="221">
        <v>0</v>
      </c>
      <c r="G146" s="221">
        <v>0</v>
      </c>
      <c r="H146" s="221">
        <v>0</v>
      </c>
      <c r="I146" s="221">
        <v>0</v>
      </c>
      <c r="J146" s="221"/>
    </row>
    <row r="147" spans="1:10" x14ac:dyDescent="0.2">
      <c r="A147" s="8" t="s">
        <v>21</v>
      </c>
      <c r="B147" s="221">
        <f>B144</f>
        <v>75</v>
      </c>
      <c r="C147" s="221">
        <f t="shared" ref="C147:G147" si="7">C144</f>
        <v>50</v>
      </c>
      <c r="D147" s="221">
        <f t="shared" si="7"/>
        <v>50</v>
      </c>
      <c r="E147" s="221">
        <f t="shared" si="7"/>
        <v>50</v>
      </c>
      <c r="F147" s="221">
        <f t="shared" si="7"/>
        <v>45</v>
      </c>
      <c r="G147" s="221">
        <f t="shared" si="7"/>
        <v>45</v>
      </c>
      <c r="H147" s="221">
        <f t="shared" ref="H147:I147" si="8">H144</f>
        <v>45</v>
      </c>
      <c r="I147" s="221">
        <f t="shared" si="8"/>
        <v>45</v>
      </c>
      <c r="J147" s="221"/>
    </row>
    <row r="148" spans="1:10" x14ac:dyDescent="0.2">
      <c r="A148" s="37" t="s">
        <v>22</v>
      </c>
      <c r="B148" s="227">
        <v>2015</v>
      </c>
      <c r="C148" s="227">
        <v>2016</v>
      </c>
      <c r="D148" s="227">
        <v>2017</v>
      </c>
      <c r="E148" s="227">
        <v>2018</v>
      </c>
      <c r="F148" s="227">
        <v>2019</v>
      </c>
      <c r="G148" s="227">
        <v>2020</v>
      </c>
      <c r="H148" s="227">
        <v>2021</v>
      </c>
      <c r="I148" s="227">
        <v>2022</v>
      </c>
      <c r="J148" s="227">
        <v>2023</v>
      </c>
    </row>
    <row r="149" spans="1:10" x14ac:dyDescent="0.2">
      <c r="A149" s="620" t="s">
        <v>464</v>
      </c>
      <c r="B149" s="621"/>
      <c r="C149" s="621"/>
      <c r="D149" s="621"/>
      <c r="E149" s="621"/>
      <c r="F149" s="621"/>
      <c r="G149" s="621"/>
      <c r="H149" s="64"/>
      <c r="I149" s="64"/>
      <c r="J149" s="62"/>
    </row>
    <row r="150" spans="1:10" x14ac:dyDescent="0.2">
      <c r="A150" s="502" t="s">
        <v>804</v>
      </c>
      <c r="B150" s="138"/>
      <c r="C150" s="138"/>
      <c r="D150" s="138"/>
      <c r="E150" s="138"/>
      <c r="F150" s="138"/>
      <c r="G150" s="138"/>
      <c r="H150" s="33"/>
      <c r="I150" s="33"/>
      <c r="J150" s="34"/>
    </row>
    <row r="152" spans="1:10" x14ac:dyDescent="0.2">
      <c r="A152" s="16" t="s">
        <v>14</v>
      </c>
      <c r="B152" s="13" t="s">
        <v>736</v>
      </c>
      <c r="C152" s="212" t="s">
        <v>15</v>
      </c>
      <c r="D152" s="7"/>
      <c r="E152" s="7"/>
      <c r="F152" s="7"/>
      <c r="G152" s="7"/>
    </row>
    <row r="153" spans="1:10" x14ac:dyDescent="0.2">
      <c r="A153" s="8" t="s">
        <v>16</v>
      </c>
      <c r="B153" s="212">
        <v>2014</v>
      </c>
      <c r="C153" s="212">
        <v>2015</v>
      </c>
      <c r="D153" s="501">
        <v>2016</v>
      </c>
      <c r="E153" s="212">
        <v>2017</v>
      </c>
      <c r="F153" s="13">
        <v>2018</v>
      </c>
      <c r="G153" s="13">
        <v>2019</v>
      </c>
      <c r="H153" s="13">
        <v>2020</v>
      </c>
      <c r="I153" s="13">
        <v>2021</v>
      </c>
      <c r="J153" s="13">
        <v>2022</v>
      </c>
    </row>
    <row r="154" spans="1:10" x14ac:dyDescent="0.2">
      <c r="A154" s="8" t="s">
        <v>17</v>
      </c>
      <c r="B154" s="224">
        <v>3940</v>
      </c>
      <c r="C154" s="224">
        <v>3940</v>
      </c>
      <c r="D154" s="224">
        <v>3940</v>
      </c>
      <c r="E154" s="224">
        <v>3940</v>
      </c>
      <c r="F154" s="224">
        <v>3940</v>
      </c>
      <c r="G154" s="224">
        <v>3940</v>
      </c>
      <c r="H154" s="224">
        <v>3940</v>
      </c>
      <c r="I154" s="224">
        <v>3940</v>
      </c>
      <c r="J154" s="224">
        <v>3940</v>
      </c>
    </row>
    <row r="155" spans="1:10" x14ac:dyDescent="0.2">
      <c r="A155" s="8" t="s">
        <v>18</v>
      </c>
      <c r="B155" s="224">
        <f>B154*1.3-50</f>
        <v>5072</v>
      </c>
      <c r="C155" s="224">
        <f t="shared" ref="C155:E155" si="9">C154*1.3-50</f>
        <v>5072</v>
      </c>
      <c r="D155" s="224">
        <f t="shared" si="9"/>
        <v>5072</v>
      </c>
      <c r="E155" s="224">
        <f t="shared" si="9"/>
        <v>5072</v>
      </c>
      <c r="F155" s="224">
        <f>F154*1.2-50</f>
        <v>4678</v>
      </c>
      <c r="G155" s="224">
        <f>G154*1.2-50</f>
        <v>4678</v>
      </c>
      <c r="H155" s="224">
        <f>H154*1.2-50</f>
        <v>4678</v>
      </c>
      <c r="I155" s="224">
        <f>I154*1.2-50</f>
        <v>4678</v>
      </c>
      <c r="J155" s="224">
        <f>J154*1.2-50</f>
        <v>4678</v>
      </c>
    </row>
    <row r="156" spans="1:10" x14ac:dyDescent="0.2">
      <c r="A156" s="8" t="s">
        <v>19</v>
      </c>
      <c r="B156" s="224" t="s">
        <v>340</v>
      </c>
      <c r="C156" s="224" t="s">
        <v>340</v>
      </c>
      <c r="D156" s="224" t="s">
        <v>340</v>
      </c>
      <c r="E156" s="224" t="s">
        <v>340</v>
      </c>
      <c r="F156" s="224" t="s">
        <v>341</v>
      </c>
      <c r="G156" s="224" t="s">
        <v>341</v>
      </c>
      <c r="H156" s="224" t="s">
        <v>341</v>
      </c>
      <c r="I156" s="224" t="s">
        <v>341</v>
      </c>
      <c r="J156" s="224" t="s">
        <v>341</v>
      </c>
    </row>
    <row r="157" spans="1:10" x14ac:dyDescent="0.2">
      <c r="A157" s="8" t="s">
        <v>20</v>
      </c>
      <c r="B157" s="224">
        <v>2892.02</v>
      </c>
      <c r="C157" s="224">
        <v>2599.0703200000003</v>
      </c>
      <c r="D157" s="224">
        <v>2934.78017</v>
      </c>
      <c r="E157" s="224">
        <v>2406.0276984999996</v>
      </c>
      <c r="F157" s="224">
        <v>2798</v>
      </c>
      <c r="G157" s="224">
        <v>2858.8298242939013</v>
      </c>
      <c r="H157" s="224">
        <v>2105</v>
      </c>
      <c r="I157" s="224">
        <v>2823</v>
      </c>
      <c r="J157" s="224"/>
    </row>
    <row r="158" spans="1:10" x14ac:dyDescent="0.2">
      <c r="A158" s="8" t="s">
        <v>21</v>
      </c>
      <c r="B158" s="224">
        <f>B155-B157</f>
        <v>2179.98</v>
      </c>
      <c r="C158" s="224">
        <f t="shared" ref="C158:G158" si="10">C155-C157</f>
        <v>2472.9296799999997</v>
      </c>
      <c r="D158" s="224">
        <f t="shared" si="10"/>
        <v>2137.21983</v>
      </c>
      <c r="E158" s="224">
        <f t="shared" si="10"/>
        <v>2665.9723015000004</v>
      </c>
      <c r="F158" s="224">
        <f t="shared" si="10"/>
        <v>1880</v>
      </c>
      <c r="G158" s="224">
        <f t="shared" si="10"/>
        <v>1819.1701757060987</v>
      </c>
      <c r="H158" s="224">
        <f t="shared" ref="H158:I158" si="11">H155-H157</f>
        <v>2573</v>
      </c>
      <c r="I158" s="224">
        <f t="shared" si="11"/>
        <v>1855</v>
      </c>
      <c r="J158" s="224"/>
    </row>
    <row r="159" spans="1:10" x14ac:dyDescent="0.2">
      <c r="A159" s="37" t="s">
        <v>22</v>
      </c>
      <c r="B159" s="38">
        <v>2015</v>
      </c>
      <c r="C159" s="38">
        <v>2016</v>
      </c>
      <c r="D159" s="50">
        <v>2017</v>
      </c>
      <c r="E159" s="38">
        <v>2018</v>
      </c>
      <c r="F159" s="39">
        <v>2019</v>
      </c>
      <c r="G159" s="39">
        <v>2020</v>
      </c>
      <c r="H159" s="39">
        <v>2021</v>
      </c>
      <c r="I159" s="39">
        <v>2022</v>
      </c>
      <c r="J159" s="39">
        <v>2023</v>
      </c>
    </row>
    <row r="160" spans="1:10" x14ac:dyDescent="0.2">
      <c r="A160" s="620" t="s">
        <v>465</v>
      </c>
      <c r="B160" s="621"/>
      <c r="C160" s="621"/>
      <c r="D160" s="621"/>
      <c r="E160" s="621"/>
      <c r="F160" s="621"/>
      <c r="G160" s="621"/>
      <c r="H160" s="64"/>
      <c r="I160" s="64"/>
      <c r="J160" s="62"/>
    </row>
    <row r="161" spans="1:10" x14ac:dyDescent="0.2">
      <c r="A161" s="502" t="s">
        <v>753</v>
      </c>
      <c r="B161" s="138"/>
      <c r="C161" s="138"/>
      <c r="D161" s="138"/>
      <c r="E161" s="138"/>
      <c r="F161" s="138"/>
      <c r="G161" s="138"/>
      <c r="H161" s="33"/>
      <c r="I161" s="33"/>
      <c r="J161" s="34"/>
    </row>
    <row r="163" spans="1:10" x14ac:dyDescent="0.2">
      <c r="A163" s="16" t="s">
        <v>14</v>
      </c>
      <c r="B163" s="13" t="s">
        <v>74</v>
      </c>
      <c r="C163" s="212" t="s">
        <v>15</v>
      </c>
      <c r="D163" s="7"/>
      <c r="E163" s="7"/>
      <c r="F163" s="7"/>
    </row>
    <row r="164" spans="1:10" x14ac:dyDescent="0.2">
      <c r="A164" s="8" t="s">
        <v>16</v>
      </c>
      <c r="B164" s="9"/>
      <c r="C164" s="42">
        <v>2020</v>
      </c>
      <c r="D164" s="42">
        <v>2021</v>
      </c>
      <c r="E164" s="42">
        <v>2022</v>
      </c>
    </row>
    <row r="165" spans="1:10" x14ac:dyDescent="0.2">
      <c r="A165" s="8" t="s">
        <v>17</v>
      </c>
      <c r="B165" s="29"/>
      <c r="C165" s="23">
        <v>6043</v>
      </c>
      <c r="D165" s="23">
        <v>5946.3120000000008</v>
      </c>
      <c r="E165" s="23">
        <v>5994.6559999999999</v>
      </c>
    </row>
    <row r="166" spans="1:10" x14ac:dyDescent="0.2">
      <c r="A166" s="8" t="s">
        <v>18</v>
      </c>
      <c r="B166" s="29"/>
      <c r="C166" s="23"/>
      <c r="D166" s="51">
        <f>D165+C169</f>
        <v>5705.3120000000008</v>
      </c>
      <c r="E166" s="51">
        <f>E165+D169</f>
        <v>5200.9680000000008</v>
      </c>
    </row>
    <row r="167" spans="1:10" x14ac:dyDescent="0.2">
      <c r="A167" s="8" t="s">
        <v>19</v>
      </c>
      <c r="B167" s="29"/>
      <c r="C167" s="23"/>
      <c r="D167" s="23"/>
      <c r="E167" s="23"/>
    </row>
    <row r="168" spans="1:10" x14ac:dyDescent="0.2">
      <c r="A168" s="8" t="s">
        <v>20</v>
      </c>
      <c r="B168" s="29"/>
      <c r="C168" s="23">
        <v>6284</v>
      </c>
      <c r="D168" s="23">
        <v>6499</v>
      </c>
      <c r="E168" s="23"/>
    </row>
    <row r="169" spans="1:10" x14ac:dyDescent="0.2">
      <c r="A169" s="8" t="s">
        <v>21</v>
      </c>
      <c r="B169" s="223"/>
      <c r="C169" s="23">
        <f>C165-C168</f>
        <v>-241</v>
      </c>
      <c r="D169" s="23">
        <f>D166-D168</f>
        <v>-793.68799999999919</v>
      </c>
      <c r="E169" s="23"/>
    </row>
    <row r="170" spans="1:10" x14ac:dyDescent="0.2">
      <c r="A170" s="37" t="s">
        <v>22</v>
      </c>
      <c r="B170" s="227"/>
      <c r="C170" s="36">
        <v>2021</v>
      </c>
      <c r="D170" s="36">
        <v>2022</v>
      </c>
      <c r="E170" s="36"/>
    </row>
    <row r="171" spans="1:10" ht="12.75" customHeight="1" x14ac:dyDescent="0.2">
      <c r="A171" s="506" t="s">
        <v>23</v>
      </c>
      <c r="B171" s="507"/>
      <c r="C171" s="507"/>
      <c r="D171" s="507"/>
      <c r="E171" s="508"/>
      <c r="F171" s="28"/>
      <c r="G171" s="28"/>
      <c r="H171" s="28"/>
    </row>
    <row r="172" spans="1:10" ht="12.75" customHeight="1" x14ac:dyDescent="0.2">
      <c r="A172" s="509" t="s">
        <v>754</v>
      </c>
      <c r="B172" s="510"/>
      <c r="C172" s="510"/>
      <c r="D172" s="510"/>
      <c r="E172" s="511"/>
      <c r="F172" s="28"/>
      <c r="G172" s="28"/>
      <c r="H172" s="28"/>
    </row>
    <row r="173" spans="1:10" x14ac:dyDescent="0.2">
      <c r="C173" s="56"/>
    </row>
    <row r="174" spans="1:10" x14ac:dyDescent="0.2">
      <c r="A174" s="16" t="s">
        <v>14</v>
      </c>
      <c r="B174" s="13" t="s">
        <v>82</v>
      </c>
      <c r="C174" s="212" t="s">
        <v>15</v>
      </c>
      <c r="D174" s="7"/>
      <c r="E174" s="7"/>
      <c r="F174" s="7"/>
    </row>
    <row r="175" spans="1:10" x14ac:dyDescent="0.2">
      <c r="A175" s="8" t="s">
        <v>16</v>
      </c>
      <c r="B175" s="212">
        <v>2014</v>
      </c>
      <c r="C175" s="212">
        <v>2015</v>
      </c>
      <c r="D175" s="501">
        <v>2016</v>
      </c>
      <c r="E175" s="212">
        <v>2017</v>
      </c>
      <c r="F175" s="13">
        <v>2018</v>
      </c>
      <c r="G175" s="42">
        <v>2019</v>
      </c>
      <c r="H175" s="42">
        <v>2020</v>
      </c>
      <c r="I175" s="42">
        <v>2021</v>
      </c>
    </row>
    <row r="176" spans="1:10" x14ac:dyDescent="0.2">
      <c r="A176" s="8" t="s">
        <v>17</v>
      </c>
      <c r="B176" s="29">
        <v>190</v>
      </c>
      <c r="C176" s="29">
        <v>190</v>
      </c>
      <c r="D176" s="29">
        <v>190</v>
      </c>
      <c r="E176" s="29">
        <v>190</v>
      </c>
      <c r="F176" s="48">
        <v>190</v>
      </c>
      <c r="G176" s="23">
        <v>190</v>
      </c>
      <c r="H176" s="23">
        <v>159.80000000000001</v>
      </c>
      <c r="I176" s="23">
        <v>159.80000000000001</v>
      </c>
    </row>
    <row r="177" spans="1:9" x14ac:dyDescent="0.2">
      <c r="A177" s="8" t="s">
        <v>18</v>
      </c>
      <c r="B177" s="29"/>
      <c r="C177" s="29"/>
      <c r="D177" s="29"/>
      <c r="E177" s="29"/>
      <c r="F177" s="48"/>
      <c r="G177" s="23"/>
      <c r="H177" s="23"/>
      <c r="I177" s="23"/>
    </row>
    <row r="178" spans="1:9" x14ac:dyDescent="0.2">
      <c r="A178" s="8" t="s">
        <v>19</v>
      </c>
      <c r="B178" s="29"/>
      <c r="C178" s="29"/>
      <c r="D178" s="29"/>
      <c r="E178" s="29"/>
      <c r="F178" s="48"/>
      <c r="G178" s="23"/>
      <c r="H178" s="23"/>
      <c r="I178" s="23"/>
    </row>
    <row r="179" spans="1:9" x14ac:dyDescent="0.2">
      <c r="A179" s="8" t="s">
        <v>20</v>
      </c>
      <c r="B179" s="29">
        <v>104.95522</v>
      </c>
      <c r="C179" s="29">
        <v>89.182190000000006</v>
      </c>
      <c r="D179" s="29">
        <v>79.192750000000004</v>
      </c>
      <c r="E179" s="135">
        <v>64.003107999999997</v>
      </c>
      <c r="F179" s="29">
        <v>37</v>
      </c>
      <c r="G179" s="23">
        <v>19.91</v>
      </c>
      <c r="H179" s="23">
        <v>13</v>
      </c>
      <c r="I179" s="23">
        <v>2</v>
      </c>
    </row>
    <row r="180" spans="1:9" x14ac:dyDescent="0.2">
      <c r="A180" s="8" t="s">
        <v>21</v>
      </c>
      <c r="B180" s="223"/>
      <c r="C180" s="223"/>
      <c r="D180" s="223"/>
      <c r="E180" s="223"/>
      <c r="F180" s="229"/>
      <c r="G180" s="22"/>
      <c r="H180" s="22"/>
      <c r="I180" s="22"/>
    </row>
    <row r="181" spans="1:9" x14ac:dyDescent="0.2">
      <c r="A181" s="37" t="s">
        <v>22</v>
      </c>
      <c r="B181" s="227"/>
      <c r="C181" s="227"/>
      <c r="D181" s="230"/>
      <c r="E181" s="227"/>
      <c r="F181" s="231"/>
      <c r="G181" s="36"/>
      <c r="H181" s="36"/>
      <c r="I181" s="36"/>
    </row>
    <row r="182" spans="1:9" ht="49.15" customHeight="1" x14ac:dyDescent="0.2">
      <c r="A182" s="591" t="s">
        <v>339</v>
      </c>
      <c r="B182" s="592"/>
      <c r="C182" s="592"/>
      <c r="D182" s="592"/>
      <c r="E182" s="592"/>
      <c r="F182" s="592"/>
      <c r="G182" s="592"/>
      <c r="H182" s="592"/>
      <c r="I182" s="593"/>
    </row>
    <row r="183" spans="1:9" x14ac:dyDescent="0.2">
      <c r="C183" s="56"/>
    </row>
    <row r="184" spans="1:9" x14ac:dyDescent="0.2">
      <c r="A184" s="16" t="s">
        <v>14</v>
      </c>
      <c r="B184" s="13" t="s">
        <v>87</v>
      </c>
      <c r="C184" s="212" t="s">
        <v>15</v>
      </c>
      <c r="D184" s="7"/>
      <c r="E184" s="7"/>
      <c r="F184" s="7"/>
    </row>
    <row r="185" spans="1:9" x14ac:dyDescent="0.2">
      <c r="A185" s="8" t="s">
        <v>16</v>
      </c>
      <c r="B185" s="212">
        <v>2014</v>
      </c>
      <c r="C185" s="212">
        <v>2015</v>
      </c>
      <c r="D185" s="501">
        <v>2016</v>
      </c>
      <c r="E185" s="212">
        <v>2017</v>
      </c>
      <c r="F185" s="13">
        <v>2018</v>
      </c>
      <c r="G185" s="42">
        <v>2019</v>
      </c>
      <c r="H185" s="42">
        <v>2020</v>
      </c>
      <c r="I185" s="42">
        <v>2021</v>
      </c>
    </row>
    <row r="186" spans="1:9" x14ac:dyDescent="0.2">
      <c r="A186" s="8" t="s">
        <v>17</v>
      </c>
      <c r="B186" s="223">
        <v>50</v>
      </c>
      <c r="C186" s="223">
        <v>50</v>
      </c>
      <c r="D186" s="223">
        <v>50</v>
      </c>
      <c r="E186" s="223">
        <v>50</v>
      </c>
      <c r="F186" s="229">
        <v>50</v>
      </c>
      <c r="G186" s="23">
        <v>50</v>
      </c>
      <c r="H186" s="23">
        <v>50</v>
      </c>
      <c r="I186" s="23">
        <v>50</v>
      </c>
    </row>
    <row r="187" spans="1:9" x14ac:dyDescent="0.2">
      <c r="A187" s="8" t="s">
        <v>18</v>
      </c>
      <c r="B187" s="223"/>
      <c r="C187" s="223"/>
      <c r="D187" s="223"/>
      <c r="E187" s="223"/>
      <c r="F187" s="229"/>
      <c r="G187" s="22"/>
      <c r="H187" s="23"/>
      <c r="I187" s="23"/>
    </row>
    <row r="188" spans="1:9" x14ac:dyDescent="0.2">
      <c r="A188" s="8" t="s">
        <v>19</v>
      </c>
      <c r="B188" s="223"/>
      <c r="C188" s="223"/>
      <c r="D188" s="223"/>
      <c r="E188" s="223"/>
      <c r="F188" s="229"/>
      <c r="G188" s="22"/>
      <c r="H188" s="23"/>
      <c r="I188" s="23"/>
    </row>
    <row r="189" spans="1:9" x14ac:dyDescent="0.2">
      <c r="A189" s="8" t="s">
        <v>20</v>
      </c>
      <c r="B189" s="223">
        <v>102.32362999999999</v>
      </c>
      <c r="C189" s="223">
        <v>121.20529999999999</v>
      </c>
      <c r="D189" s="223">
        <v>66.934179999999998</v>
      </c>
      <c r="E189" s="223">
        <v>46.581100000000006</v>
      </c>
      <c r="F189" s="223">
        <v>62</v>
      </c>
      <c r="G189" s="22">
        <v>76.31</v>
      </c>
      <c r="H189" s="23">
        <v>46</v>
      </c>
      <c r="I189" s="23">
        <v>0</v>
      </c>
    </row>
    <row r="190" spans="1:9" x14ac:dyDescent="0.2">
      <c r="A190" s="8" t="s">
        <v>21</v>
      </c>
      <c r="B190" s="223"/>
      <c r="C190" s="223"/>
      <c r="D190" s="223"/>
      <c r="E190" s="223"/>
      <c r="F190" s="229"/>
      <c r="G190" s="22"/>
      <c r="H190" s="23"/>
      <c r="I190" s="23"/>
    </row>
    <row r="191" spans="1:9" x14ac:dyDescent="0.2">
      <c r="A191" s="8" t="s">
        <v>22</v>
      </c>
      <c r="B191" s="9"/>
      <c r="C191" s="9"/>
      <c r="D191" s="90"/>
      <c r="E191" s="9"/>
      <c r="F191" s="10"/>
      <c r="G191" s="22"/>
      <c r="H191" s="23"/>
      <c r="I191" s="23"/>
    </row>
    <row r="192" spans="1:9" x14ac:dyDescent="0.2">
      <c r="A192" s="619" t="s">
        <v>23</v>
      </c>
      <c r="B192" s="619"/>
      <c r="C192" s="619"/>
      <c r="D192" s="619"/>
      <c r="E192" s="619"/>
      <c r="F192" s="619"/>
      <c r="G192" s="22"/>
      <c r="H192" s="23"/>
      <c r="I192" s="23"/>
    </row>
    <row r="193" spans="1:14" ht="48" customHeight="1" x14ac:dyDescent="0.2">
      <c r="A193" s="591" t="s">
        <v>339</v>
      </c>
      <c r="B193" s="592"/>
      <c r="C193" s="592"/>
      <c r="D193" s="592"/>
      <c r="E193" s="592"/>
      <c r="F193" s="592"/>
      <c r="G193" s="592"/>
      <c r="H193" s="592"/>
      <c r="I193" s="593"/>
    </row>
    <row r="194" spans="1:14" x14ac:dyDescent="0.2">
      <c r="A194" s="7"/>
      <c r="B194" s="7"/>
      <c r="C194" s="7"/>
      <c r="D194" s="7"/>
      <c r="E194" s="7"/>
      <c r="F194" s="7"/>
    </row>
    <row r="195" spans="1:14" x14ac:dyDescent="0.2">
      <c r="A195" s="7"/>
      <c r="B195" s="7"/>
      <c r="C195" s="7"/>
      <c r="D195" s="7"/>
      <c r="E195" s="7"/>
      <c r="F195" s="7"/>
    </row>
    <row r="196" spans="1:14" x14ac:dyDescent="0.2">
      <c r="A196" s="232" t="s">
        <v>12</v>
      </c>
      <c r="B196" s="206" t="s">
        <v>179</v>
      </c>
    </row>
    <row r="197" spans="1:14" x14ac:dyDescent="0.2">
      <c r="A197" s="32" t="s">
        <v>14</v>
      </c>
      <c r="B197" s="81" t="s">
        <v>708</v>
      </c>
      <c r="C197" s="42" t="s">
        <v>15</v>
      </c>
    </row>
    <row r="198" spans="1:14" x14ac:dyDescent="0.2">
      <c r="A198" s="42" t="s">
        <v>16</v>
      </c>
      <c r="B198" s="42"/>
      <c r="C198" s="42">
        <v>2016</v>
      </c>
      <c r="D198" s="42">
        <v>2017</v>
      </c>
      <c r="E198" s="42">
        <v>2018</v>
      </c>
      <c r="F198" s="42">
        <v>2019</v>
      </c>
      <c r="G198" s="42">
        <v>2020</v>
      </c>
      <c r="H198" s="42">
        <v>2021</v>
      </c>
      <c r="I198" s="42">
        <v>2022</v>
      </c>
    </row>
    <row r="199" spans="1:14" x14ac:dyDescent="0.2">
      <c r="A199" s="22" t="s">
        <v>17</v>
      </c>
      <c r="B199" s="22"/>
      <c r="C199" s="23">
        <v>1348</v>
      </c>
      <c r="D199" s="23">
        <v>1348</v>
      </c>
      <c r="E199" s="23">
        <v>1348</v>
      </c>
      <c r="F199" s="23">
        <v>1348</v>
      </c>
      <c r="G199" s="23">
        <v>1348</v>
      </c>
      <c r="H199" s="23">
        <v>1348</v>
      </c>
      <c r="I199" s="23">
        <v>1348</v>
      </c>
    </row>
    <row r="200" spans="1:14" x14ac:dyDescent="0.2">
      <c r="A200" s="22" t="s">
        <v>18</v>
      </c>
      <c r="B200" s="22"/>
      <c r="C200" s="23">
        <v>2040.2</v>
      </c>
      <c r="D200" s="23">
        <v>2070.1999999999998</v>
      </c>
      <c r="E200" s="23">
        <v>2070.1999999999998</v>
      </c>
      <c r="F200" s="23">
        <v>2045.1999999999998</v>
      </c>
      <c r="G200" s="23">
        <f>G199*1.15+125+35+35+100</f>
        <v>1845.1999999999998</v>
      </c>
      <c r="H200" s="23">
        <f>H199+0.15*F199+150+35+35+200</f>
        <v>1970.2</v>
      </c>
      <c r="I200" s="23">
        <f>I199+150+35+35+250+202.2</f>
        <v>2020.2</v>
      </c>
    </row>
    <row r="201" spans="1:14" x14ac:dyDescent="0.2">
      <c r="A201" s="22" t="s">
        <v>19</v>
      </c>
      <c r="B201" s="22"/>
      <c r="C201" s="23"/>
      <c r="D201" s="23"/>
      <c r="E201" s="23"/>
      <c r="F201" s="23"/>
      <c r="G201" s="23"/>
      <c r="H201" s="23"/>
      <c r="I201" s="23"/>
    </row>
    <row r="202" spans="1:14" x14ac:dyDescent="0.2">
      <c r="A202" s="22" t="s">
        <v>20</v>
      </c>
      <c r="B202" s="22"/>
      <c r="C202" s="23">
        <v>1558.88</v>
      </c>
      <c r="D202" s="23">
        <v>1209.21</v>
      </c>
      <c r="E202" s="23">
        <v>786.81</v>
      </c>
      <c r="F202" s="23">
        <v>997.23400000000004</v>
      </c>
      <c r="G202" s="23">
        <v>1343</v>
      </c>
      <c r="H202" s="23">
        <v>1380.2959000000001</v>
      </c>
      <c r="I202" s="23"/>
    </row>
    <row r="203" spans="1:14" x14ac:dyDescent="0.2">
      <c r="A203" s="22" t="s">
        <v>21</v>
      </c>
      <c r="B203" s="22"/>
      <c r="C203" s="23">
        <v>481.32</v>
      </c>
      <c r="D203" s="23">
        <v>860.99</v>
      </c>
      <c r="E203" s="23">
        <v>1283.3900000000001</v>
      </c>
      <c r="F203" s="23">
        <v>1047.9659999999999</v>
      </c>
      <c r="G203" s="23">
        <f>G200-G202</f>
        <v>502.19999999999982</v>
      </c>
      <c r="H203" s="23">
        <f>H200-H202</f>
        <v>589.90409999999997</v>
      </c>
      <c r="I203" s="23"/>
    </row>
    <row r="204" spans="1:14" x14ac:dyDescent="0.2">
      <c r="A204" s="36" t="s">
        <v>22</v>
      </c>
      <c r="B204" s="36"/>
      <c r="C204" s="36">
        <v>2018</v>
      </c>
      <c r="D204" s="36">
        <v>2019</v>
      </c>
      <c r="E204" s="36">
        <v>2020</v>
      </c>
      <c r="F204" s="36">
        <v>2021</v>
      </c>
      <c r="G204" s="36">
        <v>2022</v>
      </c>
      <c r="H204" s="36">
        <v>2023</v>
      </c>
      <c r="I204" s="36">
        <v>2024</v>
      </c>
    </row>
    <row r="205" spans="1:14" x14ac:dyDescent="0.2">
      <c r="A205" s="1" t="s">
        <v>176</v>
      </c>
      <c r="B205" s="2"/>
      <c r="C205" s="2"/>
      <c r="D205" s="2"/>
      <c r="E205" s="2"/>
      <c r="F205" s="2"/>
      <c r="G205" s="2"/>
      <c r="H205" s="2"/>
      <c r="I205" s="3"/>
      <c r="J205" s="4"/>
      <c r="K205" s="4"/>
      <c r="L205" s="4"/>
      <c r="M205" s="4"/>
      <c r="N205" s="4"/>
    </row>
    <row r="206" spans="1:14" x14ac:dyDescent="0.2">
      <c r="A206" s="5" t="s">
        <v>177</v>
      </c>
      <c r="B206" s="4"/>
      <c r="C206" s="4"/>
      <c r="D206" s="4"/>
      <c r="E206" s="4"/>
      <c r="F206" s="4"/>
      <c r="G206" s="4"/>
      <c r="H206" s="4"/>
      <c r="I206" s="6"/>
      <c r="J206" s="4"/>
      <c r="K206" s="4"/>
      <c r="L206" s="4"/>
      <c r="M206" s="4"/>
      <c r="N206" s="4"/>
    </row>
    <row r="207" spans="1:14" x14ac:dyDescent="0.2">
      <c r="A207" s="5" t="s">
        <v>178</v>
      </c>
      <c r="B207" s="4"/>
      <c r="C207" s="4"/>
      <c r="D207" s="4"/>
      <c r="E207" s="4"/>
      <c r="F207" s="4"/>
      <c r="G207" s="4"/>
      <c r="H207" s="4"/>
      <c r="I207" s="6"/>
      <c r="J207" s="4"/>
      <c r="K207" s="4"/>
      <c r="L207" s="4"/>
      <c r="M207" s="4"/>
      <c r="N207" s="4"/>
    </row>
    <row r="208" spans="1:14" x14ac:dyDescent="0.2">
      <c r="A208" s="5" t="s">
        <v>416</v>
      </c>
      <c r="I208" s="21"/>
    </row>
    <row r="209" spans="1:9" x14ac:dyDescent="0.2">
      <c r="A209" s="5" t="s">
        <v>561</v>
      </c>
      <c r="I209" s="21"/>
    </row>
    <row r="210" spans="1:9" x14ac:dyDescent="0.2">
      <c r="A210" s="5" t="s">
        <v>562</v>
      </c>
      <c r="I210" s="21"/>
    </row>
    <row r="211" spans="1:9" x14ac:dyDescent="0.2">
      <c r="A211" s="82" t="s">
        <v>691</v>
      </c>
      <c r="B211" s="33"/>
      <c r="C211" s="33"/>
      <c r="D211" s="33"/>
      <c r="E211" s="33"/>
      <c r="F211" s="33"/>
      <c r="G211" s="33"/>
      <c r="H211" s="33"/>
      <c r="I211" s="34"/>
    </row>
    <row r="213" spans="1:9" x14ac:dyDescent="0.2">
      <c r="A213" s="117" t="s">
        <v>14</v>
      </c>
      <c r="B213" s="67" t="s">
        <v>740</v>
      </c>
      <c r="C213" s="42" t="s">
        <v>15</v>
      </c>
    </row>
    <row r="214" spans="1:9" x14ac:dyDescent="0.2">
      <c r="A214" s="52" t="s">
        <v>16</v>
      </c>
      <c r="B214" s="52"/>
      <c r="C214" s="47">
        <v>2016</v>
      </c>
      <c r="D214" s="47">
        <v>2017</v>
      </c>
      <c r="E214" s="47">
        <v>2018</v>
      </c>
      <c r="F214" s="47">
        <v>2019</v>
      </c>
      <c r="G214" s="47">
        <v>2020</v>
      </c>
      <c r="H214" s="47">
        <v>2021</v>
      </c>
      <c r="I214" s="47">
        <v>2022</v>
      </c>
    </row>
    <row r="215" spans="1:9" x14ac:dyDescent="0.2">
      <c r="A215" s="52" t="s">
        <v>17</v>
      </c>
      <c r="B215" s="52"/>
      <c r="C215" s="45">
        <v>452.47</v>
      </c>
      <c r="D215" s="45">
        <v>452.47</v>
      </c>
      <c r="E215" s="45">
        <v>530.59</v>
      </c>
      <c r="F215" s="45">
        <v>530.59</v>
      </c>
      <c r="G215" s="45">
        <v>530.59</v>
      </c>
      <c r="H215" s="45">
        <v>530.59</v>
      </c>
      <c r="I215" s="45">
        <v>558.65</v>
      </c>
    </row>
    <row r="216" spans="1:9" x14ac:dyDescent="0.2">
      <c r="A216" s="52" t="s">
        <v>18</v>
      </c>
      <c r="B216" s="52"/>
      <c r="C216" s="45">
        <v>506.74</v>
      </c>
      <c r="D216" s="445">
        <f>D215+C219+73.98</f>
        <v>567.08000000000004</v>
      </c>
      <c r="E216" s="445">
        <f>E215+0.1*D215+60.44</f>
        <v>636.27700000000004</v>
      </c>
      <c r="F216" s="445">
        <f>F215+0.1*E215+9.62+79.44</f>
        <v>672.70900000000006</v>
      </c>
      <c r="G216" s="445">
        <f>G215+F219+100.44+4.78</f>
        <v>675.64900000000011</v>
      </c>
      <c r="H216" s="445">
        <f>H215+0.1*G215+60+4.78</f>
        <v>648.42899999999997</v>
      </c>
      <c r="I216" s="445">
        <f>I215+H219+4.78</f>
        <v>581.12899999999991</v>
      </c>
    </row>
    <row r="217" spans="1:9" x14ac:dyDescent="0.2">
      <c r="A217" s="52" t="s">
        <v>19</v>
      </c>
      <c r="B217" s="52"/>
      <c r="C217" s="46"/>
      <c r="D217" s="46"/>
      <c r="E217" s="23"/>
      <c r="F217" s="23"/>
      <c r="G217" s="23"/>
      <c r="H217" s="23"/>
      <c r="I217" s="23"/>
    </row>
    <row r="218" spans="1:9" x14ac:dyDescent="0.2">
      <c r="A218" s="52" t="s">
        <v>20</v>
      </c>
      <c r="B218" s="52"/>
      <c r="C218" s="45">
        <v>466.11</v>
      </c>
      <c r="D218" s="46">
        <v>471.65</v>
      </c>
      <c r="E218" s="23">
        <v>553.98</v>
      </c>
      <c r="F218" s="23">
        <v>632.86999999999989</v>
      </c>
      <c r="G218" s="23">
        <v>591.60299999999995</v>
      </c>
      <c r="H218" s="23">
        <v>630.73</v>
      </c>
      <c r="I218" s="23"/>
    </row>
    <row r="219" spans="1:9" x14ac:dyDescent="0.2">
      <c r="A219" s="52" t="s">
        <v>21</v>
      </c>
      <c r="B219" s="52"/>
      <c r="C219" s="23">
        <f t="shared" ref="C219:H219" si="12">C216-C218</f>
        <v>40.629999999999995</v>
      </c>
      <c r="D219" s="51">
        <f t="shared" si="12"/>
        <v>95.430000000000064</v>
      </c>
      <c r="E219" s="51">
        <f t="shared" si="12"/>
        <v>82.297000000000025</v>
      </c>
      <c r="F219" s="51">
        <f t="shared" si="12"/>
        <v>39.839000000000169</v>
      </c>
      <c r="G219" s="51">
        <f t="shared" si="12"/>
        <v>84.046000000000163</v>
      </c>
      <c r="H219" s="23">
        <f t="shared" si="12"/>
        <v>17.698999999999955</v>
      </c>
      <c r="I219" s="23"/>
    </row>
    <row r="220" spans="1:9" x14ac:dyDescent="0.2">
      <c r="A220" s="55" t="s">
        <v>22</v>
      </c>
      <c r="B220" s="55"/>
      <c r="C220" s="68">
        <v>2017</v>
      </c>
      <c r="D220" s="44">
        <v>2018</v>
      </c>
      <c r="E220" s="36">
        <v>2019</v>
      </c>
      <c r="F220" s="36">
        <v>2020</v>
      </c>
      <c r="G220" s="36">
        <v>2021</v>
      </c>
      <c r="H220" s="36">
        <v>2022</v>
      </c>
      <c r="I220" s="36">
        <v>2022</v>
      </c>
    </row>
    <row r="221" spans="1:9" x14ac:dyDescent="0.2">
      <c r="A221" s="1" t="s">
        <v>180</v>
      </c>
      <c r="B221" s="2"/>
      <c r="C221" s="2"/>
      <c r="D221" s="2"/>
      <c r="E221" s="2"/>
      <c r="F221" s="2"/>
      <c r="G221" s="2"/>
      <c r="H221" s="30"/>
      <c r="I221" s="31"/>
    </row>
    <row r="222" spans="1:9" x14ac:dyDescent="0.2">
      <c r="A222" s="567" t="s">
        <v>817</v>
      </c>
      <c r="B222" s="4"/>
      <c r="C222" s="4"/>
      <c r="D222" s="4"/>
      <c r="E222" s="4"/>
      <c r="F222" s="4"/>
      <c r="G222" s="4"/>
      <c r="I222" s="21"/>
    </row>
    <row r="223" spans="1:9" x14ac:dyDescent="0.2">
      <c r="A223" s="567" t="s">
        <v>818</v>
      </c>
      <c r="B223" s="4"/>
      <c r="C223" s="4"/>
      <c r="D223" s="4"/>
      <c r="E223" s="4"/>
      <c r="F223" s="4"/>
      <c r="G223" s="4"/>
      <c r="I223" s="21"/>
    </row>
    <row r="224" spans="1:9" x14ac:dyDescent="0.2">
      <c r="A224" s="409" t="s">
        <v>821</v>
      </c>
      <c r="I224" s="21"/>
    </row>
    <row r="225" spans="1:14" x14ac:dyDescent="0.2">
      <c r="A225" s="409" t="s">
        <v>819</v>
      </c>
      <c r="I225" s="21"/>
    </row>
    <row r="226" spans="1:14" x14ac:dyDescent="0.2">
      <c r="A226" s="409" t="s">
        <v>822</v>
      </c>
      <c r="I226" s="21"/>
    </row>
    <row r="227" spans="1:14" x14ac:dyDescent="0.2">
      <c r="A227" s="409" t="s">
        <v>820</v>
      </c>
      <c r="I227" s="21"/>
    </row>
    <row r="228" spans="1:14" x14ac:dyDescent="0.2">
      <c r="A228" s="359" t="s">
        <v>692</v>
      </c>
      <c r="B228" s="33"/>
      <c r="C228" s="33"/>
      <c r="D228" s="33"/>
      <c r="E228" s="33"/>
      <c r="F228" s="33"/>
      <c r="G228" s="33"/>
      <c r="H228" s="33"/>
      <c r="I228" s="34"/>
    </row>
    <row r="231" spans="1:14" x14ac:dyDescent="0.2">
      <c r="A231" s="205" t="s">
        <v>12</v>
      </c>
      <c r="B231" s="206" t="s">
        <v>161</v>
      </c>
    </row>
    <row r="232" spans="1:14" x14ac:dyDescent="0.2">
      <c r="A232" s="83" t="s">
        <v>14</v>
      </c>
      <c r="B232" s="61" t="s">
        <v>709</v>
      </c>
      <c r="C232" s="42" t="s">
        <v>15</v>
      </c>
    </row>
    <row r="233" spans="1:14" x14ac:dyDescent="0.2">
      <c r="A233" s="84" t="s">
        <v>16</v>
      </c>
      <c r="B233" s="85">
        <v>2010</v>
      </c>
      <c r="C233" s="85">
        <v>2011</v>
      </c>
      <c r="D233" s="85">
        <v>2012</v>
      </c>
      <c r="E233" s="85">
        <v>2013</v>
      </c>
      <c r="F233" s="85">
        <v>2014</v>
      </c>
      <c r="G233" s="85">
        <v>2015</v>
      </c>
      <c r="H233" s="85">
        <v>2016</v>
      </c>
      <c r="I233" s="85">
        <v>2017</v>
      </c>
      <c r="J233" s="85">
        <v>2018</v>
      </c>
      <c r="K233" s="85">
        <v>2019</v>
      </c>
      <c r="L233" s="57">
        <v>2020</v>
      </c>
      <c r="M233" s="57">
        <v>2021</v>
      </c>
      <c r="N233" s="57">
        <v>2022</v>
      </c>
    </row>
    <row r="234" spans="1:14" x14ac:dyDescent="0.2">
      <c r="A234" s="84" t="s">
        <v>17</v>
      </c>
      <c r="B234" s="54">
        <v>200</v>
      </c>
      <c r="C234" s="54">
        <v>200</v>
      </c>
      <c r="D234" s="54">
        <v>200</v>
      </c>
      <c r="E234" s="54">
        <v>200</v>
      </c>
      <c r="F234" s="54">
        <v>200</v>
      </c>
      <c r="G234" s="54">
        <v>200</v>
      </c>
      <c r="H234" s="53">
        <v>200</v>
      </c>
      <c r="I234" s="54">
        <v>200</v>
      </c>
      <c r="J234" s="54">
        <v>200</v>
      </c>
      <c r="K234" s="54">
        <v>215</v>
      </c>
      <c r="L234" s="23">
        <v>215</v>
      </c>
      <c r="M234" s="23">
        <v>242</v>
      </c>
      <c r="N234" s="23">
        <v>242</v>
      </c>
    </row>
    <row r="235" spans="1:14" x14ac:dyDescent="0.2">
      <c r="A235" s="84" t="s">
        <v>18</v>
      </c>
      <c r="B235" s="54">
        <v>250</v>
      </c>
      <c r="C235" s="54">
        <v>250</v>
      </c>
      <c r="D235" s="54">
        <v>250</v>
      </c>
      <c r="E235" s="54">
        <v>250</v>
      </c>
      <c r="F235" s="54">
        <v>200</v>
      </c>
      <c r="G235" s="54">
        <v>250</v>
      </c>
      <c r="H235" s="53">
        <v>250</v>
      </c>
      <c r="I235" s="54">
        <v>250</v>
      </c>
      <c r="J235" s="54">
        <v>250</v>
      </c>
      <c r="K235" s="54">
        <v>265</v>
      </c>
      <c r="L235" s="54">
        <v>265</v>
      </c>
      <c r="M235" s="54">
        <f>M234+0.25*K234</f>
        <v>295.75</v>
      </c>
      <c r="N235" s="54">
        <f>N234+0.25*L234</f>
        <v>295.75</v>
      </c>
    </row>
    <row r="236" spans="1:14" x14ac:dyDescent="0.2">
      <c r="A236" s="84" t="s">
        <v>19</v>
      </c>
      <c r="B236" s="54"/>
      <c r="C236" s="54"/>
      <c r="D236" s="54"/>
      <c r="E236" s="54"/>
      <c r="F236" s="54"/>
      <c r="G236" s="54"/>
      <c r="H236" s="53"/>
      <c r="I236" s="53"/>
      <c r="J236" s="53"/>
      <c r="K236" s="53"/>
      <c r="L236" s="53"/>
      <c r="M236" s="23"/>
      <c r="N236" s="23"/>
    </row>
    <row r="237" spans="1:14" x14ac:dyDescent="0.2">
      <c r="A237" s="84" t="s">
        <v>20</v>
      </c>
      <c r="B237" s="54">
        <v>150</v>
      </c>
      <c r="C237" s="54">
        <v>101</v>
      </c>
      <c r="D237" s="54">
        <v>21</v>
      </c>
      <c r="E237" s="54">
        <v>81.085999999999999</v>
      </c>
      <c r="F237" s="54">
        <v>34.866999999999997</v>
      </c>
      <c r="G237" s="54">
        <v>20.963999999999999</v>
      </c>
      <c r="H237" s="53">
        <v>103.196</v>
      </c>
      <c r="I237" s="53">
        <v>123.654</v>
      </c>
      <c r="J237" s="53">
        <v>123.839</v>
      </c>
      <c r="K237" s="53">
        <v>129.16</v>
      </c>
      <c r="L237" s="53">
        <v>207.66</v>
      </c>
      <c r="M237" s="23">
        <v>291.32</v>
      </c>
      <c r="N237" s="23"/>
    </row>
    <row r="238" spans="1:14" x14ac:dyDescent="0.2">
      <c r="A238" s="84" t="s">
        <v>21</v>
      </c>
      <c r="B238" s="54">
        <v>100</v>
      </c>
      <c r="C238" s="54">
        <v>149</v>
      </c>
      <c r="D238" s="54">
        <v>229</v>
      </c>
      <c r="E238" s="54">
        <v>168.91399999999999</v>
      </c>
      <c r="F238" s="54">
        <v>165.13300000000001</v>
      </c>
      <c r="G238" s="54">
        <v>229.036</v>
      </c>
      <c r="H238" s="53">
        <v>146.804</v>
      </c>
      <c r="I238" s="53">
        <v>126.364</v>
      </c>
      <c r="J238" s="53">
        <v>126.161</v>
      </c>
      <c r="K238" s="53">
        <v>135.84</v>
      </c>
      <c r="L238" s="53">
        <f>L235-L237</f>
        <v>57.34</v>
      </c>
      <c r="M238" s="53">
        <f>M235-M237</f>
        <v>4.4300000000000068</v>
      </c>
      <c r="N238" s="23"/>
    </row>
    <row r="239" spans="1:14" x14ac:dyDescent="0.2">
      <c r="A239" s="84" t="s">
        <v>22</v>
      </c>
      <c r="B239" s="72">
        <v>2012</v>
      </c>
      <c r="C239" s="72">
        <v>2013</v>
      </c>
      <c r="D239" s="72">
        <v>2014</v>
      </c>
      <c r="E239" s="72">
        <v>2015</v>
      </c>
      <c r="F239" s="72">
        <v>2016</v>
      </c>
      <c r="G239" s="72">
        <v>2017</v>
      </c>
      <c r="H239" s="60">
        <v>2018</v>
      </c>
      <c r="I239" s="60">
        <v>2019</v>
      </c>
      <c r="J239" s="60">
        <v>2020</v>
      </c>
      <c r="K239" s="60">
        <v>2021</v>
      </c>
      <c r="L239" s="60">
        <v>2022</v>
      </c>
      <c r="M239" s="60">
        <v>2023</v>
      </c>
      <c r="N239" s="60">
        <v>2024</v>
      </c>
    </row>
    <row r="240" spans="1:14" x14ac:dyDescent="0.2">
      <c r="A240" s="36" t="s">
        <v>162</v>
      </c>
      <c r="B240" s="36"/>
      <c r="C240" s="36"/>
      <c r="D240" s="36"/>
      <c r="E240" s="36"/>
      <c r="F240" s="36"/>
      <c r="G240" s="36"/>
      <c r="H240" s="36"/>
      <c r="I240" s="36"/>
      <c r="J240" s="36"/>
      <c r="K240" s="36"/>
      <c r="L240" s="36"/>
      <c r="M240" s="36"/>
      <c r="N240" s="36"/>
    </row>
    <row r="241" spans="1:14" x14ac:dyDescent="0.2">
      <c r="A241" s="86" t="s">
        <v>344</v>
      </c>
      <c r="B241" s="30"/>
      <c r="C241" s="30"/>
      <c r="D241" s="30"/>
      <c r="E241" s="30"/>
      <c r="F241" s="30"/>
      <c r="G241" s="30"/>
      <c r="H241" s="30"/>
      <c r="I241" s="30"/>
      <c r="J241" s="30"/>
      <c r="K241" s="30"/>
      <c r="L241" s="30"/>
      <c r="M241" s="30"/>
      <c r="N241" s="31"/>
    </row>
    <row r="242" spans="1:14" x14ac:dyDescent="0.2">
      <c r="A242" s="87" t="s">
        <v>398</v>
      </c>
      <c r="N242" s="21"/>
    </row>
    <row r="243" spans="1:14" x14ac:dyDescent="0.2">
      <c r="A243" s="87" t="s">
        <v>399</v>
      </c>
      <c r="N243" s="21"/>
    </row>
    <row r="244" spans="1:14" x14ac:dyDescent="0.2">
      <c r="A244" s="87" t="s">
        <v>474</v>
      </c>
      <c r="N244" s="21"/>
    </row>
    <row r="245" spans="1:14" x14ac:dyDescent="0.2">
      <c r="A245" s="65" t="s">
        <v>693</v>
      </c>
      <c r="B245" s="33"/>
      <c r="C245" s="33"/>
      <c r="D245" s="33"/>
      <c r="E245" s="33"/>
      <c r="F245" s="33"/>
      <c r="G245" s="33"/>
      <c r="H245" s="33"/>
      <c r="I245" s="33"/>
      <c r="J245" s="33"/>
      <c r="K245" s="33"/>
      <c r="L245" s="33"/>
      <c r="M245" s="33"/>
      <c r="N245" s="34"/>
    </row>
    <row r="247" spans="1:14" x14ac:dyDescent="0.2">
      <c r="A247" s="42" t="s">
        <v>14</v>
      </c>
      <c r="B247" s="42" t="s">
        <v>732</v>
      </c>
      <c r="C247" s="42" t="s">
        <v>15</v>
      </c>
    </row>
    <row r="248" spans="1:14" x14ac:dyDescent="0.2">
      <c r="A248" s="84" t="s">
        <v>16</v>
      </c>
      <c r="B248" s="85">
        <v>2010</v>
      </c>
      <c r="C248" s="85">
        <v>2011</v>
      </c>
      <c r="D248" s="85">
        <v>2012</v>
      </c>
      <c r="E248" s="85">
        <v>2013</v>
      </c>
      <c r="F248" s="85">
        <v>2014</v>
      </c>
      <c r="G248" s="85">
        <v>2015</v>
      </c>
      <c r="H248" s="85">
        <v>2016</v>
      </c>
      <c r="I248" s="85">
        <v>2017</v>
      </c>
      <c r="J248" s="85">
        <v>2018</v>
      </c>
      <c r="K248" s="85">
        <v>2019</v>
      </c>
      <c r="L248" s="85">
        <v>2020</v>
      </c>
      <c r="M248" s="57">
        <v>2021</v>
      </c>
      <c r="N248" s="57">
        <v>2022</v>
      </c>
    </row>
    <row r="249" spans="1:14" x14ac:dyDescent="0.2">
      <c r="A249" s="84" t="s">
        <v>17</v>
      </c>
      <c r="B249" s="54">
        <v>100</v>
      </c>
      <c r="C249" s="54">
        <v>100</v>
      </c>
      <c r="D249" s="54">
        <v>100</v>
      </c>
      <c r="E249" s="54">
        <v>100</v>
      </c>
      <c r="F249" s="54">
        <v>100</v>
      </c>
      <c r="G249" s="54">
        <v>100</v>
      </c>
      <c r="H249" s="53">
        <v>100</v>
      </c>
      <c r="I249" s="54">
        <v>200</v>
      </c>
      <c r="J249" s="53">
        <v>200</v>
      </c>
      <c r="K249" s="54">
        <v>200</v>
      </c>
      <c r="L249" s="54">
        <v>200</v>
      </c>
      <c r="M249" s="53">
        <v>200</v>
      </c>
      <c r="N249" s="53">
        <v>200</v>
      </c>
    </row>
    <row r="250" spans="1:14" x14ac:dyDescent="0.2">
      <c r="A250" s="84" t="s">
        <v>18</v>
      </c>
      <c r="B250" s="54">
        <v>100</v>
      </c>
      <c r="C250" s="54">
        <v>100</v>
      </c>
      <c r="D250" s="54">
        <v>100</v>
      </c>
      <c r="E250" s="54">
        <v>100</v>
      </c>
      <c r="F250" s="54">
        <v>100</v>
      </c>
      <c r="G250" s="54">
        <v>125</v>
      </c>
      <c r="H250" s="53">
        <v>125</v>
      </c>
      <c r="I250" s="54">
        <f>200+G253</f>
        <v>204.595</v>
      </c>
      <c r="J250" s="54">
        <v>250</v>
      </c>
      <c r="K250" s="54">
        <f>K249+I253</f>
        <v>220.04499999999999</v>
      </c>
      <c r="L250" s="54">
        <v>250</v>
      </c>
      <c r="M250" s="53">
        <f>M249*1.25</f>
        <v>250</v>
      </c>
      <c r="N250" s="53">
        <f>N249*1.25</f>
        <v>250</v>
      </c>
    </row>
    <row r="251" spans="1:14" x14ac:dyDescent="0.2">
      <c r="A251" s="84" t="s">
        <v>19</v>
      </c>
      <c r="B251" s="233"/>
      <c r="C251" s="233"/>
      <c r="D251" s="233"/>
      <c r="E251" s="233"/>
      <c r="F251" s="233"/>
      <c r="G251" s="233"/>
      <c r="H251" s="23"/>
      <c r="I251" s="23"/>
      <c r="J251" s="23"/>
      <c r="K251" s="23"/>
      <c r="L251" s="23"/>
      <c r="M251" s="23"/>
      <c r="N251" s="23"/>
    </row>
    <row r="252" spans="1:14" x14ac:dyDescent="0.2">
      <c r="A252" s="84" t="s">
        <v>20</v>
      </c>
      <c r="B252" s="54">
        <v>100</v>
      </c>
      <c r="C252" s="54">
        <v>80.05</v>
      </c>
      <c r="D252" s="54">
        <v>61.02</v>
      </c>
      <c r="E252" s="54">
        <v>65.126999999999995</v>
      </c>
      <c r="F252" s="54">
        <v>33.822000000000003</v>
      </c>
      <c r="G252" s="54">
        <v>120.405</v>
      </c>
      <c r="H252" s="53">
        <v>94.369</v>
      </c>
      <c r="I252" s="53">
        <v>184.55</v>
      </c>
      <c r="J252" s="53">
        <v>116.455</v>
      </c>
      <c r="K252" s="53">
        <v>132.07</v>
      </c>
      <c r="L252" s="53">
        <v>183.94</v>
      </c>
      <c r="M252" s="53">
        <v>9.66</v>
      </c>
      <c r="N252" s="53"/>
    </row>
    <row r="253" spans="1:14" x14ac:dyDescent="0.2">
      <c r="A253" s="84" t="s">
        <v>21</v>
      </c>
      <c r="B253" s="54">
        <f>B250-B252</f>
        <v>0</v>
      </c>
      <c r="C253" s="54">
        <f t="shared" ref="C253:M253" si="13">C250-C252</f>
        <v>19.950000000000003</v>
      </c>
      <c r="D253" s="54">
        <f t="shared" si="13"/>
        <v>38.979999999999997</v>
      </c>
      <c r="E253" s="54">
        <f t="shared" si="13"/>
        <v>34.873000000000005</v>
      </c>
      <c r="F253" s="54">
        <f t="shared" si="13"/>
        <v>66.177999999999997</v>
      </c>
      <c r="G253" s="54">
        <f t="shared" si="13"/>
        <v>4.5949999999999989</v>
      </c>
      <c r="H253" s="54">
        <f t="shared" si="13"/>
        <v>30.631</v>
      </c>
      <c r="I253" s="54">
        <f t="shared" si="13"/>
        <v>20.044999999999987</v>
      </c>
      <c r="J253" s="54">
        <f t="shared" si="13"/>
        <v>133.54500000000002</v>
      </c>
      <c r="K253" s="54">
        <f t="shared" si="13"/>
        <v>87.974999999999994</v>
      </c>
      <c r="L253" s="54">
        <f t="shared" si="13"/>
        <v>66.06</v>
      </c>
      <c r="M253" s="54">
        <f t="shared" si="13"/>
        <v>240.34</v>
      </c>
      <c r="N253" s="53"/>
    </row>
    <row r="254" spans="1:14" x14ac:dyDescent="0.2">
      <c r="A254" s="234" t="s">
        <v>22</v>
      </c>
      <c r="B254" s="235">
        <v>2012</v>
      </c>
      <c r="C254" s="235">
        <v>2013</v>
      </c>
      <c r="D254" s="235">
        <v>2014</v>
      </c>
      <c r="E254" s="235">
        <v>2015</v>
      </c>
      <c r="F254" s="235">
        <v>2016</v>
      </c>
      <c r="G254" s="235">
        <v>2017</v>
      </c>
      <c r="H254" s="63">
        <v>2018</v>
      </c>
      <c r="I254" s="63">
        <v>2019</v>
      </c>
      <c r="J254" s="63">
        <v>2020</v>
      </c>
      <c r="K254" s="63">
        <v>2021</v>
      </c>
      <c r="L254" s="63">
        <v>2022</v>
      </c>
      <c r="M254" s="63">
        <v>2023</v>
      </c>
      <c r="N254" s="63">
        <v>2024</v>
      </c>
    </row>
    <row r="255" spans="1:14" x14ac:dyDescent="0.2">
      <c r="A255" s="52" t="s">
        <v>162</v>
      </c>
      <c r="B255" s="64"/>
      <c r="C255" s="64"/>
      <c r="D255" s="64"/>
      <c r="E255" s="64"/>
      <c r="F255" s="64"/>
      <c r="G255" s="64"/>
      <c r="H255" s="64"/>
      <c r="I255" s="64"/>
      <c r="J255" s="64"/>
      <c r="K255" s="64"/>
      <c r="L255" s="64"/>
      <c r="M255" s="64"/>
      <c r="N255" s="62"/>
    </row>
    <row r="256" spans="1:14" x14ac:dyDescent="0.2">
      <c r="A256" s="87" t="s">
        <v>163</v>
      </c>
      <c r="N256" s="21"/>
    </row>
    <row r="257" spans="1:14" x14ac:dyDescent="0.2">
      <c r="A257" s="87" t="s">
        <v>164</v>
      </c>
      <c r="N257" s="21"/>
    </row>
    <row r="258" spans="1:14" x14ac:dyDescent="0.2">
      <c r="A258" s="87" t="s">
        <v>353</v>
      </c>
      <c r="N258" s="21"/>
    </row>
    <row r="259" spans="1:14" x14ac:dyDescent="0.2">
      <c r="A259" s="87" t="s">
        <v>475</v>
      </c>
      <c r="N259" s="21"/>
    </row>
    <row r="260" spans="1:14" x14ac:dyDescent="0.2">
      <c r="A260" s="87" t="s">
        <v>630</v>
      </c>
      <c r="N260" s="21"/>
    </row>
    <row r="261" spans="1:14" ht="27" customHeight="1" x14ac:dyDescent="0.2">
      <c r="A261" s="572" t="s">
        <v>352</v>
      </c>
      <c r="B261" s="573"/>
      <c r="C261" s="573"/>
      <c r="D261" s="573"/>
      <c r="E261" s="573"/>
      <c r="F261" s="573"/>
      <c r="G261" s="573"/>
      <c r="H261" s="573"/>
      <c r="I261" s="573"/>
      <c r="J261" s="573"/>
      <c r="K261" s="573"/>
      <c r="L261" s="573"/>
      <c r="M261" s="573"/>
      <c r="N261" s="34"/>
    </row>
    <row r="263" spans="1:14" x14ac:dyDescent="0.2">
      <c r="A263" s="117" t="s">
        <v>14</v>
      </c>
      <c r="B263" s="61" t="s">
        <v>708</v>
      </c>
      <c r="C263" s="61" t="s">
        <v>15</v>
      </c>
    </row>
    <row r="264" spans="1:14" x14ac:dyDescent="0.2">
      <c r="A264" s="236" t="s">
        <v>16</v>
      </c>
      <c r="B264" s="237">
        <v>2010</v>
      </c>
      <c r="C264" s="85">
        <v>2011</v>
      </c>
      <c r="D264" s="85">
        <v>2012</v>
      </c>
      <c r="E264" s="85">
        <v>2013</v>
      </c>
      <c r="F264" s="85">
        <v>2014</v>
      </c>
      <c r="G264" s="85">
        <v>2015</v>
      </c>
      <c r="H264" s="85">
        <v>2016</v>
      </c>
      <c r="I264" s="85">
        <v>2017</v>
      </c>
      <c r="J264" s="85">
        <v>2018</v>
      </c>
      <c r="K264" s="85">
        <v>2019</v>
      </c>
      <c r="L264" s="85">
        <v>2020</v>
      </c>
      <c r="M264" s="57">
        <v>2021</v>
      </c>
      <c r="N264" s="57">
        <v>2022</v>
      </c>
    </row>
    <row r="265" spans="1:14" x14ac:dyDescent="0.2">
      <c r="A265" s="84" t="s">
        <v>17</v>
      </c>
      <c r="B265" s="54">
        <v>75</v>
      </c>
      <c r="C265" s="54">
        <v>75</v>
      </c>
      <c r="D265" s="54">
        <v>75</v>
      </c>
      <c r="E265" s="54">
        <v>75</v>
      </c>
      <c r="F265" s="54">
        <v>75</v>
      </c>
      <c r="G265" s="54">
        <v>75</v>
      </c>
      <c r="H265" s="54">
        <v>75</v>
      </c>
      <c r="I265" s="54">
        <v>75</v>
      </c>
      <c r="J265" s="53">
        <v>100</v>
      </c>
      <c r="K265" s="54">
        <v>100</v>
      </c>
      <c r="L265" s="54">
        <v>100</v>
      </c>
      <c r="M265" s="53">
        <v>100</v>
      </c>
      <c r="N265" s="53">
        <v>100</v>
      </c>
    </row>
    <row r="266" spans="1:14" x14ac:dyDescent="0.2">
      <c r="A266" s="84" t="s">
        <v>18</v>
      </c>
      <c r="B266" s="54">
        <v>79</v>
      </c>
      <c r="C266" s="54">
        <v>80</v>
      </c>
      <c r="D266" s="54">
        <v>105.3</v>
      </c>
      <c r="E266" s="54">
        <v>100</v>
      </c>
      <c r="F266" s="54">
        <v>100</v>
      </c>
      <c r="G266" s="53">
        <v>104.054</v>
      </c>
      <c r="H266" s="54">
        <v>137.5</v>
      </c>
      <c r="I266" s="54">
        <v>88</v>
      </c>
      <c r="J266" s="53">
        <v>90.442999999999998</v>
      </c>
      <c r="K266" s="54">
        <f>K265-12.726+6.69</f>
        <v>93.963999999999999</v>
      </c>
      <c r="L266" s="54">
        <v>103.95</v>
      </c>
      <c r="M266" s="53">
        <f>M265+K269</f>
        <v>102.404</v>
      </c>
      <c r="N266" s="53">
        <f>N265+L269</f>
        <v>107.78</v>
      </c>
    </row>
    <row r="267" spans="1:14" x14ac:dyDescent="0.2">
      <c r="A267" s="84" t="s">
        <v>19</v>
      </c>
      <c r="B267" s="54"/>
      <c r="C267" s="54"/>
      <c r="D267" s="54"/>
      <c r="E267" s="54"/>
      <c r="F267" s="54"/>
      <c r="G267" s="53"/>
      <c r="H267" s="53"/>
      <c r="I267" s="53"/>
      <c r="J267" s="59"/>
      <c r="K267" s="53"/>
      <c r="L267" s="53"/>
      <c r="M267" s="53"/>
      <c r="N267" s="53"/>
    </row>
    <row r="268" spans="1:14" x14ac:dyDescent="0.2">
      <c r="A268" s="84" t="s">
        <v>20</v>
      </c>
      <c r="B268" s="54">
        <v>74</v>
      </c>
      <c r="C268" s="54">
        <v>74.7</v>
      </c>
      <c r="D268" s="54">
        <v>59</v>
      </c>
      <c r="E268" s="54">
        <v>95.945999999999998</v>
      </c>
      <c r="F268" s="54">
        <v>60.292999999999999</v>
      </c>
      <c r="G268" s="53">
        <v>140.78</v>
      </c>
      <c r="H268" s="53">
        <v>135.05699999999999</v>
      </c>
      <c r="I268" s="53">
        <v>81.31</v>
      </c>
      <c r="J268" s="53">
        <v>86.498000000000005</v>
      </c>
      <c r="K268" s="53">
        <v>91.56</v>
      </c>
      <c r="L268" s="53">
        <v>96.17</v>
      </c>
      <c r="M268" s="53">
        <v>58.583999999999996</v>
      </c>
      <c r="N268" s="53"/>
    </row>
    <row r="269" spans="1:14" x14ac:dyDescent="0.2">
      <c r="A269" s="84" t="s">
        <v>21</v>
      </c>
      <c r="B269" s="54">
        <v>5</v>
      </c>
      <c r="C269" s="54">
        <v>5.3</v>
      </c>
      <c r="D269" s="54">
        <v>46.3</v>
      </c>
      <c r="E269" s="54">
        <v>4.0540000000000003</v>
      </c>
      <c r="F269" s="54">
        <v>39.707000000000001</v>
      </c>
      <c r="G269" s="53">
        <v>-36.725999999999999</v>
      </c>
      <c r="H269" s="53">
        <v>2.4430000000000001</v>
      </c>
      <c r="I269" s="53">
        <v>6.6899999999999977</v>
      </c>
      <c r="J269" s="53">
        <v>3.9449999999999998</v>
      </c>
      <c r="K269" s="53">
        <f>K266-K268</f>
        <v>2.4039999999999964</v>
      </c>
      <c r="L269" s="53">
        <f>L266-L268</f>
        <v>7.7800000000000011</v>
      </c>
      <c r="M269" s="53">
        <f>M266-M268</f>
        <v>43.82</v>
      </c>
      <c r="N269" s="53"/>
    </row>
    <row r="270" spans="1:14" x14ac:dyDescent="0.2">
      <c r="A270" s="234" t="s">
        <v>22</v>
      </c>
      <c r="B270" s="235">
        <v>2011</v>
      </c>
      <c r="C270" s="235">
        <v>2012</v>
      </c>
      <c r="D270" s="235">
        <v>2014</v>
      </c>
      <c r="E270" s="235">
        <v>2015</v>
      </c>
      <c r="F270" s="235">
        <v>2016</v>
      </c>
      <c r="G270" s="63">
        <v>2017</v>
      </c>
      <c r="H270" s="63">
        <v>2018</v>
      </c>
      <c r="I270" s="63">
        <v>2019</v>
      </c>
      <c r="J270" s="63">
        <v>2020</v>
      </c>
      <c r="K270" s="63">
        <v>2021</v>
      </c>
      <c r="L270" s="63">
        <v>2022</v>
      </c>
      <c r="M270" s="36">
        <v>2023</v>
      </c>
      <c r="N270" s="36">
        <v>2024</v>
      </c>
    </row>
    <row r="271" spans="1:14" x14ac:dyDescent="0.2">
      <c r="A271" s="52" t="s">
        <v>162</v>
      </c>
      <c r="B271" s="64"/>
      <c r="C271" s="64"/>
      <c r="D271" s="64"/>
      <c r="E271" s="64"/>
      <c r="F271" s="64"/>
      <c r="G271" s="64"/>
      <c r="H271" s="64"/>
      <c r="I271" s="64"/>
      <c r="J271" s="64"/>
      <c r="K271" s="64"/>
      <c r="L271" s="64"/>
      <c r="M271" s="64"/>
      <c r="N271" s="62"/>
    </row>
    <row r="272" spans="1:14" x14ac:dyDescent="0.2">
      <c r="A272" s="612" t="s">
        <v>476</v>
      </c>
      <c r="B272" s="613"/>
      <c r="C272" s="613"/>
      <c r="D272" s="613"/>
      <c r="E272" s="613"/>
      <c r="F272" s="613"/>
      <c r="G272" s="613"/>
      <c r="H272" s="613"/>
      <c r="I272" s="613"/>
      <c r="J272" s="613"/>
      <c r="K272" s="613"/>
      <c r="L272" s="613"/>
      <c r="M272" s="613"/>
      <c r="N272" s="21"/>
    </row>
    <row r="273" spans="1:14" x14ac:dyDescent="0.2">
      <c r="A273" s="87" t="s">
        <v>354</v>
      </c>
      <c r="N273" s="21"/>
    </row>
    <row r="274" spans="1:14" x14ac:dyDescent="0.2">
      <c r="A274" s="20" t="s">
        <v>165</v>
      </c>
      <c r="N274" s="21"/>
    </row>
    <row r="275" spans="1:14" x14ac:dyDescent="0.2">
      <c r="A275" s="20" t="s">
        <v>477</v>
      </c>
      <c r="N275" s="21"/>
    </row>
    <row r="276" spans="1:14" x14ac:dyDescent="0.2">
      <c r="A276" s="20" t="s">
        <v>478</v>
      </c>
      <c r="N276" s="21"/>
    </row>
    <row r="277" spans="1:14" x14ac:dyDescent="0.2">
      <c r="A277" s="32" t="s">
        <v>694</v>
      </c>
      <c r="B277" s="33"/>
      <c r="C277" s="33"/>
      <c r="D277" s="33"/>
      <c r="E277" s="33"/>
      <c r="F277" s="33"/>
      <c r="G277" s="33"/>
      <c r="H277" s="33"/>
      <c r="I277" s="33"/>
      <c r="J277" s="33"/>
      <c r="K277" s="33"/>
      <c r="L277" s="33"/>
      <c r="M277" s="33"/>
      <c r="N277" s="34"/>
    </row>
    <row r="279" spans="1:14" x14ac:dyDescent="0.2">
      <c r="A279" s="117" t="s">
        <v>14</v>
      </c>
      <c r="B279" s="61" t="s">
        <v>736</v>
      </c>
      <c r="C279" s="61" t="s">
        <v>15</v>
      </c>
    </row>
    <row r="280" spans="1:14" x14ac:dyDescent="0.2">
      <c r="A280" s="84" t="s">
        <v>16</v>
      </c>
      <c r="B280" s="85">
        <v>2010</v>
      </c>
      <c r="C280" s="85">
        <v>2011</v>
      </c>
      <c r="D280" s="85">
        <v>2012</v>
      </c>
      <c r="E280" s="85">
        <v>2013</v>
      </c>
      <c r="F280" s="85">
        <v>2014</v>
      </c>
      <c r="G280" s="85">
        <v>2015</v>
      </c>
      <c r="H280" s="85">
        <v>2016</v>
      </c>
      <c r="I280" s="85">
        <v>2017</v>
      </c>
      <c r="J280" s="57">
        <v>2018</v>
      </c>
      <c r="K280" s="85">
        <v>2019</v>
      </c>
      <c r="L280" s="85">
        <v>2020</v>
      </c>
      <c r="M280" s="57">
        <v>2021</v>
      </c>
      <c r="N280" s="57">
        <v>2022</v>
      </c>
    </row>
    <row r="281" spans="1:14" x14ac:dyDescent="0.2">
      <c r="A281" s="84" t="s">
        <v>17</v>
      </c>
      <c r="B281" s="54">
        <v>263</v>
      </c>
      <c r="C281" s="54">
        <v>263</v>
      </c>
      <c r="D281" s="54">
        <v>263</v>
      </c>
      <c r="E281" s="54">
        <v>263</v>
      </c>
      <c r="F281" s="54">
        <v>263</v>
      </c>
      <c r="G281" s="54">
        <v>263</v>
      </c>
      <c r="H281" s="54">
        <v>263</v>
      </c>
      <c r="I281" s="54">
        <v>313</v>
      </c>
      <c r="J281" s="53">
        <v>313</v>
      </c>
      <c r="K281" s="54">
        <v>313</v>
      </c>
      <c r="L281" s="54">
        <v>313</v>
      </c>
      <c r="M281" s="54">
        <v>313</v>
      </c>
      <c r="N281" s="54">
        <v>313</v>
      </c>
    </row>
    <row r="282" spans="1:14" x14ac:dyDescent="0.2">
      <c r="A282" s="84" t="s">
        <v>18</v>
      </c>
      <c r="B282" s="54">
        <v>393</v>
      </c>
      <c r="C282" s="54">
        <v>362</v>
      </c>
      <c r="D282" s="54">
        <v>377.49</v>
      </c>
      <c r="E282" s="54">
        <v>263</v>
      </c>
      <c r="F282" s="54">
        <v>324.99</v>
      </c>
      <c r="G282" s="53">
        <v>330.03800000000001</v>
      </c>
      <c r="H282" s="54">
        <v>341.9</v>
      </c>
      <c r="I282" s="54">
        <v>315.34399999999999</v>
      </c>
      <c r="J282" s="53">
        <v>391.9</v>
      </c>
      <c r="K282" s="54">
        <v>326.76</v>
      </c>
      <c r="L282" s="54">
        <v>350.05</v>
      </c>
      <c r="M282" s="23">
        <f>M281+0.2*K281</f>
        <v>375.6</v>
      </c>
      <c r="N282" s="23">
        <f>N281+0.2*L281</f>
        <v>375.6</v>
      </c>
    </row>
    <row r="283" spans="1:14" x14ac:dyDescent="0.2">
      <c r="A283" s="84" t="s">
        <v>19</v>
      </c>
      <c r="B283" s="54"/>
      <c r="C283" s="54"/>
      <c r="D283" s="54"/>
      <c r="E283" s="54"/>
      <c r="F283" s="54"/>
      <c r="G283" s="53"/>
      <c r="H283" s="53"/>
      <c r="I283" s="53"/>
      <c r="J283" s="53"/>
      <c r="K283" s="53"/>
      <c r="L283" s="53"/>
      <c r="M283" s="22"/>
      <c r="N283" s="22"/>
    </row>
    <row r="284" spans="1:14" x14ac:dyDescent="0.2">
      <c r="A284" s="84" t="s">
        <v>20</v>
      </c>
      <c r="B284" s="54">
        <v>294</v>
      </c>
      <c r="C284" s="54">
        <v>247.51</v>
      </c>
      <c r="D284" s="54">
        <v>315.5</v>
      </c>
      <c r="E284" s="54">
        <v>195.96199999999999</v>
      </c>
      <c r="F284" s="54">
        <v>205.89400000000001</v>
      </c>
      <c r="G284" s="53">
        <v>327.69600000000003</v>
      </c>
      <c r="H284" s="53">
        <v>222.22</v>
      </c>
      <c r="I284" s="53">
        <v>301.58</v>
      </c>
      <c r="J284" s="53">
        <v>354.85</v>
      </c>
      <c r="K284" s="53">
        <v>210.91</v>
      </c>
      <c r="L284" s="53">
        <v>88.54</v>
      </c>
      <c r="M284" s="22">
        <v>36.729999999999997</v>
      </c>
      <c r="N284" s="22"/>
    </row>
    <row r="285" spans="1:14" x14ac:dyDescent="0.2">
      <c r="A285" s="84" t="s">
        <v>21</v>
      </c>
      <c r="B285" s="54">
        <v>99</v>
      </c>
      <c r="C285" s="54">
        <v>114.49</v>
      </c>
      <c r="D285" s="54">
        <v>61.99</v>
      </c>
      <c r="E285" s="54">
        <v>67.037999999999997</v>
      </c>
      <c r="F285" s="54">
        <v>119.096</v>
      </c>
      <c r="G285" s="53">
        <v>2.3439999999999999</v>
      </c>
      <c r="H285" s="53">
        <v>119.68</v>
      </c>
      <c r="I285" s="53">
        <v>13.759999999999991</v>
      </c>
      <c r="J285" s="53">
        <v>37.049999999999997</v>
      </c>
      <c r="K285" s="53">
        <f>K282-K284</f>
        <v>115.85</v>
      </c>
      <c r="L285" s="53">
        <f>L282-L284</f>
        <v>261.51</v>
      </c>
      <c r="M285" s="53">
        <f>M282-M284</f>
        <v>338.87</v>
      </c>
      <c r="N285" s="22"/>
    </row>
    <row r="286" spans="1:14" x14ac:dyDescent="0.2">
      <c r="A286" s="234" t="s">
        <v>22</v>
      </c>
      <c r="B286" s="447">
        <v>2011</v>
      </c>
      <c r="C286" s="447">
        <v>2012</v>
      </c>
      <c r="D286" s="447">
        <v>2014</v>
      </c>
      <c r="E286" s="447">
        <v>2015</v>
      </c>
      <c r="F286" s="447">
        <v>2016</v>
      </c>
      <c r="G286" s="96">
        <v>2017</v>
      </c>
      <c r="H286" s="96">
        <v>2018</v>
      </c>
      <c r="I286" s="96">
        <v>2019</v>
      </c>
      <c r="J286" s="96">
        <v>2020</v>
      </c>
      <c r="K286" s="96">
        <v>2021</v>
      </c>
      <c r="L286" s="96">
        <v>2022</v>
      </c>
      <c r="M286" s="349">
        <v>2023</v>
      </c>
      <c r="N286" s="349">
        <v>2024</v>
      </c>
    </row>
    <row r="287" spans="1:14" x14ac:dyDescent="0.2">
      <c r="A287" s="52" t="s">
        <v>162</v>
      </c>
      <c r="B287" s="64"/>
      <c r="C287" s="64"/>
      <c r="D287" s="64"/>
      <c r="E287" s="64"/>
      <c r="F287" s="64"/>
      <c r="G287" s="64"/>
      <c r="H287" s="64"/>
      <c r="I287" s="64"/>
      <c r="J287" s="64"/>
      <c r="K287" s="64"/>
      <c r="L287" s="64"/>
      <c r="M287" s="64"/>
      <c r="N287" s="62"/>
    </row>
    <row r="288" spans="1:14" x14ac:dyDescent="0.2">
      <c r="A288" s="87" t="s">
        <v>166</v>
      </c>
      <c r="N288" s="21"/>
    </row>
    <row r="289" spans="1:14" x14ac:dyDescent="0.2">
      <c r="A289" s="87" t="s">
        <v>355</v>
      </c>
      <c r="N289" s="21"/>
    </row>
    <row r="290" spans="1:14" x14ac:dyDescent="0.2">
      <c r="A290" s="87" t="s">
        <v>356</v>
      </c>
      <c r="N290" s="21"/>
    </row>
    <row r="291" spans="1:14" x14ac:dyDescent="0.2">
      <c r="A291" s="87" t="s">
        <v>479</v>
      </c>
      <c r="N291" s="21"/>
    </row>
    <row r="292" spans="1:14" x14ac:dyDescent="0.2">
      <c r="A292" s="65" t="s">
        <v>695</v>
      </c>
      <c r="B292" s="33"/>
      <c r="C292" s="33"/>
      <c r="D292" s="33"/>
      <c r="E292" s="33"/>
      <c r="F292" s="33"/>
      <c r="G292" s="33"/>
      <c r="H292" s="33"/>
      <c r="I292" s="33"/>
      <c r="J292" s="33"/>
      <c r="K292" s="33"/>
      <c r="L292" s="33"/>
      <c r="M292" s="33"/>
      <c r="N292" s="34"/>
    </row>
    <row r="294" spans="1:14" x14ac:dyDescent="0.2">
      <c r="A294" s="117" t="s">
        <v>14</v>
      </c>
      <c r="B294" s="61" t="s">
        <v>74</v>
      </c>
      <c r="C294" s="61" t="s">
        <v>15</v>
      </c>
    </row>
    <row r="295" spans="1:14" x14ac:dyDescent="0.2">
      <c r="A295" s="236" t="s">
        <v>16</v>
      </c>
      <c r="B295" s="237">
        <v>2010</v>
      </c>
      <c r="C295" s="85">
        <v>2011</v>
      </c>
      <c r="D295" s="85">
        <v>2012</v>
      </c>
      <c r="E295" s="85">
        <v>2013</v>
      </c>
      <c r="F295" s="85">
        <v>2014</v>
      </c>
      <c r="G295" s="85">
        <v>2015</v>
      </c>
      <c r="H295" s="85">
        <v>2016</v>
      </c>
      <c r="I295" s="85">
        <v>2017</v>
      </c>
      <c r="J295" s="85">
        <v>2018</v>
      </c>
      <c r="K295" s="57">
        <v>2019</v>
      </c>
      <c r="L295" s="57">
        <v>2020</v>
      </c>
      <c r="M295" s="379">
        <v>2021</v>
      </c>
      <c r="N295" s="425">
        <v>2022</v>
      </c>
    </row>
    <row r="296" spans="1:14" x14ac:dyDescent="0.2">
      <c r="A296" s="84" t="s">
        <v>17</v>
      </c>
      <c r="B296" s="54">
        <v>5900</v>
      </c>
      <c r="C296" s="54">
        <v>5572</v>
      </c>
      <c r="D296" s="54">
        <v>5572</v>
      </c>
      <c r="E296" s="54">
        <v>5572</v>
      </c>
      <c r="F296" s="54">
        <v>5572</v>
      </c>
      <c r="G296" s="54">
        <v>5572</v>
      </c>
      <c r="H296" s="54">
        <v>5376</v>
      </c>
      <c r="I296" s="54">
        <v>5376</v>
      </c>
      <c r="J296" s="53">
        <v>5376</v>
      </c>
      <c r="K296" s="53">
        <v>5376</v>
      </c>
      <c r="L296" s="53">
        <v>4462.08</v>
      </c>
      <c r="M296" s="380">
        <v>4390.6867200000006</v>
      </c>
      <c r="N296" s="448">
        <v>4426.38</v>
      </c>
    </row>
    <row r="297" spans="1:14" x14ac:dyDescent="0.2">
      <c r="A297" s="84" t="s">
        <v>18</v>
      </c>
      <c r="B297" s="54">
        <v>9670</v>
      </c>
      <c r="C297" s="54">
        <v>8572</v>
      </c>
      <c r="D297" s="54">
        <v>10173</v>
      </c>
      <c r="E297" s="54">
        <v>8502</v>
      </c>
      <c r="F297" s="54">
        <v>10173.6</v>
      </c>
      <c r="G297" s="54">
        <v>10173.6</v>
      </c>
      <c r="H297" s="54">
        <v>7182.4</v>
      </c>
      <c r="I297" s="54">
        <v>7182.4</v>
      </c>
      <c r="J297" s="54">
        <v>7182.4</v>
      </c>
      <c r="K297" s="53">
        <v>7182.4</v>
      </c>
      <c r="L297" s="53">
        <f>L296+0.15*J296+600</f>
        <v>5868.48</v>
      </c>
      <c r="M297" s="380">
        <f>M296+0.1*K296+600</f>
        <v>5528.286720000001</v>
      </c>
      <c r="N297" s="448">
        <f>N296+0.1*L296+600</f>
        <v>5472.5879999999997</v>
      </c>
    </row>
    <row r="298" spans="1:14" x14ac:dyDescent="0.2">
      <c r="A298" s="84" t="s">
        <v>19</v>
      </c>
      <c r="B298" s="84"/>
      <c r="C298" s="84"/>
      <c r="D298" s="84"/>
      <c r="E298" s="84"/>
      <c r="F298" s="84"/>
      <c r="G298" s="22"/>
      <c r="H298" s="22"/>
      <c r="I298" s="22"/>
      <c r="J298" s="58"/>
      <c r="K298" s="22"/>
      <c r="L298" s="22"/>
      <c r="M298" s="391"/>
      <c r="N298" s="439"/>
    </row>
    <row r="299" spans="1:14" x14ac:dyDescent="0.2">
      <c r="A299" s="84" t="s">
        <v>20</v>
      </c>
      <c r="B299" s="54">
        <v>5489</v>
      </c>
      <c r="C299" s="54">
        <v>3720.78</v>
      </c>
      <c r="D299" s="54">
        <v>3231</v>
      </c>
      <c r="E299" s="54">
        <v>2371.0340000000001</v>
      </c>
      <c r="F299" s="54">
        <v>2231.75</v>
      </c>
      <c r="G299" s="53">
        <v>4941.848</v>
      </c>
      <c r="H299" s="53">
        <v>5852.39</v>
      </c>
      <c r="I299" s="53">
        <v>5514.3580000000002</v>
      </c>
      <c r="J299" s="53">
        <v>4823.0860000000002</v>
      </c>
      <c r="K299" s="53">
        <v>5718.49</v>
      </c>
      <c r="L299" s="53">
        <v>3613.58</v>
      </c>
      <c r="M299" s="380">
        <v>1638.49</v>
      </c>
      <c r="N299" s="448"/>
    </row>
    <row r="300" spans="1:14" x14ac:dyDescent="0.2">
      <c r="A300" s="84" t="s">
        <v>21</v>
      </c>
      <c r="B300" s="54">
        <v>4181</v>
      </c>
      <c r="C300" s="54">
        <v>4581.22</v>
      </c>
      <c r="D300" s="54">
        <v>6942</v>
      </c>
      <c r="E300" s="54">
        <v>6130.6959999999999</v>
      </c>
      <c r="F300" s="54">
        <v>7941.85</v>
      </c>
      <c r="G300" s="53">
        <v>5232.116</v>
      </c>
      <c r="H300" s="53">
        <v>1330.01</v>
      </c>
      <c r="I300" s="53">
        <v>1449.932</v>
      </c>
      <c r="J300" s="53">
        <v>2359.3139999999999</v>
      </c>
      <c r="K300" s="53">
        <f>K297-K299</f>
        <v>1463.9099999999999</v>
      </c>
      <c r="L300" s="53">
        <f>L297-L299</f>
        <v>2254.8999999999996</v>
      </c>
      <c r="M300" s="53">
        <f>M297-M299</f>
        <v>3889.7967200000012</v>
      </c>
      <c r="N300" s="448"/>
    </row>
    <row r="301" spans="1:14" x14ac:dyDescent="0.2">
      <c r="A301" s="234" t="s">
        <v>22</v>
      </c>
      <c r="B301" s="234">
        <v>2012</v>
      </c>
      <c r="C301" s="234">
        <v>2013</v>
      </c>
      <c r="D301" s="234">
        <v>2014</v>
      </c>
      <c r="E301" s="234">
        <v>2015</v>
      </c>
      <c r="F301" s="234">
        <v>2016</v>
      </c>
      <c r="G301" s="36">
        <v>2017</v>
      </c>
      <c r="H301" s="36">
        <v>2018</v>
      </c>
      <c r="I301" s="36">
        <v>2019</v>
      </c>
      <c r="J301" s="36">
        <v>2020</v>
      </c>
      <c r="K301" s="36">
        <v>2021</v>
      </c>
      <c r="L301" s="36">
        <v>2022</v>
      </c>
      <c r="M301" s="36"/>
      <c r="N301" s="440"/>
    </row>
    <row r="302" spans="1:14" x14ac:dyDescent="0.2">
      <c r="A302" s="52" t="s">
        <v>162</v>
      </c>
      <c r="B302" s="64"/>
      <c r="C302" s="64"/>
      <c r="D302" s="64"/>
      <c r="E302" s="64"/>
      <c r="F302" s="64"/>
      <c r="G302" s="64"/>
      <c r="H302" s="64"/>
      <c r="I302" s="64"/>
      <c r="J302" s="64"/>
      <c r="K302" s="64"/>
      <c r="L302" s="64"/>
      <c r="M302" s="64"/>
      <c r="N302" s="450"/>
    </row>
    <row r="303" spans="1:14" x14ac:dyDescent="0.2">
      <c r="A303" s="87" t="s">
        <v>167</v>
      </c>
      <c r="N303" s="21"/>
    </row>
    <row r="304" spans="1:14" x14ac:dyDescent="0.2">
      <c r="A304" s="87" t="s">
        <v>168</v>
      </c>
      <c r="N304" s="21"/>
    </row>
    <row r="305" spans="1:14" x14ac:dyDescent="0.2">
      <c r="A305" s="87" t="s">
        <v>480</v>
      </c>
      <c r="N305" s="21"/>
    </row>
    <row r="306" spans="1:14" x14ac:dyDescent="0.2">
      <c r="A306" s="449" t="s">
        <v>660</v>
      </c>
      <c r="N306" s="21"/>
    </row>
    <row r="307" spans="1:14" x14ac:dyDescent="0.2">
      <c r="A307" s="451" t="s">
        <v>696</v>
      </c>
      <c r="B307" s="33"/>
      <c r="C307" s="33"/>
      <c r="D307" s="33"/>
      <c r="E307" s="33"/>
      <c r="F307" s="33"/>
      <c r="G307" s="33"/>
      <c r="H307" s="33"/>
      <c r="I307" s="33"/>
      <c r="J307" s="33"/>
      <c r="K307" s="33"/>
      <c r="L307" s="33"/>
      <c r="M307" s="33"/>
      <c r="N307" s="34"/>
    </row>
    <row r="309" spans="1:14" x14ac:dyDescent="0.2">
      <c r="A309" s="117" t="s">
        <v>14</v>
      </c>
      <c r="B309" s="61" t="s">
        <v>82</v>
      </c>
      <c r="C309" s="61" t="s">
        <v>15</v>
      </c>
    </row>
    <row r="310" spans="1:14" x14ac:dyDescent="0.2">
      <c r="A310" s="236" t="s">
        <v>16</v>
      </c>
      <c r="B310" s="237">
        <v>2010</v>
      </c>
      <c r="C310" s="85">
        <v>2011</v>
      </c>
      <c r="D310" s="85">
        <v>2012</v>
      </c>
      <c r="E310" s="85">
        <v>2013</v>
      </c>
      <c r="F310" s="85">
        <v>2014</v>
      </c>
      <c r="G310" s="85">
        <v>2015</v>
      </c>
      <c r="H310" s="85">
        <v>2016</v>
      </c>
      <c r="I310" s="85">
        <v>2017</v>
      </c>
      <c r="J310" s="85">
        <v>2018</v>
      </c>
      <c r="K310" s="57">
        <v>2019</v>
      </c>
      <c r="L310" s="57">
        <v>2020</v>
      </c>
      <c r="M310" s="57">
        <v>2021</v>
      </c>
      <c r="N310" s="57">
        <v>2022</v>
      </c>
    </row>
    <row r="311" spans="1:14" x14ac:dyDescent="0.2">
      <c r="A311" s="84" t="s">
        <v>17</v>
      </c>
      <c r="B311" s="54">
        <v>100.5</v>
      </c>
      <c r="C311" s="54">
        <v>100.5</v>
      </c>
      <c r="D311" s="54">
        <v>100.5</v>
      </c>
      <c r="E311" s="54">
        <v>45</v>
      </c>
      <c r="F311" s="54">
        <v>45</v>
      </c>
      <c r="G311" s="54">
        <v>45</v>
      </c>
      <c r="H311" s="54">
        <v>45</v>
      </c>
      <c r="I311" s="54">
        <v>45</v>
      </c>
      <c r="J311" s="53">
        <v>45</v>
      </c>
      <c r="K311" s="53">
        <v>45</v>
      </c>
      <c r="L311" s="53">
        <v>37.9</v>
      </c>
      <c r="M311" s="53">
        <v>37.9</v>
      </c>
      <c r="N311" s="53">
        <v>37.9</v>
      </c>
    </row>
    <row r="312" spans="1:14" x14ac:dyDescent="0.2">
      <c r="A312" s="84" t="s">
        <v>18</v>
      </c>
      <c r="B312" s="54">
        <v>100.5</v>
      </c>
      <c r="C312" s="54">
        <v>100.5</v>
      </c>
      <c r="D312" s="54">
        <v>100.5</v>
      </c>
      <c r="E312" s="54">
        <v>45</v>
      </c>
      <c r="F312" s="54">
        <v>45</v>
      </c>
      <c r="G312" s="54">
        <v>45</v>
      </c>
      <c r="H312" s="54">
        <v>50.34</v>
      </c>
      <c r="I312" s="54">
        <v>45.585000000000001</v>
      </c>
      <c r="J312" s="54">
        <v>45.628999999999998</v>
      </c>
      <c r="K312" s="53">
        <v>50.27</v>
      </c>
      <c r="L312" s="53">
        <f>L311+J315</f>
        <v>41.338000000000001</v>
      </c>
      <c r="M312" s="53">
        <f>M311+K315</f>
        <v>41.77</v>
      </c>
      <c r="N312" s="53"/>
    </row>
    <row r="313" spans="1:14" x14ac:dyDescent="0.2">
      <c r="A313" s="84" t="s">
        <v>19</v>
      </c>
      <c r="B313" s="84"/>
      <c r="C313" s="84"/>
      <c r="D313" s="84"/>
      <c r="E313" s="84"/>
      <c r="F313" s="84"/>
      <c r="G313" s="22"/>
      <c r="H313" s="22"/>
      <c r="I313" s="22"/>
      <c r="J313" s="22"/>
      <c r="K313" s="22"/>
      <c r="L313" s="22"/>
      <c r="M313" s="22"/>
      <c r="N313" s="22"/>
    </row>
    <row r="314" spans="1:14" x14ac:dyDescent="0.2">
      <c r="A314" s="84" t="s">
        <v>20</v>
      </c>
      <c r="B314" s="54">
        <v>77</v>
      </c>
      <c r="C314" s="54">
        <v>99.5</v>
      </c>
      <c r="D314" s="54">
        <v>35</v>
      </c>
      <c r="E314" s="54">
        <v>44.86</v>
      </c>
      <c r="F314" s="54">
        <v>39.659999999999997</v>
      </c>
      <c r="G314" s="53">
        <v>44.414999999999999</v>
      </c>
      <c r="H314" s="53">
        <v>49.710999999999999</v>
      </c>
      <c r="I314" s="53">
        <v>40.31</v>
      </c>
      <c r="J314" s="53">
        <v>42.191000000000003</v>
      </c>
      <c r="K314" s="53">
        <v>46.4</v>
      </c>
      <c r="L314" s="53">
        <v>37.24</v>
      </c>
      <c r="M314" s="53">
        <v>4.03</v>
      </c>
      <c r="N314" s="53"/>
    </row>
    <row r="315" spans="1:14" x14ac:dyDescent="0.2">
      <c r="A315" s="84" t="s">
        <v>21</v>
      </c>
      <c r="B315" s="54">
        <v>23.5</v>
      </c>
      <c r="C315" s="54">
        <v>1</v>
      </c>
      <c r="D315" s="54">
        <v>65.5</v>
      </c>
      <c r="E315" s="54">
        <v>0.14199999999999999</v>
      </c>
      <c r="F315" s="54">
        <v>5.34</v>
      </c>
      <c r="G315" s="53">
        <v>0.58499999999999996</v>
      </c>
      <c r="H315" s="53">
        <v>0.629</v>
      </c>
      <c r="I315" s="53">
        <v>5.269999999999996</v>
      </c>
      <c r="J315" s="53">
        <v>3.4380000000000002</v>
      </c>
      <c r="K315" s="53">
        <f>K312-K314</f>
        <v>3.8700000000000045</v>
      </c>
      <c r="L315" s="53">
        <f>L312-L314</f>
        <v>4.097999999999999</v>
      </c>
      <c r="M315" s="53">
        <f>M312-M314</f>
        <v>37.74</v>
      </c>
      <c r="N315" s="53"/>
    </row>
    <row r="316" spans="1:14" x14ac:dyDescent="0.2">
      <c r="A316" s="234" t="s">
        <v>22</v>
      </c>
      <c r="B316" s="235" t="s">
        <v>169</v>
      </c>
      <c r="C316" s="235" t="s">
        <v>169</v>
      </c>
      <c r="D316" s="235" t="s">
        <v>169</v>
      </c>
      <c r="E316" s="235">
        <v>2015</v>
      </c>
      <c r="F316" s="235">
        <v>2016</v>
      </c>
      <c r="G316" s="63">
        <v>2017</v>
      </c>
      <c r="H316" s="63">
        <v>2018</v>
      </c>
      <c r="I316" s="63">
        <v>2019</v>
      </c>
      <c r="J316" s="63">
        <v>2020</v>
      </c>
      <c r="K316" s="63">
        <v>2021</v>
      </c>
      <c r="L316" s="235"/>
      <c r="M316" s="235"/>
      <c r="N316" s="235"/>
    </row>
    <row r="317" spans="1:14" x14ac:dyDescent="0.2">
      <c r="A317" s="52" t="s">
        <v>162</v>
      </c>
      <c r="B317" s="64"/>
      <c r="C317" s="64"/>
      <c r="D317" s="64"/>
      <c r="E317" s="64"/>
      <c r="F317" s="64"/>
      <c r="G317" s="64"/>
      <c r="H317" s="64"/>
      <c r="I317" s="64"/>
      <c r="J317" s="64"/>
      <c r="K317" s="64"/>
      <c r="L317" s="64"/>
      <c r="M317" s="64"/>
      <c r="N317" s="62"/>
    </row>
    <row r="318" spans="1:14" x14ac:dyDescent="0.2">
      <c r="A318" s="20" t="s">
        <v>697</v>
      </c>
      <c r="N318" s="21"/>
    </row>
    <row r="319" spans="1:14" x14ac:dyDescent="0.2">
      <c r="A319" s="87" t="s">
        <v>170</v>
      </c>
      <c r="N319" s="21"/>
    </row>
    <row r="320" spans="1:14" x14ac:dyDescent="0.2">
      <c r="A320" s="87" t="s">
        <v>357</v>
      </c>
      <c r="N320" s="21"/>
    </row>
    <row r="321" spans="1:14" x14ac:dyDescent="0.2">
      <c r="A321" s="20" t="s">
        <v>358</v>
      </c>
      <c r="N321" s="21"/>
    </row>
    <row r="322" spans="1:14" x14ac:dyDescent="0.2">
      <c r="A322" s="32" t="s">
        <v>481</v>
      </c>
      <c r="B322" s="33"/>
      <c r="C322" s="33"/>
      <c r="D322" s="33"/>
      <c r="E322" s="33"/>
      <c r="F322" s="33"/>
      <c r="G322" s="33"/>
      <c r="H322" s="33"/>
      <c r="I322" s="33"/>
      <c r="J322" s="33"/>
      <c r="K322" s="33"/>
      <c r="L322" s="33"/>
      <c r="M322" s="33"/>
      <c r="N322" s="34"/>
    </row>
    <row r="324" spans="1:14" x14ac:dyDescent="0.2">
      <c r="A324" s="117" t="s">
        <v>14</v>
      </c>
      <c r="B324" s="61" t="s">
        <v>87</v>
      </c>
      <c r="C324" s="61" t="s">
        <v>15</v>
      </c>
    </row>
    <row r="325" spans="1:14" x14ac:dyDescent="0.2">
      <c r="A325" s="236" t="s">
        <v>16</v>
      </c>
      <c r="B325" s="237">
        <v>2010</v>
      </c>
      <c r="C325" s="85">
        <v>2011</v>
      </c>
      <c r="D325" s="85">
        <v>2012</v>
      </c>
      <c r="E325" s="85">
        <v>2013</v>
      </c>
      <c r="F325" s="85">
        <v>2014</v>
      </c>
      <c r="G325" s="85">
        <v>2015</v>
      </c>
      <c r="H325" s="85">
        <v>2016</v>
      </c>
      <c r="I325" s="85">
        <v>2017</v>
      </c>
      <c r="J325" s="85">
        <v>2018</v>
      </c>
      <c r="K325" s="57">
        <v>2019</v>
      </c>
      <c r="L325" s="57">
        <v>2020</v>
      </c>
      <c r="M325" s="57">
        <v>2021</v>
      </c>
      <c r="N325" s="57">
        <v>2022</v>
      </c>
    </row>
    <row r="326" spans="1:14" x14ac:dyDescent="0.2">
      <c r="A326" s="84" t="s">
        <v>17</v>
      </c>
      <c r="B326" s="54">
        <v>9.9</v>
      </c>
      <c r="C326" s="54">
        <v>9.9</v>
      </c>
      <c r="D326" s="54">
        <v>9.9</v>
      </c>
      <c r="E326" s="54">
        <v>10</v>
      </c>
      <c r="F326" s="54">
        <v>10</v>
      </c>
      <c r="G326" s="54">
        <v>10</v>
      </c>
      <c r="H326" s="53">
        <v>10</v>
      </c>
      <c r="I326" s="53">
        <v>10</v>
      </c>
      <c r="J326" s="53">
        <v>10</v>
      </c>
      <c r="K326" s="53">
        <v>10</v>
      </c>
      <c r="L326" s="53">
        <v>10</v>
      </c>
      <c r="M326" s="53">
        <v>10</v>
      </c>
      <c r="N326" s="53">
        <v>10</v>
      </c>
    </row>
    <row r="327" spans="1:14" x14ac:dyDescent="0.2">
      <c r="A327" s="84" t="s">
        <v>18</v>
      </c>
      <c r="B327" s="54">
        <v>9.9</v>
      </c>
      <c r="C327" s="54">
        <v>9.9</v>
      </c>
      <c r="D327" s="54">
        <v>9.9</v>
      </c>
      <c r="E327" s="54">
        <v>10</v>
      </c>
      <c r="F327" s="54">
        <v>10</v>
      </c>
      <c r="G327" s="54">
        <v>12</v>
      </c>
      <c r="H327" s="53">
        <v>12</v>
      </c>
      <c r="I327" s="53">
        <v>12</v>
      </c>
      <c r="J327" s="54">
        <v>12</v>
      </c>
      <c r="K327" s="53">
        <v>12</v>
      </c>
      <c r="L327" s="53">
        <f>L326*1.2</f>
        <v>12</v>
      </c>
      <c r="M327" s="53">
        <f>M326*1.2</f>
        <v>12</v>
      </c>
      <c r="N327" s="53"/>
    </row>
    <row r="328" spans="1:14" x14ac:dyDescent="0.2">
      <c r="A328" s="84" t="s">
        <v>19</v>
      </c>
      <c r="B328" s="84"/>
      <c r="C328" s="84"/>
      <c r="D328" s="84"/>
      <c r="E328" s="84"/>
      <c r="F328" s="84"/>
      <c r="G328" s="22"/>
      <c r="H328" s="22"/>
      <c r="I328" s="22"/>
      <c r="J328" s="22"/>
      <c r="K328" s="22"/>
      <c r="L328" s="22"/>
      <c r="M328" s="22"/>
      <c r="N328" s="22"/>
    </row>
    <row r="329" spans="1:14" x14ac:dyDescent="0.2">
      <c r="A329" s="84" t="s">
        <v>20</v>
      </c>
      <c r="B329" s="54">
        <v>8</v>
      </c>
      <c r="C329" s="54">
        <v>0.73</v>
      </c>
      <c r="D329" s="54">
        <v>0.21</v>
      </c>
      <c r="E329" s="54">
        <v>2.1179999999999999</v>
      </c>
      <c r="F329" s="54">
        <v>0</v>
      </c>
      <c r="G329" s="53">
        <v>0.34799999999999998</v>
      </c>
      <c r="H329" s="53">
        <v>0.26300000000000001</v>
      </c>
      <c r="I329" s="53">
        <v>2.5299999999999998</v>
      </c>
      <c r="J329" s="53">
        <v>3.23</v>
      </c>
      <c r="K329" s="53">
        <v>2.88</v>
      </c>
      <c r="L329" s="53">
        <v>1.81</v>
      </c>
      <c r="M329" s="53">
        <v>1.57</v>
      </c>
      <c r="N329" s="53"/>
    </row>
    <row r="330" spans="1:14" x14ac:dyDescent="0.2">
      <c r="A330" s="84" t="s">
        <v>21</v>
      </c>
      <c r="B330" s="54">
        <v>1.9</v>
      </c>
      <c r="C330" s="54">
        <v>9.17</v>
      </c>
      <c r="D330" s="54">
        <v>9.69</v>
      </c>
      <c r="E330" s="54">
        <v>7.8819999999999997</v>
      </c>
      <c r="F330" s="54">
        <v>10</v>
      </c>
      <c r="G330" s="53">
        <v>11.651999999999999</v>
      </c>
      <c r="H330" s="53">
        <v>11.737</v>
      </c>
      <c r="I330" s="53">
        <v>9.4700000000000006</v>
      </c>
      <c r="J330" s="53">
        <v>8.77</v>
      </c>
      <c r="K330" s="53">
        <f>K327-K329</f>
        <v>9.120000000000001</v>
      </c>
      <c r="L330" s="53">
        <f>L327-L329</f>
        <v>10.19</v>
      </c>
      <c r="M330" s="53">
        <f>M327-M329</f>
        <v>10.43</v>
      </c>
      <c r="N330" s="53"/>
    </row>
    <row r="331" spans="1:14" x14ac:dyDescent="0.2">
      <c r="A331" s="234" t="s">
        <v>22</v>
      </c>
      <c r="B331" s="235" t="s">
        <v>169</v>
      </c>
      <c r="C331" s="235" t="s">
        <v>169</v>
      </c>
      <c r="D331" s="235" t="s">
        <v>169</v>
      </c>
      <c r="E331" s="235">
        <v>2015</v>
      </c>
      <c r="F331" s="235">
        <v>2016</v>
      </c>
      <c r="G331" s="63">
        <v>2017</v>
      </c>
      <c r="H331" s="63">
        <v>2018</v>
      </c>
      <c r="I331" s="63">
        <v>2019</v>
      </c>
      <c r="J331" s="63">
        <v>2020</v>
      </c>
      <c r="K331" s="63">
        <v>2021</v>
      </c>
      <c r="L331" s="235"/>
      <c r="M331" s="235"/>
      <c r="N331" s="235"/>
    </row>
    <row r="332" spans="1:14" x14ac:dyDescent="0.2">
      <c r="A332" s="52" t="s">
        <v>162</v>
      </c>
      <c r="B332" s="64"/>
      <c r="C332" s="64"/>
      <c r="D332" s="64"/>
      <c r="E332" s="64"/>
      <c r="F332" s="64"/>
      <c r="G332" s="64"/>
      <c r="H332" s="64"/>
      <c r="I332" s="64"/>
      <c r="J332" s="64"/>
      <c r="K332" s="64"/>
      <c r="L332" s="64"/>
      <c r="M332" s="64"/>
      <c r="N332" s="62"/>
    </row>
    <row r="333" spans="1:14" x14ac:dyDescent="0.2">
      <c r="A333" s="20" t="s">
        <v>698</v>
      </c>
      <c r="N333" s="21"/>
    </row>
    <row r="334" spans="1:14" x14ac:dyDescent="0.2">
      <c r="A334" s="20" t="s">
        <v>171</v>
      </c>
      <c r="N334" s="21"/>
    </row>
    <row r="335" spans="1:14" x14ac:dyDescent="0.2">
      <c r="A335" s="20" t="s">
        <v>359</v>
      </c>
      <c r="N335" s="21"/>
    </row>
    <row r="336" spans="1:14" x14ac:dyDescent="0.2">
      <c r="A336" s="32" t="s">
        <v>482</v>
      </c>
      <c r="B336" s="33"/>
      <c r="C336" s="33"/>
      <c r="D336" s="33"/>
      <c r="E336" s="33"/>
      <c r="F336" s="33"/>
      <c r="G336" s="33"/>
      <c r="H336" s="33"/>
      <c r="I336" s="33"/>
      <c r="J336" s="33"/>
      <c r="K336" s="33"/>
      <c r="L336" s="33"/>
      <c r="M336" s="33"/>
      <c r="N336" s="34"/>
    </row>
    <row r="338" spans="1:9" x14ac:dyDescent="0.2">
      <c r="A338" s="205" t="s">
        <v>12</v>
      </c>
      <c r="B338" s="206" t="s">
        <v>93</v>
      </c>
    </row>
    <row r="339" spans="1:9" x14ac:dyDescent="0.2">
      <c r="A339" s="117" t="s">
        <v>14</v>
      </c>
      <c r="B339" s="61" t="s">
        <v>709</v>
      </c>
      <c r="C339" s="42" t="s">
        <v>15</v>
      </c>
    </row>
    <row r="340" spans="1:9" x14ac:dyDescent="0.2">
      <c r="A340" s="52" t="s">
        <v>16</v>
      </c>
      <c r="B340" s="57">
        <v>2015</v>
      </c>
      <c r="C340" s="105">
        <v>2016</v>
      </c>
      <c r="D340" s="57">
        <v>2017</v>
      </c>
      <c r="E340" s="142">
        <v>2018</v>
      </c>
      <c r="F340" s="142">
        <v>2019</v>
      </c>
      <c r="G340" s="57">
        <v>2020</v>
      </c>
      <c r="H340" s="57">
        <v>2021</v>
      </c>
      <c r="I340" s="379">
        <v>2022</v>
      </c>
    </row>
    <row r="341" spans="1:9" x14ac:dyDescent="0.2">
      <c r="A341" s="52" t="s">
        <v>17</v>
      </c>
      <c r="B341" s="53">
        <v>3271.7</v>
      </c>
      <c r="C341" s="106">
        <v>3271.7</v>
      </c>
      <c r="D341" s="53">
        <v>3271.7</v>
      </c>
      <c r="E341" s="107">
        <v>3926</v>
      </c>
      <c r="F341" s="107">
        <v>3926</v>
      </c>
      <c r="G341" s="53">
        <v>3926</v>
      </c>
      <c r="H341" s="53">
        <v>4416.8999999999996</v>
      </c>
      <c r="I341" s="380">
        <v>4416.8999999999996</v>
      </c>
    </row>
    <row r="342" spans="1:9" x14ac:dyDescent="0.2">
      <c r="A342" s="52" t="s">
        <v>18</v>
      </c>
      <c r="B342" s="53">
        <v>3789.62</v>
      </c>
      <c r="C342" s="106">
        <v>3789.62</v>
      </c>
      <c r="D342" s="53">
        <v>3789.62</v>
      </c>
      <c r="E342" s="107">
        <v>4281.62</v>
      </c>
      <c r="F342" s="107">
        <v>4543.9250000000002</v>
      </c>
      <c r="G342" s="107">
        <v>4707.5</v>
      </c>
      <c r="H342" s="107">
        <f>H341+0.25*F341-200</f>
        <v>5198.3999999999996</v>
      </c>
      <c r="I342" s="381">
        <f>I341+0.25*G341-200</f>
        <v>5198.3999999999996</v>
      </c>
    </row>
    <row r="343" spans="1:9" x14ac:dyDescent="0.2">
      <c r="A343" s="52" t="s">
        <v>19</v>
      </c>
      <c r="B343" s="238" t="s">
        <v>94</v>
      </c>
      <c r="C343" s="238" t="s">
        <v>94</v>
      </c>
      <c r="D343" s="238" t="s">
        <v>94</v>
      </c>
      <c r="E343" s="239" t="s">
        <v>95</v>
      </c>
      <c r="F343" s="239" t="s">
        <v>417</v>
      </c>
      <c r="G343" s="239" t="s">
        <v>418</v>
      </c>
      <c r="H343" s="239" t="s">
        <v>485</v>
      </c>
      <c r="I343" s="382" t="s">
        <v>485</v>
      </c>
    </row>
    <row r="344" spans="1:9" x14ac:dyDescent="0.2">
      <c r="A344" s="52" t="s">
        <v>20</v>
      </c>
      <c r="B344" s="53">
        <v>2857</v>
      </c>
      <c r="C344" s="106">
        <v>3134</v>
      </c>
      <c r="D344" s="53">
        <v>2385</v>
      </c>
      <c r="E344" s="53">
        <v>2926</v>
      </c>
      <c r="F344" s="107">
        <v>2770</v>
      </c>
      <c r="G344" s="53">
        <v>3549</v>
      </c>
      <c r="H344" s="53">
        <v>2896</v>
      </c>
      <c r="I344" s="380"/>
    </row>
    <row r="345" spans="1:9" x14ac:dyDescent="0.2">
      <c r="A345" s="52" t="s">
        <v>21</v>
      </c>
      <c r="B345" s="53">
        <v>932.62</v>
      </c>
      <c r="C345" s="106">
        <v>655.62</v>
      </c>
      <c r="D345" s="53">
        <v>1404.62</v>
      </c>
      <c r="E345" s="53">
        <v>1355.62</v>
      </c>
      <c r="F345" s="107">
        <v>1773.9250000000002</v>
      </c>
      <c r="G345" s="107">
        <f>G342-G344</f>
        <v>1158.5</v>
      </c>
      <c r="H345" s="107">
        <f>H342-H344</f>
        <v>2302.3999999999996</v>
      </c>
      <c r="I345" s="380"/>
    </row>
    <row r="346" spans="1:9" x14ac:dyDescent="0.2">
      <c r="A346" s="55" t="s">
        <v>22</v>
      </c>
      <c r="B346" s="63">
        <v>2017</v>
      </c>
      <c r="C346" s="94">
        <v>2018</v>
      </c>
      <c r="D346" s="63">
        <v>2019</v>
      </c>
      <c r="E346" s="95">
        <v>2020</v>
      </c>
      <c r="F346" s="95">
        <v>2021</v>
      </c>
      <c r="G346" s="63">
        <v>2022</v>
      </c>
      <c r="H346" s="63">
        <v>2023</v>
      </c>
      <c r="I346" s="383">
        <v>2024</v>
      </c>
    </row>
    <row r="347" spans="1:9" x14ac:dyDescent="0.2">
      <c r="A347" s="55" t="s">
        <v>23</v>
      </c>
      <c r="B347" s="30"/>
      <c r="C347" s="30"/>
      <c r="D347" s="30"/>
      <c r="E347" s="30"/>
      <c r="F347" s="30"/>
      <c r="G347" s="30"/>
      <c r="H347" s="31"/>
      <c r="I347" s="384"/>
    </row>
    <row r="348" spans="1:9" x14ac:dyDescent="0.2">
      <c r="A348" s="55" t="s">
        <v>96</v>
      </c>
      <c r="B348" s="30"/>
      <c r="C348" s="30"/>
      <c r="D348" s="30"/>
      <c r="E348" s="30"/>
      <c r="F348" s="30"/>
      <c r="G348" s="30"/>
      <c r="H348" s="30"/>
      <c r="I348" s="384"/>
    </row>
    <row r="349" spans="1:9" x14ac:dyDescent="0.2">
      <c r="A349" s="574" t="s">
        <v>419</v>
      </c>
      <c r="B349" s="575"/>
      <c r="C349" s="575"/>
      <c r="D349" s="575"/>
      <c r="E349" s="575"/>
      <c r="F349" s="575"/>
      <c r="G349" s="575"/>
      <c r="I349" s="21"/>
    </row>
    <row r="350" spans="1:9" x14ac:dyDescent="0.2">
      <c r="A350" s="20" t="s">
        <v>360</v>
      </c>
      <c r="I350" s="21"/>
    </row>
    <row r="351" spans="1:9" x14ac:dyDescent="0.2">
      <c r="A351" s="20" t="s">
        <v>420</v>
      </c>
      <c r="I351" s="21"/>
    </row>
    <row r="352" spans="1:9" x14ac:dyDescent="0.2">
      <c r="A352" s="20" t="s">
        <v>483</v>
      </c>
      <c r="I352" s="21"/>
    </row>
    <row r="353" spans="1:9" x14ac:dyDescent="0.2">
      <c r="A353" s="20" t="s">
        <v>484</v>
      </c>
      <c r="I353" s="21"/>
    </row>
    <row r="354" spans="1:9" x14ac:dyDescent="0.2">
      <c r="A354" s="610" t="s">
        <v>654</v>
      </c>
      <c r="B354" s="611"/>
      <c r="C354" s="611"/>
      <c r="D354" s="611"/>
      <c r="E354" s="611"/>
      <c r="F354" s="611"/>
      <c r="G354" s="611"/>
      <c r="H354" s="33"/>
      <c r="I354" s="34"/>
    </row>
    <row r="356" spans="1:9" x14ac:dyDescent="0.2">
      <c r="A356" s="117" t="s">
        <v>14</v>
      </c>
      <c r="B356" s="61" t="s">
        <v>732</v>
      </c>
      <c r="C356" s="42" t="s">
        <v>15</v>
      </c>
    </row>
    <row r="357" spans="1:9" x14ac:dyDescent="0.2">
      <c r="A357" s="52" t="s">
        <v>16</v>
      </c>
      <c r="B357" s="57">
        <v>2015</v>
      </c>
      <c r="C357" s="105">
        <v>2016</v>
      </c>
      <c r="D357" s="57">
        <v>2017</v>
      </c>
      <c r="E357" s="142">
        <v>2018</v>
      </c>
      <c r="F357" s="142">
        <v>2019</v>
      </c>
      <c r="G357" s="57">
        <v>2020</v>
      </c>
      <c r="H357" s="57">
        <v>2021</v>
      </c>
      <c r="I357" s="57">
        <v>2022</v>
      </c>
    </row>
    <row r="358" spans="1:9" x14ac:dyDescent="0.2">
      <c r="A358" s="52" t="s">
        <v>17</v>
      </c>
      <c r="B358" s="53">
        <v>9400</v>
      </c>
      <c r="C358" s="106">
        <v>9400</v>
      </c>
      <c r="D358" s="53">
        <v>9400</v>
      </c>
      <c r="E358" s="107">
        <v>9400</v>
      </c>
      <c r="F358" s="107">
        <v>9400</v>
      </c>
      <c r="G358" s="53">
        <v>9400</v>
      </c>
      <c r="H358" s="53">
        <v>9400</v>
      </c>
      <c r="I358" s="53">
        <v>9400</v>
      </c>
    </row>
    <row r="359" spans="1:9" x14ac:dyDescent="0.2">
      <c r="A359" s="52" t="s">
        <v>18</v>
      </c>
      <c r="B359" s="53">
        <v>11506.75</v>
      </c>
      <c r="C359" s="106">
        <v>11750</v>
      </c>
      <c r="D359" s="53">
        <v>11750</v>
      </c>
      <c r="E359" s="107">
        <v>11750</v>
      </c>
      <c r="F359" s="107">
        <f>F358*1.25</f>
        <v>11750</v>
      </c>
      <c r="G359" s="53">
        <f>G358*1.25-200</f>
        <v>11550</v>
      </c>
      <c r="H359" s="53">
        <f>H358+F362</f>
        <v>11524</v>
      </c>
      <c r="I359" s="53">
        <f>I358+G362+145</f>
        <v>11244</v>
      </c>
    </row>
    <row r="360" spans="1:9" x14ac:dyDescent="0.2">
      <c r="A360" s="52" t="s">
        <v>19</v>
      </c>
      <c r="B360" s="238" t="s">
        <v>97</v>
      </c>
      <c r="C360" s="238" t="s">
        <v>98</v>
      </c>
      <c r="D360" s="238" t="s">
        <v>98</v>
      </c>
      <c r="E360" s="239" t="s">
        <v>98</v>
      </c>
      <c r="F360" s="239" t="s">
        <v>98</v>
      </c>
      <c r="G360" s="240" t="s">
        <v>362</v>
      </c>
      <c r="H360" s="240" t="s">
        <v>487</v>
      </c>
      <c r="I360" s="240" t="s">
        <v>632</v>
      </c>
    </row>
    <row r="361" spans="1:9" x14ac:dyDescent="0.2">
      <c r="A361" s="52" t="s">
        <v>20</v>
      </c>
      <c r="B361" s="53">
        <v>7157</v>
      </c>
      <c r="C361" s="106">
        <v>8907</v>
      </c>
      <c r="D361" s="53">
        <v>9090</v>
      </c>
      <c r="E361" s="53">
        <v>9227</v>
      </c>
      <c r="F361" s="107">
        <v>9626</v>
      </c>
      <c r="G361" s="53">
        <v>9851</v>
      </c>
      <c r="H361" s="53"/>
      <c r="I361" s="53"/>
    </row>
    <row r="362" spans="1:9" x14ac:dyDescent="0.2">
      <c r="A362" s="52" t="s">
        <v>21</v>
      </c>
      <c r="B362" s="53">
        <v>4349.75</v>
      </c>
      <c r="C362" s="106">
        <v>2843</v>
      </c>
      <c r="D362" s="53">
        <v>2660</v>
      </c>
      <c r="E362" s="53">
        <v>2523</v>
      </c>
      <c r="F362" s="107">
        <f>F359-F361</f>
        <v>2124</v>
      </c>
      <c r="G362" s="53">
        <f>G359-G361</f>
        <v>1699</v>
      </c>
      <c r="H362" s="53"/>
      <c r="I362" s="53"/>
    </row>
    <row r="363" spans="1:9" x14ac:dyDescent="0.2">
      <c r="A363" s="55" t="s">
        <v>22</v>
      </c>
      <c r="B363" s="63">
        <v>2017</v>
      </c>
      <c r="C363" s="94">
        <v>2018</v>
      </c>
      <c r="D363" s="63">
        <v>2019</v>
      </c>
      <c r="E363" s="95">
        <v>2020</v>
      </c>
      <c r="F363" s="95">
        <v>2021</v>
      </c>
      <c r="G363" s="95">
        <v>2022</v>
      </c>
      <c r="H363" s="95">
        <v>2023</v>
      </c>
      <c r="I363" s="95">
        <v>2024</v>
      </c>
    </row>
    <row r="364" spans="1:9" x14ac:dyDescent="0.2">
      <c r="A364" s="55" t="s">
        <v>23</v>
      </c>
      <c r="B364" s="30"/>
      <c r="C364" s="30"/>
      <c r="D364" s="30"/>
      <c r="E364" s="30"/>
      <c r="F364" s="30"/>
      <c r="G364" s="30"/>
      <c r="H364" s="31"/>
      <c r="I364" s="31"/>
    </row>
    <row r="365" spans="1:9" x14ac:dyDescent="0.2">
      <c r="A365" s="587" t="s">
        <v>99</v>
      </c>
      <c r="B365" s="588"/>
      <c r="C365" s="588"/>
      <c r="D365" s="588"/>
      <c r="E365" s="588"/>
      <c r="F365" s="588"/>
      <c r="G365" s="30"/>
      <c r="H365" s="30"/>
      <c r="I365" s="31"/>
    </row>
    <row r="366" spans="1:9" x14ac:dyDescent="0.2">
      <c r="A366" s="87" t="s">
        <v>361</v>
      </c>
      <c r="B366" s="193"/>
      <c r="C366" s="193"/>
      <c r="D366" s="193"/>
      <c r="E366" s="193"/>
      <c r="F366" s="193"/>
      <c r="I366" s="21"/>
    </row>
    <row r="367" spans="1:9" x14ac:dyDescent="0.2">
      <c r="A367" s="87" t="s">
        <v>486</v>
      </c>
      <c r="B367" s="193"/>
      <c r="C367" s="193"/>
      <c r="D367" s="193"/>
      <c r="E367" s="193"/>
      <c r="F367" s="193"/>
      <c r="I367" s="21"/>
    </row>
    <row r="368" spans="1:9" x14ac:dyDescent="0.2">
      <c r="A368" s="65" t="s">
        <v>633</v>
      </c>
      <c r="B368" s="204"/>
      <c r="C368" s="204"/>
      <c r="D368" s="204"/>
      <c r="E368" s="204"/>
      <c r="F368" s="204"/>
      <c r="G368" s="33"/>
      <c r="H368" s="33"/>
      <c r="I368" s="34"/>
    </row>
    <row r="370" spans="1:9" x14ac:dyDescent="0.2">
      <c r="A370" s="117" t="s">
        <v>14</v>
      </c>
      <c r="B370" s="61" t="s">
        <v>708</v>
      </c>
      <c r="C370" s="42" t="s">
        <v>15</v>
      </c>
    </row>
    <row r="371" spans="1:9" x14ac:dyDescent="0.2">
      <c r="A371" s="52" t="s">
        <v>16</v>
      </c>
      <c r="B371" s="57">
        <v>2015</v>
      </c>
      <c r="C371" s="105">
        <v>2016</v>
      </c>
      <c r="D371" s="57">
        <v>2017</v>
      </c>
      <c r="E371" s="142">
        <v>2018</v>
      </c>
      <c r="F371" s="142">
        <v>2019</v>
      </c>
      <c r="G371" s="57">
        <v>2020</v>
      </c>
      <c r="H371" s="57">
        <v>2021</v>
      </c>
      <c r="I371" s="57">
        <v>2022</v>
      </c>
    </row>
    <row r="372" spans="1:9" x14ac:dyDescent="0.2">
      <c r="A372" s="52" t="s">
        <v>17</v>
      </c>
      <c r="B372" s="53">
        <v>270</v>
      </c>
      <c r="C372" s="106">
        <v>270</v>
      </c>
      <c r="D372" s="53">
        <v>270</v>
      </c>
      <c r="E372" s="107">
        <v>270</v>
      </c>
      <c r="F372" s="107">
        <v>270</v>
      </c>
      <c r="G372" s="53">
        <v>270</v>
      </c>
      <c r="H372" s="53">
        <v>270</v>
      </c>
      <c r="I372" s="53">
        <v>270</v>
      </c>
    </row>
    <row r="373" spans="1:9" x14ac:dyDescent="0.2">
      <c r="A373" s="52" t="s">
        <v>18</v>
      </c>
      <c r="B373" s="53">
        <v>370</v>
      </c>
      <c r="C373" s="106">
        <v>370</v>
      </c>
      <c r="D373" s="53">
        <v>370</v>
      </c>
      <c r="E373" s="107">
        <v>343</v>
      </c>
      <c r="F373" s="107">
        <v>343</v>
      </c>
      <c r="G373" s="53">
        <f>G372*1.4-35-20</f>
        <v>323</v>
      </c>
      <c r="H373" s="53">
        <f>H372*1.4-35-20</f>
        <v>323</v>
      </c>
      <c r="I373" s="53">
        <f>I372*1.4-35-20</f>
        <v>323</v>
      </c>
    </row>
    <row r="374" spans="1:9" x14ac:dyDescent="0.2">
      <c r="A374" s="52" t="s">
        <v>19</v>
      </c>
      <c r="B374" s="238" t="s">
        <v>100</v>
      </c>
      <c r="C374" s="238" t="s">
        <v>100</v>
      </c>
      <c r="D374" s="238" t="s">
        <v>100</v>
      </c>
      <c r="E374" s="239" t="s">
        <v>101</v>
      </c>
      <c r="F374" s="239" t="s">
        <v>101</v>
      </c>
      <c r="G374" s="240" t="s">
        <v>367</v>
      </c>
      <c r="H374" s="240" t="s">
        <v>367</v>
      </c>
      <c r="I374" s="240" t="s">
        <v>367</v>
      </c>
    </row>
    <row r="375" spans="1:9" x14ac:dyDescent="0.2">
      <c r="A375" s="52" t="s">
        <v>20</v>
      </c>
      <c r="B375" s="53">
        <v>115</v>
      </c>
      <c r="C375" s="53">
        <v>151.72</v>
      </c>
      <c r="D375" s="53">
        <v>95.51</v>
      </c>
      <c r="E375" s="53">
        <v>169.22</v>
      </c>
      <c r="F375" s="107">
        <v>122.25</v>
      </c>
      <c r="G375" s="380">
        <v>157.75</v>
      </c>
      <c r="H375" s="53">
        <v>68</v>
      </c>
      <c r="I375" s="53"/>
    </row>
    <row r="376" spans="1:9" x14ac:dyDescent="0.2">
      <c r="A376" s="52" t="s">
        <v>21</v>
      </c>
      <c r="B376" s="53">
        <v>255</v>
      </c>
      <c r="C376" s="53">
        <f>C373-C375</f>
        <v>218.28</v>
      </c>
      <c r="D376" s="53">
        <f>D373-D375</f>
        <v>274.49</v>
      </c>
      <c r="E376" s="53">
        <v>173.78</v>
      </c>
      <c r="F376" s="107">
        <f>F373-F375</f>
        <v>220.75</v>
      </c>
      <c r="G376" s="380">
        <f>G373-G375</f>
        <v>165.25</v>
      </c>
      <c r="H376" s="53">
        <f>H373-H375</f>
        <v>255</v>
      </c>
      <c r="I376" s="53"/>
    </row>
    <row r="377" spans="1:9" x14ac:dyDescent="0.2">
      <c r="A377" s="55" t="s">
        <v>22</v>
      </c>
      <c r="B377" s="63">
        <v>2017</v>
      </c>
      <c r="C377" s="94">
        <v>2018</v>
      </c>
      <c r="D377" s="63">
        <v>2019</v>
      </c>
      <c r="E377" s="95">
        <v>2020</v>
      </c>
      <c r="F377" s="95">
        <v>2021</v>
      </c>
      <c r="G377" s="95">
        <v>2022</v>
      </c>
      <c r="H377" s="95">
        <v>2023</v>
      </c>
      <c r="I377" s="95">
        <v>2024</v>
      </c>
    </row>
    <row r="378" spans="1:9" x14ac:dyDescent="0.2">
      <c r="A378" s="55" t="s">
        <v>23</v>
      </c>
      <c r="B378" s="30"/>
      <c r="C378" s="30"/>
      <c r="D378" s="30"/>
      <c r="E378" s="30"/>
      <c r="F378" s="30"/>
      <c r="G378" s="30"/>
      <c r="H378" s="31"/>
      <c r="I378" s="31"/>
    </row>
    <row r="379" spans="1:9" x14ac:dyDescent="0.2">
      <c r="A379" s="587" t="s">
        <v>102</v>
      </c>
      <c r="B379" s="588"/>
      <c r="C379" s="588"/>
      <c r="D379" s="588"/>
      <c r="E379" s="588"/>
      <c r="F379" s="588"/>
      <c r="G379" s="30"/>
      <c r="H379" s="30"/>
      <c r="I379" s="31"/>
    </row>
    <row r="380" spans="1:9" x14ac:dyDescent="0.2">
      <c r="A380" s="87" t="s">
        <v>364</v>
      </c>
      <c r="B380" s="193"/>
      <c r="C380" s="193"/>
      <c r="D380" s="193"/>
      <c r="E380" s="193"/>
      <c r="F380" s="193"/>
      <c r="I380" s="21"/>
    </row>
    <row r="381" spans="1:9" x14ac:dyDescent="0.2">
      <c r="A381" s="87" t="s">
        <v>365</v>
      </c>
      <c r="B381" s="193"/>
      <c r="C381" s="193"/>
      <c r="D381" s="193"/>
      <c r="E381" s="193"/>
      <c r="F381" s="193"/>
      <c r="I381" s="21"/>
    </row>
    <row r="382" spans="1:9" ht="13.15" customHeight="1" x14ac:dyDescent="0.2">
      <c r="A382" s="20" t="s">
        <v>366</v>
      </c>
      <c r="I382" s="21"/>
    </row>
    <row r="383" spans="1:9" x14ac:dyDescent="0.2">
      <c r="A383" s="87" t="s">
        <v>488</v>
      </c>
      <c r="B383" s="193"/>
      <c r="C383" s="193"/>
      <c r="D383" s="193"/>
      <c r="E383" s="193"/>
      <c r="F383" s="193"/>
      <c r="I383" s="21"/>
    </row>
    <row r="384" spans="1:9" x14ac:dyDescent="0.2">
      <c r="A384" s="87" t="s">
        <v>489</v>
      </c>
      <c r="B384" s="193"/>
      <c r="C384" s="193"/>
      <c r="D384" s="193"/>
      <c r="E384" s="193"/>
      <c r="F384" s="193"/>
      <c r="I384" s="21"/>
    </row>
    <row r="385" spans="1:9" x14ac:dyDescent="0.2">
      <c r="A385" s="32" t="s">
        <v>755</v>
      </c>
      <c r="B385" s="33"/>
      <c r="C385" s="33"/>
      <c r="D385" s="33"/>
      <c r="E385" s="33"/>
      <c r="F385" s="33"/>
      <c r="G385" s="33"/>
      <c r="H385" s="33"/>
      <c r="I385" s="34"/>
    </row>
    <row r="387" spans="1:9" x14ac:dyDescent="0.2">
      <c r="A387" s="117" t="s">
        <v>14</v>
      </c>
      <c r="B387" s="61" t="s">
        <v>736</v>
      </c>
      <c r="C387" s="42" t="s">
        <v>15</v>
      </c>
    </row>
    <row r="388" spans="1:9" x14ac:dyDescent="0.2">
      <c r="A388" s="52" t="s">
        <v>16</v>
      </c>
      <c r="B388" s="57">
        <v>2015</v>
      </c>
      <c r="C388" s="105">
        <v>2016</v>
      </c>
      <c r="D388" s="57">
        <v>2017</v>
      </c>
      <c r="E388" s="142">
        <v>2018</v>
      </c>
      <c r="F388" s="142">
        <v>2019</v>
      </c>
      <c r="G388" s="57">
        <v>2020</v>
      </c>
      <c r="H388" s="57">
        <v>2021</v>
      </c>
      <c r="I388" s="57">
        <v>2022</v>
      </c>
    </row>
    <row r="389" spans="1:9" x14ac:dyDescent="0.2">
      <c r="A389" s="52" t="s">
        <v>17</v>
      </c>
      <c r="B389" s="53">
        <v>459</v>
      </c>
      <c r="C389" s="106">
        <v>459</v>
      </c>
      <c r="D389" s="53">
        <v>459</v>
      </c>
      <c r="E389" s="107">
        <v>459</v>
      </c>
      <c r="F389" s="107">
        <v>459</v>
      </c>
      <c r="G389" s="53">
        <v>459</v>
      </c>
      <c r="H389" s="53">
        <v>459</v>
      </c>
      <c r="I389" s="53">
        <v>459</v>
      </c>
    </row>
    <row r="390" spans="1:9" x14ac:dyDescent="0.2">
      <c r="A390" s="52" t="s">
        <v>18</v>
      </c>
      <c r="B390" s="53">
        <v>587.9</v>
      </c>
      <c r="C390" s="106">
        <v>535.9</v>
      </c>
      <c r="D390" s="53">
        <v>516.9</v>
      </c>
      <c r="E390" s="107">
        <v>559.9</v>
      </c>
      <c r="F390" s="107">
        <v>546.79999999999995</v>
      </c>
      <c r="G390" s="53">
        <v>550.79999999999995</v>
      </c>
      <c r="H390" s="53">
        <v>550.79999999999995</v>
      </c>
      <c r="I390" s="53">
        <f>I389+H393</f>
        <v>477.79999999999995</v>
      </c>
    </row>
    <row r="391" spans="1:9" x14ac:dyDescent="0.2">
      <c r="A391" s="52" t="s">
        <v>19</v>
      </c>
      <c r="B391" s="238" t="s">
        <v>103</v>
      </c>
      <c r="C391" s="238" t="s">
        <v>104</v>
      </c>
      <c r="D391" s="238" t="s">
        <v>105</v>
      </c>
      <c r="E391" s="239" t="s">
        <v>402</v>
      </c>
      <c r="F391" s="239" t="s">
        <v>403</v>
      </c>
      <c r="G391" s="22" t="s">
        <v>368</v>
      </c>
      <c r="H391" s="22" t="s">
        <v>368</v>
      </c>
      <c r="I391" s="22" t="str">
        <f>"=459+18.8"</f>
        <v>=459+18.8</v>
      </c>
    </row>
    <row r="392" spans="1:9" x14ac:dyDescent="0.2">
      <c r="A392" s="52" t="s">
        <v>20</v>
      </c>
      <c r="B392" s="53">
        <v>511</v>
      </c>
      <c r="C392" s="106">
        <v>478</v>
      </c>
      <c r="D392" s="53">
        <v>416</v>
      </c>
      <c r="E392" s="53">
        <v>472.1</v>
      </c>
      <c r="F392" s="107">
        <v>395.31</v>
      </c>
      <c r="G392" s="380">
        <v>353.05</v>
      </c>
      <c r="H392" s="53">
        <v>532</v>
      </c>
      <c r="I392" s="53"/>
    </row>
    <row r="393" spans="1:9" x14ac:dyDescent="0.2">
      <c r="A393" s="52" t="s">
        <v>21</v>
      </c>
      <c r="B393" s="53">
        <v>76.900000000000006</v>
      </c>
      <c r="C393" s="106">
        <v>57.9</v>
      </c>
      <c r="D393" s="53">
        <v>100.9</v>
      </c>
      <c r="E393" s="53">
        <v>87.799999999999955</v>
      </c>
      <c r="F393" s="107">
        <v>151.48999999999995</v>
      </c>
      <c r="G393" s="380">
        <f>G390-G392</f>
        <v>197.74999999999994</v>
      </c>
      <c r="H393" s="448">
        <f>H390-H392</f>
        <v>18.799999999999955</v>
      </c>
      <c r="I393" s="53"/>
    </row>
    <row r="394" spans="1:9" x14ac:dyDescent="0.2">
      <c r="A394" s="55" t="s">
        <v>22</v>
      </c>
      <c r="B394" s="63">
        <v>2016</v>
      </c>
      <c r="C394" s="94">
        <v>2017</v>
      </c>
      <c r="D394" s="63">
        <v>2018</v>
      </c>
      <c r="E394" s="95">
        <v>2019</v>
      </c>
      <c r="F394" s="95">
        <v>2020</v>
      </c>
      <c r="G394" s="95">
        <v>2021</v>
      </c>
      <c r="H394" s="95">
        <v>2022</v>
      </c>
      <c r="I394" s="95">
        <v>2023</v>
      </c>
    </row>
    <row r="395" spans="1:9" x14ac:dyDescent="0.2">
      <c r="A395" s="55" t="s">
        <v>23</v>
      </c>
      <c r="B395" s="30"/>
      <c r="C395" s="30"/>
      <c r="D395" s="30"/>
      <c r="E395" s="30"/>
      <c r="F395" s="30"/>
      <c r="G395" s="30"/>
      <c r="H395" s="31"/>
      <c r="I395" s="31"/>
    </row>
    <row r="396" spans="1:9" ht="13.15" customHeight="1" x14ac:dyDescent="0.2">
      <c r="A396" s="55" t="s">
        <v>106</v>
      </c>
      <c r="B396" s="30"/>
      <c r="C396" s="30"/>
      <c r="D396" s="30"/>
      <c r="E396" s="30"/>
      <c r="F396" s="30"/>
      <c r="G396" s="30"/>
      <c r="H396" s="30"/>
      <c r="I396" s="31"/>
    </row>
    <row r="397" spans="1:9" ht="13.15" customHeight="1" x14ac:dyDescent="0.2">
      <c r="A397" s="574" t="s">
        <v>404</v>
      </c>
      <c r="B397" s="575"/>
      <c r="C397" s="575"/>
      <c r="D397" s="575"/>
      <c r="E397" s="575"/>
      <c r="F397" s="575"/>
      <c r="I397" s="21"/>
    </row>
    <row r="398" spans="1:9" x14ac:dyDescent="0.2">
      <c r="A398" s="87" t="s">
        <v>369</v>
      </c>
      <c r="B398" s="193"/>
      <c r="C398" s="193"/>
      <c r="D398" s="193"/>
      <c r="E398" s="193"/>
      <c r="F398" s="193"/>
      <c r="I398" s="21"/>
    </row>
    <row r="399" spans="1:9" x14ac:dyDescent="0.2">
      <c r="A399" s="87" t="s">
        <v>370</v>
      </c>
      <c r="B399" s="193"/>
      <c r="C399" s="193"/>
      <c r="D399" s="193"/>
      <c r="E399" s="193"/>
      <c r="F399" s="193"/>
      <c r="I399" s="21"/>
    </row>
    <row r="400" spans="1:9" ht="13.15" customHeight="1" x14ac:dyDescent="0.2">
      <c r="A400" s="87" t="s">
        <v>490</v>
      </c>
      <c r="B400" s="193"/>
      <c r="C400" s="193"/>
      <c r="D400" s="193"/>
      <c r="E400" s="193"/>
      <c r="F400" s="193"/>
      <c r="I400" s="21"/>
    </row>
    <row r="401" spans="1:9" ht="13.15" customHeight="1" x14ac:dyDescent="0.2">
      <c r="A401" s="87" t="s">
        <v>491</v>
      </c>
      <c r="B401" s="193"/>
      <c r="C401" s="193"/>
      <c r="D401" s="193"/>
      <c r="E401" s="193"/>
      <c r="F401" s="193"/>
      <c r="I401" s="21"/>
    </row>
    <row r="402" spans="1:9" ht="12.75" customHeight="1" x14ac:dyDescent="0.2">
      <c r="A402" s="65" t="s">
        <v>756</v>
      </c>
      <c r="B402" s="204"/>
      <c r="C402" s="204"/>
      <c r="D402" s="204"/>
      <c r="E402" s="204"/>
      <c r="F402" s="204"/>
      <c r="G402" s="33"/>
      <c r="H402" s="33"/>
      <c r="I402" s="34"/>
    </row>
    <row r="404" spans="1:9" x14ac:dyDescent="0.2">
      <c r="A404" s="117" t="s">
        <v>14</v>
      </c>
      <c r="B404" s="61" t="s">
        <v>737</v>
      </c>
      <c r="C404" s="42" t="s">
        <v>15</v>
      </c>
    </row>
    <row r="405" spans="1:9" x14ac:dyDescent="0.2">
      <c r="A405" s="52" t="s">
        <v>16</v>
      </c>
      <c r="B405" s="57">
        <v>2015</v>
      </c>
      <c r="C405" s="105">
        <v>2016</v>
      </c>
      <c r="D405" s="57">
        <v>2017</v>
      </c>
      <c r="E405" s="142">
        <v>2018</v>
      </c>
      <c r="F405" s="142">
        <v>2019</v>
      </c>
      <c r="G405" s="57">
        <v>2020</v>
      </c>
      <c r="H405" s="57">
        <v>2021</v>
      </c>
      <c r="I405" s="57">
        <v>2022</v>
      </c>
    </row>
    <row r="406" spans="1:9" x14ac:dyDescent="0.2">
      <c r="A406" s="52" t="s">
        <v>17</v>
      </c>
      <c r="B406" s="23">
        <v>48.76</v>
      </c>
      <c r="C406" s="130">
        <v>58.28</v>
      </c>
      <c r="D406" s="23">
        <v>69.97</v>
      </c>
      <c r="E406" s="131">
        <v>79</v>
      </c>
      <c r="F406" s="131">
        <v>84</v>
      </c>
      <c r="G406" s="23">
        <v>90</v>
      </c>
      <c r="H406" s="23">
        <v>90</v>
      </c>
      <c r="I406" s="23">
        <v>90</v>
      </c>
    </row>
    <row r="407" spans="1:9" x14ac:dyDescent="0.2">
      <c r="A407" s="52" t="s">
        <v>18</v>
      </c>
      <c r="B407" s="23">
        <v>38.76</v>
      </c>
      <c r="C407" s="130">
        <v>48.28</v>
      </c>
      <c r="D407" s="23">
        <v>59.97</v>
      </c>
      <c r="E407" s="131">
        <v>29</v>
      </c>
      <c r="F407" s="131">
        <v>34</v>
      </c>
      <c r="G407" s="23">
        <f>G406-50</f>
        <v>40</v>
      </c>
      <c r="H407" s="23">
        <f>H406-50</f>
        <v>40</v>
      </c>
      <c r="I407" s="23">
        <f>I406-50</f>
        <v>40</v>
      </c>
    </row>
    <row r="408" spans="1:9" x14ac:dyDescent="0.2">
      <c r="A408" s="52" t="s">
        <v>19</v>
      </c>
      <c r="B408" s="241" t="s">
        <v>107</v>
      </c>
      <c r="C408" s="241" t="s">
        <v>108</v>
      </c>
      <c r="D408" s="241" t="s">
        <v>109</v>
      </c>
      <c r="E408" s="242" t="s">
        <v>110</v>
      </c>
      <c r="F408" s="242" t="s">
        <v>111</v>
      </c>
      <c r="G408" s="240" t="s">
        <v>371</v>
      </c>
      <c r="H408" s="240" t="s">
        <v>371</v>
      </c>
      <c r="I408" s="240" t="s">
        <v>371</v>
      </c>
    </row>
    <row r="409" spans="1:9" x14ac:dyDescent="0.2">
      <c r="A409" s="52" t="s">
        <v>20</v>
      </c>
      <c r="B409" s="23">
        <v>0</v>
      </c>
      <c r="C409" s="130">
        <v>0</v>
      </c>
      <c r="D409" s="23">
        <v>0</v>
      </c>
      <c r="E409" s="23">
        <v>0</v>
      </c>
      <c r="F409" s="131">
        <v>0</v>
      </c>
      <c r="G409" s="23">
        <v>0</v>
      </c>
      <c r="H409" s="23">
        <v>0</v>
      </c>
      <c r="I409" s="23"/>
    </row>
    <row r="410" spans="1:9" x14ac:dyDescent="0.2">
      <c r="A410" s="52" t="s">
        <v>21</v>
      </c>
      <c r="B410" s="23">
        <v>38.76</v>
      </c>
      <c r="C410" s="130">
        <v>48.28</v>
      </c>
      <c r="D410" s="23">
        <v>59.97</v>
      </c>
      <c r="E410" s="23">
        <v>29</v>
      </c>
      <c r="F410" s="131">
        <f>F407-F409</f>
        <v>34</v>
      </c>
      <c r="G410" s="23">
        <f>G407-G409</f>
        <v>40</v>
      </c>
      <c r="H410" s="23">
        <f>H407-H409</f>
        <v>40</v>
      </c>
      <c r="I410" s="23"/>
    </row>
    <row r="411" spans="1:9" x14ac:dyDescent="0.2">
      <c r="A411" s="55" t="s">
        <v>22</v>
      </c>
      <c r="B411" s="63">
        <v>2017</v>
      </c>
      <c r="C411" s="94">
        <v>2018</v>
      </c>
      <c r="D411" s="63">
        <v>2019</v>
      </c>
      <c r="E411" s="63">
        <v>2020</v>
      </c>
      <c r="F411" s="63">
        <v>2021</v>
      </c>
      <c r="G411" s="63">
        <v>2022</v>
      </c>
      <c r="H411" s="63">
        <v>2023</v>
      </c>
      <c r="I411" s="63">
        <v>2024</v>
      </c>
    </row>
    <row r="412" spans="1:9" x14ac:dyDescent="0.2">
      <c r="A412" s="55" t="s">
        <v>23</v>
      </c>
      <c r="B412" s="30"/>
      <c r="C412" s="30"/>
      <c r="D412" s="30"/>
      <c r="E412" s="30"/>
      <c r="F412" s="30"/>
      <c r="G412" s="30"/>
      <c r="H412" s="31"/>
      <c r="I412" s="31"/>
    </row>
    <row r="413" spans="1:9" x14ac:dyDescent="0.2">
      <c r="A413" s="431" t="s">
        <v>112</v>
      </c>
      <c r="B413" s="30"/>
      <c r="C413" s="30"/>
      <c r="D413" s="30"/>
      <c r="E413" s="30"/>
      <c r="F413" s="30"/>
      <c r="G413" s="30"/>
      <c r="H413" s="30"/>
      <c r="I413" s="31"/>
    </row>
    <row r="414" spans="1:9" x14ac:dyDescent="0.2">
      <c r="A414" s="433" t="s">
        <v>372</v>
      </c>
      <c r="I414" s="21"/>
    </row>
    <row r="415" spans="1:9" x14ac:dyDescent="0.2">
      <c r="A415" s="433" t="s">
        <v>492</v>
      </c>
      <c r="I415" s="21"/>
    </row>
    <row r="416" spans="1:9" x14ac:dyDescent="0.2">
      <c r="A416" s="424" t="s">
        <v>757</v>
      </c>
      <c r="B416" s="33"/>
      <c r="C416" s="33"/>
      <c r="D416" s="33"/>
      <c r="E416" s="33"/>
      <c r="F416" s="33"/>
      <c r="G416" s="33"/>
      <c r="H416" s="33"/>
      <c r="I416" s="34"/>
    </row>
    <row r="417" spans="1:9" x14ac:dyDescent="0.2">
      <c r="A417" s="32"/>
      <c r="B417" s="33"/>
    </row>
    <row r="418" spans="1:9" x14ac:dyDescent="0.2">
      <c r="A418" s="117" t="s">
        <v>14</v>
      </c>
      <c r="B418" s="61" t="s">
        <v>74</v>
      </c>
      <c r="C418" s="42" t="s">
        <v>15</v>
      </c>
    </row>
    <row r="419" spans="1:9" x14ac:dyDescent="0.2">
      <c r="A419" s="52" t="s">
        <v>16</v>
      </c>
      <c r="B419" s="57">
        <v>2015</v>
      </c>
      <c r="C419" s="105">
        <v>2016</v>
      </c>
      <c r="D419" s="57">
        <v>2017</v>
      </c>
      <c r="E419" s="142">
        <v>2018</v>
      </c>
      <c r="F419" s="142">
        <v>2019</v>
      </c>
      <c r="G419" s="57">
        <v>2020</v>
      </c>
      <c r="H419" s="379">
        <v>2021</v>
      </c>
      <c r="I419" s="379">
        <v>2022</v>
      </c>
    </row>
    <row r="420" spans="1:9" x14ac:dyDescent="0.2">
      <c r="A420" s="52" t="s">
        <v>17</v>
      </c>
      <c r="B420" s="53">
        <v>15583</v>
      </c>
      <c r="C420" s="106">
        <v>11679</v>
      </c>
      <c r="D420" s="53">
        <v>11679</v>
      </c>
      <c r="E420" s="107">
        <v>11679</v>
      </c>
      <c r="F420" s="107">
        <v>11679</v>
      </c>
      <c r="G420" s="53">
        <v>9226.41</v>
      </c>
      <c r="H420" s="380">
        <v>9078.7874400000001</v>
      </c>
      <c r="I420" s="380">
        <v>9152.59872</v>
      </c>
    </row>
    <row r="421" spans="1:9" x14ac:dyDescent="0.2">
      <c r="A421" s="52" t="s">
        <v>18</v>
      </c>
      <c r="B421" s="53">
        <v>20187.900000000001</v>
      </c>
      <c r="C421" s="106">
        <v>16353.9</v>
      </c>
      <c r="D421" s="53">
        <f>14016.45</f>
        <v>14016.45</v>
      </c>
      <c r="E421" s="107">
        <v>13653.85</v>
      </c>
      <c r="F421" s="107">
        <v>13653.85</v>
      </c>
      <c r="G421" s="53">
        <f>G420+E420*0.15+223</f>
        <v>11201.26</v>
      </c>
      <c r="H421" s="380">
        <f>H420+0.1*F420+223</f>
        <v>10469.68744</v>
      </c>
      <c r="I421" s="380">
        <f>I420+0.1*G420+223</f>
        <v>10298.23972</v>
      </c>
    </row>
    <row r="422" spans="1:9" x14ac:dyDescent="0.2">
      <c r="A422" s="52" t="s">
        <v>19</v>
      </c>
      <c r="B422" s="238" t="s">
        <v>113</v>
      </c>
      <c r="C422" s="238" t="s">
        <v>114</v>
      </c>
      <c r="D422" s="238" t="s">
        <v>115</v>
      </c>
      <c r="E422" s="239" t="s">
        <v>116</v>
      </c>
      <c r="F422" s="239" t="s">
        <v>116</v>
      </c>
      <c r="G422" s="41" t="s">
        <v>493</v>
      </c>
      <c r="H422" s="79">
        <f>9078.79+(11679*10%)+223</f>
        <v>10469.69</v>
      </c>
      <c r="I422" s="79">
        <f>9078.79+(11679*10%)+223</f>
        <v>10469.69</v>
      </c>
    </row>
    <row r="423" spans="1:9" x14ac:dyDescent="0.2">
      <c r="A423" s="52" t="s">
        <v>20</v>
      </c>
      <c r="B423" s="53">
        <v>16453</v>
      </c>
      <c r="C423" s="106">
        <v>13115</v>
      </c>
      <c r="D423" s="53">
        <v>11845</v>
      </c>
      <c r="E423" s="53">
        <v>11630</v>
      </c>
      <c r="F423" s="107">
        <v>11288</v>
      </c>
      <c r="G423" s="53">
        <v>9226</v>
      </c>
      <c r="H423" s="380"/>
      <c r="I423" s="380"/>
    </row>
    <row r="424" spans="1:9" x14ac:dyDescent="0.2">
      <c r="A424" s="52" t="s">
        <v>21</v>
      </c>
      <c r="B424" s="53">
        <v>3734.9</v>
      </c>
      <c r="C424" s="106">
        <v>3238.9</v>
      </c>
      <c r="D424" s="53">
        <v>2171.4499999999998</v>
      </c>
      <c r="E424" s="53">
        <v>2023.85</v>
      </c>
      <c r="F424" s="107">
        <f>F421-F423</f>
        <v>2365.8500000000004</v>
      </c>
      <c r="G424" s="53">
        <f>G421-G423</f>
        <v>1975.2600000000002</v>
      </c>
      <c r="H424" s="380"/>
      <c r="I424" s="380"/>
    </row>
    <row r="425" spans="1:9" x14ac:dyDescent="0.2">
      <c r="A425" s="55" t="s">
        <v>22</v>
      </c>
      <c r="B425" s="63">
        <v>2017</v>
      </c>
      <c r="C425" s="94">
        <v>2018</v>
      </c>
      <c r="D425" s="63">
        <v>2019</v>
      </c>
      <c r="E425" s="63">
        <v>2020</v>
      </c>
      <c r="F425" s="95">
        <v>2021</v>
      </c>
      <c r="G425" s="63">
        <v>2022</v>
      </c>
      <c r="H425" s="383">
        <v>2023</v>
      </c>
      <c r="I425" s="383">
        <v>2023</v>
      </c>
    </row>
    <row r="426" spans="1:9" x14ac:dyDescent="0.2">
      <c r="A426" s="55" t="s">
        <v>23</v>
      </c>
      <c r="B426" s="30"/>
      <c r="C426" s="30"/>
      <c r="D426" s="30"/>
      <c r="E426" s="30"/>
      <c r="F426" s="30"/>
      <c r="G426" s="30"/>
      <c r="H426" s="31"/>
      <c r="I426" s="31"/>
    </row>
    <row r="427" spans="1:9" x14ac:dyDescent="0.2">
      <c r="A427" s="55" t="s">
        <v>117</v>
      </c>
      <c r="B427" s="30"/>
      <c r="C427" s="30"/>
      <c r="D427" s="30"/>
      <c r="E427" s="30"/>
      <c r="F427" s="30"/>
      <c r="G427" s="30"/>
      <c r="H427" s="30"/>
      <c r="I427" s="31"/>
    </row>
    <row r="428" spans="1:9" x14ac:dyDescent="0.2">
      <c r="A428" s="20" t="s">
        <v>373</v>
      </c>
      <c r="I428" s="21"/>
    </row>
    <row r="429" spans="1:9" x14ac:dyDescent="0.2">
      <c r="A429" s="20" t="s">
        <v>373</v>
      </c>
      <c r="I429" s="21"/>
    </row>
    <row r="430" spans="1:9" x14ac:dyDescent="0.2">
      <c r="A430" s="409" t="s">
        <v>661</v>
      </c>
      <c r="I430" s="21"/>
    </row>
    <row r="431" spans="1:9" x14ac:dyDescent="0.2">
      <c r="A431" s="394" t="s">
        <v>758</v>
      </c>
      <c r="B431" s="204"/>
      <c r="C431" s="204"/>
      <c r="D431" s="204"/>
      <c r="E431" s="204"/>
      <c r="F431" s="204"/>
      <c r="G431" s="33"/>
      <c r="H431" s="33"/>
      <c r="I431" s="34"/>
    </row>
    <row r="433" spans="1:9" x14ac:dyDescent="0.2">
      <c r="A433" s="117" t="s">
        <v>14</v>
      </c>
      <c r="B433" s="61" t="s">
        <v>82</v>
      </c>
      <c r="C433" s="42" t="s">
        <v>15</v>
      </c>
    </row>
    <row r="434" spans="1:9" x14ac:dyDescent="0.2">
      <c r="A434" s="52" t="s">
        <v>16</v>
      </c>
      <c r="B434" s="57">
        <v>2015</v>
      </c>
      <c r="C434" s="105">
        <v>2016</v>
      </c>
      <c r="D434" s="57">
        <v>2017</v>
      </c>
      <c r="E434" s="142">
        <v>2018</v>
      </c>
      <c r="F434" s="142">
        <v>2019</v>
      </c>
      <c r="G434" s="57">
        <v>2020</v>
      </c>
      <c r="H434" s="57">
        <v>2021</v>
      </c>
      <c r="I434" s="57">
        <v>2022</v>
      </c>
    </row>
    <row r="435" spans="1:9" x14ac:dyDescent="0.2">
      <c r="A435" s="52" t="s">
        <v>17</v>
      </c>
      <c r="B435" s="23">
        <v>150</v>
      </c>
      <c r="C435" s="130">
        <v>150</v>
      </c>
      <c r="D435" s="23">
        <v>150</v>
      </c>
      <c r="E435" s="131">
        <v>150</v>
      </c>
      <c r="F435" s="131">
        <v>150</v>
      </c>
      <c r="G435" s="23">
        <v>126.2</v>
      </c>
      <c r="H435" s="23">
        <v>126.2</v>
      </c>
      <c r="I435" s="23">
        <v>126.2</v>
      </c>
    </row>
    <row r="436" spans="1:9" x14ac:dyDescent="0.2">
      <c r="A436" s="52" t="s">
        <v>18</v>
      </c>
      <c r="B436" s="23">
        <v>165</v>
      </c>
      <c r="C436" s="130">
        <v>165</v>
      </c>
      <c r="D436" s="23">
        <v>165</v>
      </c>
      <c r="E436" s="131">
        <v>165</v>
      </c>
      <c r="F436" s="131">
        <v>165</v>
      </c>
      <c r="G436" s="23">
        <f>G435+0.1*E435</f>
        <v>141.19999999999999</v>
      </c>
      <c r="H436" s="23">
        <f>H435+0.1*F435</f>
        <v>141.19999999999999</v>
      </c>
      <c r="I436" s="23"/>
    </row>
    <row r="437" spans="1:9" x14ac:dyDescent="0.2">
      <c r="A437" s="52" t="s">
        <v>19</v>
      </c>
      <c r="B437" s="241" t="s">
        <v>118</v>
      </c>
      <c r="C437" s="241" t="s">
        <v>118</v>
      </c>
      <c r="D437" s="241" t="s">
        <v>118</v>
      </c>
      <c r="E437" s="242" t="s">
        <v>118</v>
      </c>
      <c r="F437" s="242" t="s">
        <v>118</v>
      </c>
      <c r="G437" s="242" t="s">
        <v>374</v>
      </c>
      <c r="H437" s="242" t="s">
        <v>374</v>
      </c>
      <c r="I437" s="242"/>
    </row>
    <row r="438" spans="1:9" x14ac:dyDescent="0.2">
      <c r="A438" s="52" t="s">
        <v>20</v>
      </c>
      <c r="B438" s="23">
        <v>61</v>
      </c>
      <c r="C438" s="130">
        <v>75</v>
      </c>
      <c r="D438" s="23">
        <v>73</v>
      </c>
      <c r="E438" s="23">
        <v>74</v>
      </c>
      <c r="F438" s="131">
        <v>40</v>
      </c>
      <c r="G438" s="51">
        <v>91.4</v>
      </c>
      <c r="H438" s="428">
        <v>96.1</v>
      </c>
      <c r="I438" s="23"/>
    </row>
    <row r="439" spans="1:9" x14ac:dyDescent="0.2">
      <c r="A439" s="52" t="s">
        <v>21</v>
      </c>
      <c r="B439" s="23">
        <v>104</v>
      </c>
      <c r="C439" s="130">
        <v>90</v>
      </c>
      <c r="D439" s="23">
        <v>92</v>
      </c>
      <c r="E439" s="23">
        <v>91</v>
      </c>
      <c r="F439" s="131">
        <f>F436-F438</f>
        <v>125</v>
      </c>
      <c r="G439" s="51">
        <f>G436-G438</f>
        <v>49.799999999999983</v>
      </c>
      <c r="H439" s="428">
        <f>H436-H438</f>
        <v>45.099999999999994</v>
      </c>
      <c r="I439" s="23"/>
    </row>
    <row r="440" spans="1:9" x14ac:dyDescent="0.2">
      <c r="A440" s="55" t="s">
        <v>22</v>
      </c>
      <c r="B440" s="63">
        <v>2017</v>
      </c>
      <c r="C440" s="94">
        <v>2018</v>
      </c>
      <c r="D440" s="63">
        <v>2019</v>
      </c>
      <c r="E440" s="63">
        <v>2020</v>
      </c>
      <c r="F440" s="95">
        <v>2021</v>
      </c>
      <c r="G440" s="63" t="s">
        <v>169</v>
      </c>
      <c r="H440" s="63" t="s">
        <v>169</v>
      </c>
      <c r="I440" s="63" t="s">
        <v>169</v>
      </c>
    </row>
    <row r="441" spans="1:9" x14ac:dyDescent="0.2">
      <c r="A441" s="55" t="s">
        <v>23</v>
      </c>
      <c r="B441" s="30"/>
      <c r="C441" s="30"/>
      <c r="D441" s="30"/>
      <c r="E441" s="30"/>
      <c r="F441" s="30"/>
      <c r="G441" s="30"/>
      <c r="H441" s="31"/>
      <c r="I441" s="31"/>
    </row>
    <row r="442" spans="1:9" x14ac:dyDescent="0.2">
      <c r="A442" s="587" t="s">
        <v>119</v>
      </c>
      <c r="B442" s="588"/>
      <c r="C442" s="588"/>
      <c r="D442" s="588"/>
      <c r="E442" s="588"/>
      <c r="F442" s="588"/>
      <c r="G442" s="30"/>
      <c r="H442" s="30"/>
      <c r="I442" s="31"/>
    </row>
    <row r="443" spans="1:9" x14ac:dyDescent="0.2">
      <c r="A443" s="87" t="s">
        <v>375</v>
      </c>
      <c r="B443" s="193"/>
      <c r="C443" s="193"/>
      <c r="D443" s="193"/>
      <c r="E443" s="193"/>
      <c r="F443" s="193"/>
      <c r="I443" s="21"/>
    </row>
    <row r="444" spans="1:9" x14ac:dyDescent="0.2">
      <c r="A444" s="87" t="s">
        <v>494</v>
      </c>
      <c r="B444" s="193"/>
      <c r="C444" s="193"/>
      <c r="D444" s="193"/>
      <c r="E444" s="193"/>
      <c r="F444" s="193"/>
      <c r="I444" s="21"/>
    </row>
    <row r="445" spans="1:9" x14ac:dyDescent="0.2">
      <c r="A445" s="65" t="s">
        <v>759</v>
      </c>
      <c r="B445" s="204"/>
      <c r="C445" s="204"/>
      <c r="D445" s="204"/>
      <c r="E445" s="204"/>
      <c r="F445" s="204"/>
      <c r="G445" s="33"/>
      <c r="H445" s="33"/>
      <c r="I445" s="34"/>
    </row>
    <row r="447" spans="1:9" x14ac:dyDescent="0.2">
      <c r="A447" s="117" t="s">
        <v>14</v>
      </c>
      <c r="B447" s="61" t="s">
        <v>87</v>
      </c>
      <c r="C447" s="42" t="s">
        <v>15</v>
      </c>
    </row>
    <row r="448" spans="1:9" x14ac:dyDescent="0.2">
      <c r="A448" s="52" t="s">
        <v>16</v>
      </c>
      <c r="B448" s="57">
        <v>2015</v>
      </c>
      <c r="C448" s="105">
        <v>2016</v>
      </c>
      <c r="D448" s="57">
        <v>2017</v>
      </c>
      <c r="E448" s="142">
        <v>2018</v>
      </c>
      <c r="F448" s="142">
        <v>2019</v>
      </c>
      <c r="G448" s="57">
        <v>2020</v>
      </c>
      <c r="H448" s="57">
        <v>2021</v>
      </c>
      <c r="I448" s="57">
        <v>2022</v>
      </c>
    </row>
    <row r="449" spans="1:9" x14ac:dyDescent="0.2">
      <c r="A449" s="52" t="s">
        <v>17</v>
      </c>
      <c r="B449" s="23">
        <v>50</v>
      </c>
      <c r="C449" s="130">
        <v>50</v>
      </c>
      <c r="D449" s="23">
        <v>50</v>
      </c>
      <c r="E449" s="131">
        <v>50</v>
      </c>
      <c r="F449" s="131">
        <v>50</v>
      </c>
      <c r="G449" s="23">
        <v>50</v>
      </c>
      <c r="H449" s="23">
        <v>50</v>
      </c>
      <c r="I449" s="23">
        <v>50</v>
      </c>
    </row>
    <row r="450" spans="1:9" x14ac:dyDescent="0.2">
      <c r="A450" s="52" t="s">
        <v>18</v>
      </c>
      <c r="B450" s="23">
        <v>55</v>
      </c>
      <c r="C450" s="130">
        <v>55</v>
      </c>
      <c r="D450" s="23">
        <v>55</v>
      </c>
      <c r="E450" s="131">
        <v>55</v>
      </c>
      <c r="F450" s="131">
        <v>55</v>
      </c>
      <c r="G450" s="23">
        <f>G449*1.1</f>
        <v>55.000000000000007</v>
      </c>
      <c r="H450" s="23">
        <f>H449*1.1</f>
        <v>55.000000000000007</v>
      </c>
      <c r="I450" s="23"/>
    </row>
    <row r="451" spans="1:9" x14ac:dyDescent="0.2">
      <c r="A451" s="52" t="s">
        <v>19</v>
      </c>
      <c r="B451" s="241" t="s">
        <v>120</v>
      </c>
      <c r="C451" s="241" t="s">
        <v>120</v>
      </c>
      <c r="D451" s="241" t="s">
        <v>120</v>
      </c>
      <c r="E451" s="242" t="s">
        <v>120</v>
      </c>
      <c r="F451" s="242" t="s">
        <v>120</v>
      </c>
      <c r="G451" s="242" t="s">
        <v>120</v>
      </c>
      <c r="H451" s="242" t="s">
        <v>120</v>
      </c>
      <c r="I451" s="242"/>
    </row>
    <row r="452" spans="1:9" x14ac:dyDescent="0.2">
      <c r="A452" s="52" t="s">
        <v>20</v>
      </c>
      <c r="B452" s="23">
        <v>12</v>
      </c>
      <c r="C452" s="51">
        <v>10</v>
      </c>
      <c r="D452" s="51">
        <v>5</v>
      </c>
      <c r="E452" s="51">
        <v>6</v>
      </c>
      <c r="F452" s="51">
        <v>2</v>
      </c>
      <c r="G452" s="51">
        <v>5.4</v>
      </c>
      <c r="H452" s="428">
        <v>5.2</v>
      </c>
      <c r="I452" s="23"/>
    </row>
    <row r="453" spans="1:9" x14ac:dyDescent="0.2">
      <c r="A453" s="52" t="s">
        <v>21</v>
      </c>
      <c r="B453" s="23">
        <v>43</v>
      </c>
      <c r="C453" s="51">
        <f>C450-C452</f>
        <v>45</v>
      </c>
      <c r="D453" s="51">
        <f t="shared" ref="D453:H453" si="14">D450-D452</f>
        <v>50</v>
      </c>
      <c r="E453" s="51">
        <f t="shared" si="14"/>
        <v>49</v>
      </c>
      <c r="F453" s="51">
        <f t="shared" si="14"/>
        <v>53</v>
      </c>
      <c r="G453" s="51">
        <f t="shared" si="14"/>
        <v>49.600000000000009</v>
      </c>
      <c r="H453" s="428">
        <f t="shared" si="14"/>
        <v>49.800000000000004</v>
      </c>
      <c r="I453" s="23"/>
    </row>
    <row r="454" spans="1:9" x14ac:dyDescent="0.2">
      <c r="A454" s="55" t="s">
        <v>22</v>
      </c>
      <c r="B454" s="63">
        <v>2017</v>
      </c>
      <c r="C454" s="60">
        <v>2018</v>
      </c>
      <c r="D454" s="60">
        <v>2019</v>
      </c>
      <c r="E454" s="60">
        <v>2020</v>
      </c>
      <c r="F454" s="60">
        <v>2021</v>
      </c>
      <c r="G454" s="60" t="s">
        <v>169</v>
      </c>
      <c r="H454" s="60" t="s">
        <v>169</v>
      </c>
      <c r="I454" s="60" t="s">
        <v>169</v>
      </c>
    </row>
    <row r="455" spans="1:9" x14ac:dyDescent="0.2">
      <c r="A455" s="55" t="s">
        <v>23</v>
      </c>
      <c r="B455" s="30"/>
      <c r="C455" s="30"/>
      <c r="D455" s="30"/>
      <c r="E455" s="30"/>
      <c r="F455" s="30"/>
      <c r="G455" s="30"/>
      <c r="H455" s="31"/>
      <c r="I455" s="31"/>
    </row>
    <row r="456" spans="1:9" x14ac:dyDescent="0.2">
      <c r="A456" s="587" t="s">
        <v>121</v>
      </c>
      <c r="B456" s="588"/>
      <c r="C456" s="588"/>
      <c r="D456" s="588"/>
      <c r="E456" s="588"/>
      <c r="F456" s="588"/>
      <c r="G456" s="30"/>
      <c r="H456" s="30"/>
      <c r="I456" s="31"/>
    </row>
    <row r="457" spans="1:9" x14ac:dyDescent="0.2">
      <c r="A457" s="87" t="s">
        <v>376</v>
      </c>
      <c r="B457" s="193"/>
      <c r="C457" s="193"/>
      <c r="D457" s="193"/>
      <c r="E457" s="193"/>
      <c r="F457" s="193"/>
      <c r="I457" s="21"/>
    </row>
    <row r="458" spans="1:9" x14ac:dyDescent="0.2">
      <c r="A458" s="87" t="s">
        <v>495</v>
      </c>
      <c r="B458" s="193"/>
      <c r="C458" s="193"/>
      <c r="D458" s="193"/>
      <c r="E458" s="193"/>
      <c r="F458" s="193"/>
      <c r="I458" s="21"/>
    </row>
    <row r="459" spans="1:9" x14ac:dyDescent="0.2">
      <c r="A459" s="65" t="s">
        <v>760</v>
      </c>
      <c r="B459" s="204"/>
      <c r="C459" s="204"/>
      <c r="D459" s="204"/>
      <c r="E459" s="204"/>
      <c r="F459" s="204"/>
      <c r="G459" s="33"/>
      <c r="H459" s="33"/>
      <c r="I459" s="34"/>
    </row>
    <row r="462" spans="1:9" x14ac:dyDescent="0.2">
      <c r="A462" s="243" t="s">
        <v>12</v>
      </c>
      <c r="B462" s="628" t="s">
        <v>699</v>
      </c>
    </row>
    <row r="463" spans="1:9" x14ac:dyDescent="0.2">
      <c r="A463" s="454" t="s">
        <v>14</v>
      </c>
      <c r="B463" s="455" t="s">
        <v>709</v>
      </c>
      <c r="C463" s="455" t="s">
        <v>160</v>
      </c>
      <c r="D463" s="456"/>
      <c r="E463" s="456"/>
      <c r="F463" s="456"/>
      <c r="G463" s="456"/>
      <c r="H463" s="362"/>
    </row>
    <row r="464" spans="1:9" s="453" customFormat="1" x14ac:dyDescent="0.2">
      <c r="A464" s="457" t="s">
        <v>27</v>
      </c>
      <c r="B464" s="458">
        <v>2016</v>
      </c>
      <c r="C464" s="458">
        <v>2017</v>
      </c>
      <c r="D464" s="459">
        <v>2018</v>
      </c>
      <c r="E464" s="458">
        <v>2019</v>
      </c>
      <c r="F464" s="460">
        <v>2020</v>
      </c>
      <c r="G464" s="460">
        <v>2021</v>
      </c>
      <c r="H464" s="460">
        <v>2022</v>
      </c>
      <c r="I464" s="452"/>
    </row>
    <row r="465" spans="1:9" s="453" customFormat="1" x14ac:dyDescent="0.2">
      <c r="A465" s="457" t="s">
        <v>28</v>
      </c>
      <c r="B465" s="461">
        <v>200</v>
      </c>
      <c r="C465" s="461">
        <v>200</v>
      </c>
      <c r="D465" s="461">
        <v>200</v>
      </c>
      <c r="E465" s="461">
        <v>215</v>
      </c>
      <c r="F465" s="462">
        <v>215</v>
      </c>
      <c r="G465" s="462">
        <v>242</v>
      </c>
      <c r="H465" s="461">
        <v>242</v>
      </c>
      <c r="I465" s="452"/>
    </row>
    <row r="466" spans="1:9" s="453" customFormat="1" x14ac:dyDescent="0.2">
      <c r="A466" s="457" t="s">
        <v>29</v>
      </c>
      <c r="B466" s="463">
        <f>(B465+0.25*200)</f>
        <v>250</v>
      </c>
      <c r="C466" s="463">
        <f>(C465+0.25*B465)</f>
        <v>250</v>
      </c>
      <c r="D466" s="463">
        <f t="shared" ref="D466:H466" si="15">(D465+0.25*C465)</f>
        <v>250</v>
      </c>
      <c r="E466" s="463">
        <f t="shared" si="15"/>
        <v>265</v>
      </c>
      <c r="F466" s="463">
        <f t="shared" si="15"/>
        <v>268.75</v>
      </c>
      <c r="G466" s="463">
        <f t="shared" si="15"/>
        <v>295.75</v>
      </c>
      <c r="H466" s="464">
        <f t="shared" si="15"/>
        <v>302.5</v>
      </c>
      <c r="I466" s="452"/>
    </row>
    <row r="467" spans="1:9" s="453" customFormat="1" x14ac:dyDescent="0.2">
      <c r="A467" s="457" t="s">
        <v>30</v>
      </c>
      <c r="B467" s="463"/>
      <c r="C467" s="463"/>
      <c r="D467" s="465"/>
      <c r="E467" s="463"/>
      <c r="F467" s="466"/>
      <c r="G467" s="466"/>
      <c r="H467" s="466"/>
      <c r="I467" s="452"/>
    </row>
    <row r="468" spans="1:9" s="453" customFormat="1" x14ac:dyDescent="0.2">
      <c r="A468" s="457" t="s">
        <v>31</v>
      </c>
      <c r="B468" s="461">
        <v>4.6470000000000002</v>
      </c>
      <c r="C468" s="461">
        <v>11.226000000000001</v>
      </c>
      <c r="D468" s="461">
        <v>4.8979999999999997</v>
      </c>
      <c r="E468" s="462">
        <v>1.35</v>
      </c>
      <c r="F468" s="462">
        <v>0.64</v>
      </c>
      <c r="G468" s="462">
        <v>2.34</v>
      </c>
      <c r="H468" s="466"/>
      <c r="I468" s="452"/>
    </row>
    <row r="469" spans="1:9" s="453" customFormat="1" x14ac:dyDescent="0.2">
      <c r="A469" s="457" t="s">
        <v>32</v>
      </c>
      <c r="B469" s="464">
        <f>B466-B468</f>
        <v>245.35300000000001</v>
      </c>
      <c r="C469" s="464">
        <f>C466-C468</f>
        <v>238.774</v>
      </c>
      <c r="D469" s="464">
        <f t="shared" ref="D469:G469" si="16">D466-D468</f>
        <v>245.102</v>
      </c>
      <c r="E469" s="464">
        <f t="shared" si="16"/>
        <v>263.64999999999998</v>
      </c>
      <c r="F469" s="464">
        <f t="shared" si="16"/>
        <v>268.11</v>
      </c>
      <c r="G469" s="464">
        <f t="shared" si="16"/>
        <v>293.41000000000003</v>
      </c>
      <c r="H469" s="464"/>
      <c r="I469" s="452"/>
    </row>
    <row r="470" spans="1:9" s="453" customFormat="1" x14ac:dyDescent="0.2">
      <c r="A470" s="457" t="s">
        <v>33</v>
      </c>
      <c r="B470" s="463">
        <v>2017</v>
      </c>
      <c r="C470" s="463">
        <v>2018</v>
      </c>
      <c r="D470" s="465">
        <v>2019</v>
      </c>
      <c r="E470" s="463">
        <v>2020</v>
      </c>
      <c r="F470" s="466">
        <v>2021</v>
      </c>
      <c r="G470" s="466">
        <v>2022</v>
      </c>
      <c r="H470" s="466">
        <v>2023</v>
      </c>
      <c r="I470" s="452"/>
    </row>
    <row r="471" spans="1:9" s="453" customFormat="1" x14ac:dyDescent="0.2">
      <c r="A471" s="467" t="s">
        <v>34</v>
      </c>
      <c r="B471" s="468"/>
      <c r="C471" s="468"/>
      <c r="D471" s="468"/>
      <c r="E471" s="468"/>
      <c r="F471" s="468"/>
      <c r="G471" s="468"/>
      <c r="H471" s="469"/>
      <c r="I471" s="452"/>
    </row>
    <row r="472" spans="1:9" s="453" customFormat="1" x14ac:dyDescent="0.2">
      <c r="A472" s="470" t="s">
        <v>700</v>
      </c>
      <c r="B472" s="471"/>
      <c r="C472" s="471"/>
      <c r="D472" s="471"/>
      <c r="E472" s="471"/>
      <c r="F472" s="471"/>
      <c r="G472" s="471"/>
      <c r="H472" s="472"/>
      <c r="I472" s="452"/>
    </row>
    <row r="473" spans="1:9" s="453" customFormat="1" x14ac:dyDescent="0.2">
      <c r="A473" s="470" t="s">
        <v>701</v>
      </c>
      <c r="B473" s="471"/>
      <c r="C473" s="471"/>
      <c r="D473" s="471"/>
      <c r="E473" s="471"/>
      <c r="F473" s="471"/>
      <c r="G473" s="471"/>
      <c r="H473" s="472"/>
      <c r="I473" s="452"/>
    </row>
    <row r="474" spans="1:9" s="453" customFormat="1" x14ac:dyDescent="0.2">
      <c r="A474" s="470" t="s">
        <v>702</v>
      </c>
      <c r="B474" s="471"/>
      <c r="C474" s="471"/>
      <c r="D474" s="471"/>
      <c r="E474" s="471"/>
      <c r="F474" s="471"/>
      <c r="G474" s="471"/>
      <c r="H474" s="472"/>
      <c r="I474" s="452"/>
    </row>
    <row r="475" spans="1:9" s="453" customFormat="1" x14ac:dyDescent="0.2">
      <c r="A475" s="470" t="s">
        <v>703</v>
      </c>
      <c r="B475" s="471"/>
      <c r="C475" s="471"/>
      <c r="D475" s="471"/>
      <c r="E475" s="471"/>
      <c r="F475" s="471"/>
      <c r="G475" s="471"/>
      <c r="H475" s="472"/>
      <c r="I475" s="452"/>
    </row>
    <row r="476" spans="1:9" s="453" customFormat="1" x14ac:dyDescent="0.2">
      <c r="A476" s="470" t="s">
        <v>704</v>
      </c>
      <c r="B476" s="471"/>
      <c r="C476" s="471"/>
      <c r="D476" s="471"/>
      <c r="E476" s="471"/>
      <c r="F476" s="471"/>
      <c r="G476" s="471"/>
      <c r="H476" s="472"/>
      <c r="I476" s="452"/>
    </row>
    <row r="477" spans="1:9" s="453" customFormat="1" x14ac:dyDescent="0.2">
      <c r="A477" s="470" t="s">
        <v>705</v>
      </c>
      <c r="B477" s="471"/>
      <c r="C477" s="471"/>
      <c r="D477" s="471"/>
      <c r="E477" s="471"/>
      <c r="F477" s="471"/>
      <c r="G477" s="471"/>
      <c r="H477" s="472"/>
      <c r="I477" s="452"/>
    </row>
    <row r="478" spans="1:9" s="453" customFormat="1" x14ac:dyDescent="0.2">
      <c r="A478" s="470" t="s">
        <v>706</v>
      </c>
      <c r="B478" s="471"/>
      <c r="C478" s="471"/>
      <c r="D478" s="471"/>
      <c r="E478" s="471"/>
      <c r="F478" s="471"/>
      <c r="G478" s="471"/>
      <c r="H478" s="472"/>
      <c r="I478" s="452"/>
    </row>
    <row r="479" spans="1:9" s="453" customFormat="1" x14ac:dyDescent="0.2">
      <c r="A479" s="470" t="s">
        <v>707</v>
      </c>
      <c r="B479" s="471"/>
      <c r="C479" s="471"/>
      <c r="D479" s="471"/>
      <c r="E479" s="471"/>
      <c r="F479" s="471"/>
      <c r="G479" s="471"/>
      <c r="H479" s="472"/>
      <c r="I479" s="452"/>
    </row>
    <row r="480" spans="1:9" s="453" customFormat="1" x14ac:dyDescent="0.2">
      <c r="A480" s="473"/>
      <c r="B480" s="474"/>
      <c r="C480" s="474"/>
      <c r="D480" s="474"/>
      <c r="E480" s="474"/>
      <c r="F480" s="474"/>
      <c r="G480" s="474"/>
      <c r="H480" s="475"/>
      <c r="I480" s="452"/>
    </row>
    <row r="481" spans="1:9" s="453" customFormat="1" x14ac:dyDescent="0.2">
      <c r="A481" s="471"/>
      <c r="B481" s="471"/>
      <c r="C481" s="471"/>
      <c r="D481" s="471"/>
      <c r="E481" s="471"/>
      <c r="F481" s="471"/>
      <c r="G481" s="471"/>
      <c r="H481" s="471"/>
      <c r="I481" s="452"/>
    </row>
    <row r="482" spans="1:9" x14ac:dyDescent="0.2">
      <c r="A482" s="454" t="s">
        <v>14</v>
      </c>
      <c r="B482" s="455" t="s">
        <v>708</v>
      </c>
      <c r="C482" s="455" t="s">
        <v>160</v>
      </c>
      <c r="D482" s="35"/>
      <c r="E482" s="35"/>
      <c r="F482" s="35"/>
      <c r="G482" s="35"/>
    </row>
    <row r="483" spans="1:9" s="453" customFormat="1" x14ac:dyDescent="0.2">
      <c r="A483" s="457" t="s">
        <v>27</v>
      </c>
      <c r="B483" s="458">
        <v>2016</v>
      </c>
      <c r="C483" s="458">
        <v>2017</v>
      </c>
      <c r="D483" s="459">
        <v>2018</v>
      </c>
      <c r="E483" s="458">
        <v>2019</v>
      </c>
      <c r="F483" s="460">
        <v>2020</v>
      </c>
      <c r="G483" s="460">
        <v>2021</v>
      </c>
      <c r="H483" s="460">
        <v>2022</v>
      </c>
      <c r="I483" s="452"/>
    </row>
    <row r="484" spans="1:9" s="453" customFormat="1" x14ac:dyDescent="0.2">
      <c r="A484" s="457" t="s">
        <v>28</v>
      </c>
      <c r="B484" s="476">
        <v>0</v>
      </c>
      <c r="C484" s="476">
        <v>0</v>
      </c>
      <c r="D484" s="476">
        <v>0</v>
      </c>
      <c r="E484" s="476">
        <v>0</v>
      </c>
      <c r="F484" s="477">
        <v>0</v>
      </c>
      <c r="G484" s="477">
        <v>0</v>
      </c>
      <c r="H484" s="476">
        <v>0</v>
      </c>
      <c r="I484" s="452"/>
    </row>
    <row r="485" spans="1:9" s="453" customFormat="1" x14ac:dyDescent="0.2">
      <c r="A485" s="457" t="s">
        <v>29</v>
      </c>
      <c r="B485" s="478">
        <v>-19.86</v>
      </c>
      <c r="C485" s="479">
        <f t="shared" ref="C485:H485" si="17">B488</f>
        <v>-48.64</v>
      </c>
      <c r="D485" s="479">
        <f t="shared" si="17"/>
        <v>-96.69</v>
      </c>
      <c r="E485" s="479">
        <f t="shared" si="17"/>
        <v>-149.34</v>
      </c>
      <c r="F485" s="479">
        <f t="shared" si="17"/>
        <v>-172.85</v>
      </c>
      <c r="G485" s="479">
        <f t="shared" si="17"/>
        <v>-196.03</v>
      </c>
      <c r="H485" s="479">
        <f t="shared" si="17"/>
        <v>-246.64</v>
      </c>
      <c r="I485" s="452"/>
    </row>
    <row r="486" spans="1:9" s="453" customFormat="1" x14ac:dyDescent="0.2">
      <c r="A486" s="457" t="s">
        <v>30</v>
      </c>
      <c r="B486" s="463" t="s">
        <v>425</v>
      </c>
      <c r="C486" s="465" t="s">
        <v>426</v>
      </c>
      <c r="D486" s="463" t="s">
        <v>427</v>
      </c>
      <c r="E486" s="466" t="s">
        <v>428</v>
      </c>
      <c r="F486" s="466" t="s">
        <v>617</v>
      </c>
      <c r="G486" s="466" t="s">
        <v>689</v>
      </c>
      <c r="H486" s="466" t="s">
        <v>710</v>
      </c>
      <c r="I486" s="452"/>
    </row>
    <row r="487" spans="1:9" s="453" customFormat="1" x14ac:dyDescent="0.2">
      <c r="A487" s="457" t="s">
        <v>31</v>
      </c>
      <c r="B487" s="476">
        <v>28.78</v>
      </c>
      <c r="C487" s="476">
        <v>48.05</v>
      </c>
      <c r="D487" s="476">
        <v>52.65</v>
      </c>
      <c r="E487" s="477">
        <v>23.51</v>
      </c>
      <c r="F487" s="477">
        <v>23.18</v>
      </c>
      <c r="G487" s="477">
        <v>50.61</v>
      </c>
      <c r="H487" s="480"/>
      <c r="I487" s="452"/>
    </row>
    <row r="488" spans="1:9" s="453" customFormat="1" x14ac:dyDescent="0.2">
      <c r="A488" s="457" t="s">
        <v>32</v>
      </c>
      <c r="B488" s="464">
        <f>B485-B487</f>
        <v>-48.64</v>
      </c>
      <c r="C488" s="464">
        <f>C485-C487</f>
        <v>-96.69</v>
      </c>
      <c r="D488" s="464">
        <f t="shared" ref="D488:G488" si="18">D485-D487</f>
        <v>-149.34</v>
      </c>
      <c r="E488" s="464">
        <f t="shared" si="18"/>
        <v>-172.85</v>
      </c>
      <c r="F488" s="464">
        <f t="shared" si="18"/>
        <v>-196.03</v>
      </c>
      <c r="G488" s="464">
        <f t="shared" si="18"/>
        <v>-246.64</v>
      </c>
      <c r="H488" s="464"/>
      <c r="I488" s="452"/>
    </row>
    <row r="489" spans="1:9" s="453" customFormat="1" x14ac:dyDescent="0.2">
      <c r="A489" s="467" t="s">
        <v>33</v>
      </c>
      <c r="B489" s="481">
        <v>2017</v>
      </c>
      <c r="C489" s="481">
        <v>2018</v>
      </c>
      <c r="D489" s="468">
        <v>2019</v>
      </c>
      <c r="E489" s="481">
        <v>2020</v>
      </c>
      <c r="F489" s="469">
        <v>2021</v>
      </c>
      <c r="G489" s="469">
        <v>2022</v>
      </c>
      <c r="H489" s="469">
        <v>2023</v>
      </c>
      <c r="I489" s="452"/>
    </row>
    <row r="490" spans="1:9" s="453" customFormat="1" x14ac:dyDescent="0.2">
      <c r="A490" s="457" t="s">
        <v>34</v>
      </c>
      <c r="B490" s="482"/>
      <c r="C490" s="482"/>
      <c r="D490" s="482"/>
      <c r="E490" s="482"/>
      <c r="F490" s="482"/>
      <c r="G490" s="482"/>
      <c r="H490" s="480"/>
      <c r="I490" s="452"/>
    </row>
    <row r="491" spans="1:9" s="453" customFormat="1" x14ac:dyDescent="0.2">
      <c r="A491" s="483" t="s">
        <v>711</v>
      </c>
      <c r="B491" s="468"/>
      <c r="C491" s="468"/>
      <c r="D491" s="468"/>
      <c r="E491" s="468"/>
      <c r="F491" s="468"/>
      <c r="G491" s="468"/>
      <c r="H491" s="469"/>
      <c r="I491" s="452"/>
    </row>
    <row r="492" spans="1:9" s="453" customFormat="1" x14ac:dyDescent="0.2">
      <c r="A492" s="484" t="s">
        <v>712</v>
      </c>
      <c r="B492" s="471"/>
      <c r="C492" s="471"/>
      <c r="D492" s="471"/>
      <c r="E492" s="471"/>
      <c r="F492" s="471"/>
      <c r="G492" s="471"/>
      <c r="H492" s="472"/>
      <c r="I492" s="452"/>
    </row>
    <row r="493" spans="1:9" s="453" customFormat="1" x14ac:dyDescent="0.2">
      <c r="A493" s="484" t="s">
        <v>713</v>
      </c>
      <c r="B493" s="471"/>
      <c r="C493" s="471"/>
      <c r="D493" s="471"/>
      <c r="E493" s="471"/>
      <c r="F493" s="471"/>
      <c r="G493" s="471"/>
      <c r="H493" s="472"/>
      <c r="I493" s="452"/>
    </row>
    <row r="494" spans="1:9" s="453" customFormat="1" x14ac:dyDescent="0.2">
      <c r="A494" s="484" t="s">
        <v>714</v>
      </c>
      <c r="B494" s="471"/>
      <c r="C494" s="471"/>
      <c r="D494" s="471"/>
      <c r="E494" s="471"/>
      <c r="F494" s="471"/>
      <c r="G494" s="471"/>
      <c r="H494" s="472"/>
      <c r="I494" s="452"/>
    </row>
    <row r="495" spans="1:9" s="453" customFormat="1" x14ac:dyDescent="0.2">
      <c r="A495" s="484" t="s">
        <v>715</v>
      </c>
      <c r="B495" s="471"/>
      <c r="C495" s="471"/>
      <c r="D495" s="471"/>
      <c r="E495" s="471"/>
      <c r="F495" s="471"/>
      <c r="G495" s="471"/>
      <c r="H495" s="472"/>
      <c r="I495" s="452"/>
    </row>
    <row r="496" spans="1:9" s="453" customFormat="1" x14ac:dyDescent="0.2">
      <c r="A496" s="484" t="s">
        <v>716</v>
      </c>
      <c r="B496" s="471"/>
      <c r="C496" s="471"/>
      <c r="D496" s="471"/>
      <c r="E496" s="471"/>
      <c r="F496" s="471"/>
      <c r="G496" s="471"/>
      <c r="H496" s="472"/>
      <c r="I496" s="452"/>
    </row>
    <row r="497" spans="1:9" s="453" customFormat="1" x14ac:dyDescent="0.2">
      <c r="A497" s="485" t="s">
        <v>717</v>
      </c>
      <c r="B497" s="474"/>
      <c r="C497" s="474"/>
      <c r="D497" s="474"/>
      <c r="E497" s="474"/>
      <c r="F497" s="474"/>
      <c r="G497" s="474"/>
      <c r="H497" s="475"/>
      <c r="I497" s="452"/>
    </row>
    <row r="498" spans="1:9" s="453" customFormat="1" x14ac:dyDescent="0.2">
      <c r="A498" s="452"/>
      <c r="B498" s="452"/>
      <c r="C498" s="452"/>
      <c r="D498" s="452"/>
      <c r="E498" s="452"/>
      <c r="F498" s="452"/>
      <c r="G498" s="452"/>
      <c r="H498" s="452"/>
      <c r="I498" s="452"/>
    </row>
    <row r="499" spans="1:9" s="453" customFormat="1" x14ac:dyDescent="0.2">
      <c r="A499" s="454" t="s">
        <v>14</v>
      </c>
      <c r="B499" s="455" t="s">
        <v>82</v>
      </c>
      <c r="C499" s="455" t="s">
        <v>160</v>
      </c>
      <c r="D499" s="471"/>
      <c r="E499" s="471"/>
      <c r="F499" s="471"/>
      <c r="G499" s="471"/>
      <c r="H499" s="471"/>
      <c r="I499" s="452"/>
    </row>
    <row r="500" spans="1:9" s="453" customFormat="1" x14ac:dyDescent="0.2">
      <c r="A500" s="457" t="s">
        <v>27</v>
      </c>
      <c r="B500" s="486">
        <v>2016</v>
      </c>
      <c r="C500" s="486">
        <v>2017</v>
      </c>
      <c r="D500" s="487">
        <v>2018</v>
      </c>
      <c r="E500" s="486">
        <v>2019</v>
      </c>
      <c r="F500" s="488">
        <v>2020</v>
      </c>
      <c r="G500" s="488">
        <v>2021</v>
      </c>
      <c r="H500" s="488">
        <v>2022</v>
      </c>
    </row>
    <row r="501" spans="1:9" s="453" customFormat="1" x14ac:dyDescent="0.2">
      <c r="A501" s="457" t="s">
        <v>28</v>
      </c>
      <c r="B501" s="461">
        <v>10</v>
      </c>
      <c r="C501" s="461">
        <v>10</v>
      </c>
      <c r="D501" s="461">
        <v>10</v>
      </c>
      <c r="E501" s="461">
        <v>10</v>
      </c>
      <c r="F501" s="461">
        <v>10</v>
      </c>
      <c r="G501" s="461">
        <v>10</v>
      </c>
      <c r="H501" s="461">
        <v>10</v>
      </c>
    </row>
    <row r="502" spans="1:9" s="453" customFormat="1" x14ac:dyDescent="0.2">
      <c r="A502" s="457" t="s">
        <v>29</v>
      </c>
      <c r="B502" s="464">
        <v>10</v>
      </c>
      <c r="C502" s="464">
        <f t="shared" ref="C502:H502" si="19">B505+10</f>
        <v>-31.037900001525877</v>
      </c>
      <c r="D502" s="464">
        <f t="shared" si="19"/>
        <v>-100.44840000534057</v>
      </c>
      <c r="E502" s="464">
        <f t="shared" si="19"/>
        <v>-131.83390000534058</v>
      </c>
      <c r="F502" s="464">
        <f t="shared" si="19"/>
        <v>-149.28490000534057</v>
      </c>
      <c r="G502" s="464">
        <f t="shared" si="19"/>
        <v>-157.49490000534058</v>
      </c>
      <c r="H502" s="464">
        <f t="shared" si="19"/>
        <v>-171.18490000534058</v>
      </c>
    </row>
    <row r="503" spans="1:9" s="453" customFormat="1" x14ac:dyDescent="0.2">
      <c r="A503" s="457" t="s">
        <v>30</v>
      </c>
      <c r="B503" s="463"/>
      <c r="C503" s="463" t="s">
        <v>425</v>
      </c>
      <c r="D503" s="465" t="s">
        <v>426</v>
      </c>
      <c r="E503" s="463" t="s">
        <v>427</v>
      </c>
      <c r="F503" s="466" t="s">
        <v>428</v>
      </c>
      <c r="G503" s="466" t="s">
        <v>617</v>
      </c>
      <c r="H503" s="466" t="s">
        <v>689</v>
      </c>
    </row>
    <row r="504" spans="1:9" s="453" customFormat="1" x14ac:dyDescent="0.2">
      <c r="A504" s="457" t="s">
        <v>31</v>
      </c>
      <c r="B504" s="489">
        <v>51.037900001525877</v>
      </c>
      <c r="C504" s="489">
        <v>79.410500003814704</v>
      </c>
      <c r="D504" s="489">
        <v>41.3855</v>
      </c>
      <c r="E504" s="490">
        <v>27.451000000000001</v>
      </c>
      <c r="F504" s="490">
        <v>18.21</v>
      </c>
      <c r="G504" s="462">
        <v>23.69</v>
      </c>
      <c r="H504" s="466"/>
    </row>
    <row r="505" spans="1:9" s="453" customFormat="1" x14ac:dyDescent="0.2">
      <c r="A505" s="457" t="s">
        <v>32</v>
      </c>
      <c r="B505" s="464">
        <f>B502-B504</f>
        <v>-41.037900001525877</v>
      </c>
      <c r="C505" s="464">
        <f>C502-C504</f>
        <v>-110.44840000534057</v>
      </c>
      <c r="D505" s="464">
        <f t="shared" ref="D505:G505" si="20">D502-D504</f>
        <v>-141.83390000534058</v>
      </c>
      <c r="E505" s="464">
        <f t="shared" si="20"/>
        <v>-159.28490000534057</v>
      </c>
      <c r="F505" s="464">
        <f t="shared" si="20"/>
        <v>-167.49490000534058</v>
      </c>
      <c r="G505" s="464">
        <f t="shared" si="20"/>
        <v>-181.18490000534058</v>
      </c>
      <c r="H505" s="464"/>
    </row>
    <row r="506" spans="1:9" s="453" customFormat="1" x14ac:dyDescent="0.2">
      <c r="A506" s="457" t="s">
        <v>33</v>
      </c>
      <c r="B506" s="463">
        <v>2017</v>
      </c>
      <c r="C506" s="463">
        <v>2018</v>
      </c>
      <c r="D506" s="465">
        <v>2019</v>
      </c>
      <c r="E506" s="463">
        <v>2020</v>
      </c>
      <c r="F506" s="466">
        <v>2021</v>
      </c>
      <c r="G506" s="466">
        <v>2022</v>
      </c>
      <c r="H506" s="466">
        <v>2023</v>
      </c>
    </row>
    <row r="507" spans="1:9" s="453" customFormat="1" x14ac:dyDescent="0.2">
      <c r="A507" s="457" t="s">
        <v>34</v>
      </c>
      <c r="B507" s="482"/>
      <c r="C507" s="482"/>
      <c r="D507" s="482"/>
      <c r="E507" s="482"/>
      <c r="F507" s="482"/>
      <c r="G507" s="482"/>
      <c r="H507" s="480"/>
    </row>
    <row r="508" spans="1:9" s="453" customFormat="1" x14ac:dyDescent="0.2">
      <c r="A508" s="483" t="s">
        <v>718</v>
      </c>
      <c r="B508" s="468"/>
      <c r="C508" s="468"/>
      <c r="D508" s="468"/>
      <c r="E508" s="468"/>
      <c r="F508" s="468"/>
      <c r="G508" s="468"/>
      <c r="H508" s="469"/>
    </row>
    <row r="509" spans="1:9" s="453" customFormat="1" x14ac:dyDescent="0.2">
      <c r="A509" s="484" t="s">
        <v>719</v>
      </c>
      <c r="B509" s="471"/>
      <c r="C509" s="471"/>
      <c r="D509" s="471"/>
      <c r="E509" s="471"/>
      <c r="F509" s="471"/>
      <c r="G509" s="471"/>
      <c r="H509" s="472"/>
    </row>
    <row r="510" spans="1:9" s="453" customFormat="1" x14ac:dyDescent="0.2">
      <c r="A510" s="484" t="s">
        <v>720</v>
      </c>
      <c r="B510" s="471"/>
      <c r="C510" s="471"/>
      <c r="D510" s="471"/>
      <c r="E510" s="471"/>
      <c r="F510" s="471"/>
      <c r="G510" s="471"/>
      <c r="H510" s="472"/>
    </row>
    <row r="511" spans="1:9" s="453" customFormat="1" x14ac:dyDescent="0.2">
      <c r="A511" s="484" t="s">
        <v>721</v>
      </c>
      <c r="B511" s="471"/>
      <c r="C511" s="471"/>
      <c r="D511" s="471"/>
      <c r="E511" s="471"/>
      <c r="F511" s="471"/>
      <c r="G511" s="471"/>
      <c r="H511" s="472"/>
    </row>
    <row r="512" spans="1:9" s="453" customFormat="1" x14ac:dyDescent="0.2">
      <c r="A512" s="484" t="s">
        <v>722</v>
      </c>
      <c r="B512" s="471"/>
      <c r="C512" s="471"/>
      <c r="D512" s="471"/>
      <c r="E512" s="471"/>
      <c r="F512" s="471"/>
      <c r="G512" s="471"/>
      <c r="H512" s="472"/>
    </row>
    <row r="513" spans="1:9" s="453" customFormat="1" x14ac:dyDescent="0.2">
      <c r="A513" s="485" t="s">
        <v>723</v>
      </c>
      <c r="B513" s="474"/>
      <c r="C513" s="474"/>
      <c r="D513" s="474"/>
      <c r="E513" s="474"/>
      <c r="F513" s="474"/>
      <c r="G513" s="474"/>
      <c r="H513" s="475"/>
    </row>
    <row r="516" spans="1:9" x14ac:dyDescent="0.2">
      <c r="A516" s="243" t="s">
        <v>12</v>
      </c>
      <c r="B516" s="244" t="s">
        <v>257</v>
      </c>
    </row>
    <row r="517" spans="1:9" x14ac:dyDescent="0.2">
      <c r="A517" s="16" t="s">
        <v>14</v>
      </c>
      <c r="B517" s="13" t="s">
        <v>708</v>
      </c>
      <c r="C517" s="13" t="s">
        <v>160</v>
      </c>
      <c r="D517" s="7"/>
      <c r="E517" s="7"/>
      <c r="F517" s="7"/>
      <c r="G517" s="7"/>
    </row>
    <row r="518" spans="1:9" x14ac:dyDescent="0.2">
      <c r="A518" s="14" t="s">
        <v>16</v>
      </c>
      <c r="B518" s="140"/>
      <c r="C518" s="66">
        <v>2015</v>
      </c>
      <c r="D518" s="66">
        <v>2016</v>
      </c>
      <c r="E518" s="66" t="s">
        <v>252</v>
      </c>
      <c r="F518" s="66" t="s">
        <v>253</v>
      </c>
      <c r="G518" s="66" t="s">
        <v>254</v>
      </c>
      <c r="H518" s="66" t="s">
        <v>298</v>
      </c>
      <c r="I518" s="385" t="s">
        <v>553</v>
      </c>
    </row>
    <row r="519" spans="1:9" x14ac:dyDescent="0.2">
      <c r="A519" s="8" t="s">
        <v>17</v>
      </c>
      <c r="B519" s="9"/>
      <c r="C519" s="29">
        <v>50</v>
      </c>
      <c r="D519" s="29">
        <v>50</v>
      </c>
      <c r="E519" s="29">
        <v>50</v>
      </c>
      <c r="F519" s="29">
        <v>50</v>
      </c>
      <c r="G519" s="29">
        <v>50</v>
      </c>
      <c r="H519" s="29">
        <v>50</v>
      </c>
      <c r="I519" s="386">
        <v>50</v>
      </c>
    </row>
    <row r="520" spans="1:9" x14ac:dyDescent="0.2">
      <c r="A520" s="8" t="s">
        <v>18</v>
      </c>
      <c r="B520" s="245"/>
      <c r="C520" s="29">
        <v>75</v>
      </c>
      <c r="D520" s="29">
        <v>75</v>
      </c>
      <c r="E520" s="29">
        <v>75</v>
      </c>
      <c r="F520" s="29">
        <v>70</v>
      </c>
      <c r="G520" s="29">
        <v>70</v>
      </c>
      <c r="H520" s="29">
        <f>H519+F523</f>
        <v>62.6</v>
      </c>
      <c r="I520" s="386">
        <v>70</v>
      </c>
    </row>
    <row r="521" spans="1:9" x14ac:dyDescent="0.2">
      <c r="A521" s="8" t="s">
        <v>19</v>
      </c>
      <c r="B521" s="49"/>
      <c r="C521" s="27" t="s">
        <v>149</v>
      </c>
      <c r="D521" s="27" t="s">
        <v>149</v>
      </c>
      <c r="E521" s="27" t="s">
        <v>149</v>
      </c>
      <c r="F521" s="12" t="s">
        <v>255</v>
      </c>
      <c r="G521" s="12" t="s">
        <v>255</v>
      </c>
      <c r="H521" s="27" t="s">
        <v>345</v>
      </c>
      <c r="I521" s="387" t="s">
        <v>655</v>
      </c>
    </row>
    <row r="522" spans="1:9" x14ac:dyDescent="0.2">
      <c r="A522" s="8" t="s">
        <v>20</v>
      </c>
      <c r="B522" s="9"/>
      <c r="C522" s="29">
        <v>0</v>
      </c>
      <c r="D522" s="29">
        <v>27.449000000000002</v>
      </c>
      <c r="E522" s="29">
        <v>21.13</v>
      </c>
      <c r="F522" s="29">
        <v>57.4</v>
      </c>
      <c r="G522" s="29">
        <v>21.8</v>
      </c>
      <c r="H522" s="29">
        <v>27.576000000000001</v>
      </c>
      <c r="I522" s="386"/>
    </row>
    <row r="523" spans="1:9" x14ac:dyDescent="0.2">
      <c r="A523" s="8" t="s">
        <v>21</v>
      </c>
      <c r="B523" s="9"/>
      <c r="C523" s="29">
        <v>75</v>
      </c>
      <c r="D523" s="29">
        <f>D520-D522</f>
        <v>47.551000000000002</v>
      </c>
      <c r="E523" s="29">
        <f>E520-E522</f>
        <v>53.870000000000005</v>
      </c>
      <c r="F523" s="29">
        <f>F520-F522</f>
        <v>12.600000000000001</v>
      </c>
      <c r="G523" s="29">
        <f>G520-G522</f>
        <v>48.2</v>
      </c>
      <c r="H523" s="29">
        <f>H520-H522</f>
        <v>35.024000000000001</v>
      </c>
      <c r="I523" s="386"/>
    </row>
    <row r="524" spans="1:9" x14ac:dyDescent="0.2">
      <c r="A524" s="8" t="s">
        <v>22</v>
      </c>
      <c r="B524" s="9"/>
      <c r="C524" s="66">
        <v>2017</v>
      </c>
      <c r="D524" s="66">
        <v>2018</v>
      </c>
      <c r="E524" s="66">
        <v>2019</v>
      </c>
      <c r="F524" s="66">
        <v>2020</v>
      </c>
      <c r="G524" s="66">
        <v>2021</v>
      </c>
      <c r="H524" s="66">
        <v>2022</v>
      </c>
      <c r="I524" s="385">
        <v>2023</v>
      </c>
    </row>
    <row r="525" spans="1:9" ht="39.6" customHeight="1" x14ac:dyDescent="0.2">
      <c r="A525" s="591" t="s">
        <v>256</v>
      </c>
      <c r="B525" s="592"/>
      <c r="C525" s="592"/>
      <c r="D525" s="592"/>
      <c r="E525" s="592"/>
      <c r="F525" s="592"/>
      <c r="G525" s="592"/>
      <c r="H525" s="592"/>
      <c r="I525" s="593"/>
    </row>
    <row r="526" spans="1:9" x14ac:dyDescent="0.2">
      <c r="A526" s="35"/>
      <c r="B526" s="35"/>
      <c r="C526" s="35"/>
      <c r="D526" s="35"/>
      <c r="E526" s="35"/>
      <c r="F526" s="35"/>
      <c r="G526" s="35"/>
    </row>
    <row r="527" spans="1:9" x14ac:dyDescent="0.2">
      <c r="A527" s="16" t="s">
        <v>14</v>
      </c>
      <c r="B527" s="13" t="s">
        <v>736</v>
      </c>
      <c r="C527" s="13" t="s">
        <v>160</v>
      </c>
      <c r="D527" s="7"/>
      <c r="E527" s="7"/>
      <c r="F527" s="7"/>
      <c r="G527" s="7"/>
    </row>
    <row r="528" spans="1:9" x14ac:dyDescent="0.2">
      <c r="A528" s="14" t="s">
        <v>16</v>
      </c>
      <c r="B528" s="140"/>
      <c r="C528" s="66">
        <v>2015</v>
      </c>
      <c r="D528" s="66">
        <v>2016</v>
      </c>
      <c r="E528" s="66" t="s">
        <v>252</v>
      </c>
      <c r="F528" s="66" t="s">
        <v>253</v>
      </c>
      <c r="G528" s="66" t="s">
        <v>254</v>
      </c>
      <c r="H528" s="66" t="s">
        <v>298</v>
      </c>
      <c r="I528" s="385" t="s">
        <v>553</v>
      </c>
    </row>
    <row r="529" spans="1:9" x14ac:dyDescent="0.2">
      <c r="A529" s="8" t="s">
        <v>17</v>
      </c>
      <c r="B529" s="9"/>
      <c r="C529" s="29">
        <v>125</v>
      </c>
      <c r="D529" s="29">
        <v>125</v>
      </c>
      <c r="E529" s="29">
        <v>125</v>
      </c>
      <c r="F529" s="29">
        <v>125</v>
      </c>
      <c r="G529" s="29">
        <v>125</v>
      </c>
      <c r="H529" s="29">
        <v>125</v>
      </c>
      <c r="I529" s="386">
        <v>125</v>
      </c>
    </row>
    <row r="530" spans="1:9" x14ac:dyDescent="0.2">
      <c r="A530" s="8" t="s">
        <v>18</v>
      </c>
      <c r="B530" s="245"/>
      <c r="C530" s="29">
        <f>C529*1.3</f>
        <v>162.5</v>
      </c>
      <c r="D530" s="29">
        <f>D529*1.3+25</f>
        <v>187.5</v>
      </c>
      <c r="E530" s="29">
        <f t="shared" ref="E530" si="21">E529*1.3+25</f>
        <v>187.5</v>
      </c>
      <c r="F530" s="29">
        <f>F529*1.2+25</f>
        <v>175</v>
      </c>
      <c r="G530" s="29">
        <f t="shared" ref="G530:H530" si="22">G529*1.2+25</f>
        <v>175</v>
      </c>
      <c r="H530" s="29">
        <f t="shared" si="22"/>
        <v>175</v>
      </c>
      <c r="I530" s="386">
        <v>150</v>
      </c>
    </row>
    <row r="531" spans="1:9" x14ac:dyDescent="0.2">
      <c r="A531" s="8" t="s">
        <v>19</v>
      </c>
      <c r="B531" s="49"/>
      <c r="C531" s="27" t="s">
        <v>349</v>
      </c>
      <c r="D531" s="27" t="s">
        <v>350</v>
      </c>
      <c r="E531" s="27" t="s">
        <v>350</v>
      </c>
      <c r="F531" s="27" t="s">
        <v>351</v>
      </c>
      <c r="G531" s="27" t="s">
        <v>351</v>
      </c>
      <c r="H531" s="27" t="s">
        <v>351</v>
      </c>
      <c r="I531" s="387" t="s">
        <v>656</v>
      </c>
    </row>
    <row r="532" spans="1:9" x14ac:dyDescent="0.2">
      <c r="A532" s="8" t="s">
        <v>20</v>
      </c>
      <c r="B532" s="9"/>
      <c r="C532" s="29">
        <v>41.9</v>
      </c>
      <c r="D532" s="29">
        <v>25.21</v>
      </c>
      <c r="E532" s="29">
        <v>16.8</v>
      </c>
      <c r="F532" s="29">
        <v>46.8</v>
      </c>
      <c r="G532" s="29">
        <v>101.46</v>
      </c>
      <c r="H532" s="29">
        <v>17.2</v>
      </c>
      <c r="I532" s="386"/>
    </row>
    <row r="533" spans="1:9" x14ac:dyDescent="0.2">
      <c r="A533" s="8" t="s">
        <v>21</v>
      </c>
      <c r="B533" s="9"/>
      <c r="C533" s="29">
        <f>C530-C532</f>
        <v>120.6</v>
      </c>
      <c r="D533" s="29">
        <f t="shared" ref="D533:G533" si="23">D530-D532</f>
        <v>162.29</v>
      </c>
      <c r="E533" s="29">
        <f t="shared" si="23"/>
        <v>170.7</v>
      </c>
      <c r="F533" s="29">
        <f t="shared" si="23"/>
        <v>128.19999999999999</v>
      </c>
      <c r="G533" s="29">
        <f t="shared" si="23"/>
        <v>73.540000000000006</v>
      </c>
      <c r="H533" s="29">
        <f>H530-H532</f>
        <v>157.80000000000001</v>
      </c>
      <c r="I533" s="386"/>
    </row>
    <row r="534" spans="1:9" x14ac:dyDescent="0.2">
      <c r="A534" s="37" t="s">
        <v>22</v>
      </c>
      <c r="B534" s="38"/>
      <c r="C534" s="74">
        <v>2017</v>
      </c>
      <c r="D534" s="74">
        <v>2018</v>
      </c>
      <c r="E534" s="74">
        <v>2019</v>
      </c>
      <c r="F534" s="74">
        <v>2020</v>
      </c>
      <c r="G534" s="74">
        <v>2021</v>
      </c>
      <c r="H534" s="74">
        <v>2022</v>
      </c>
      <c r="I534" s="390">
        <v>2023</v>
      </c>
    </row>
    <row r="535" spans="1:9" ht="12.75" customHeight="1" x14ac:dyDescent="0.2">
      <c r="A535" s="388" t="s">
        <v>347</v>
      </c>
      <c r="B535" s="389"/>
      <c r="C535" s="389"/>
      <c r="D535" s="389"/>
      <c r="E535" s="389"/>
      <c r="F535" s="389"/>
      <c r="G535" s="389"/>
      <c r="H535" s="389"/>
      <c r="I535" s="31"/>
    </row>
    <row r="536" spans="1:9" x14ac:dyDescent="0.2">
      <c r="A536" s="228" t="s">
        <v>348</v>
      </c>
      <c r="B536" s="35"/>
      <c r="C536" s="35"/>
      <c r="D536" s="35"/>
      <c r="E536" s="35"/>
      <c r="F536" s="35"/>
      <c r="G536" s="35"/>
      <c r="I536" s="21"/>
    </row>
    <row r="537" spans="1:9" ht="13.15" customHeight="1" x14ac:dyDescent="0.2">
      <c r="A537" s="228" t="s">
        <v>346</v>
      </c>
      <c r="B537" s="35"/>
      <c r="C537" s="35"/>
      <c r="D537" s="35"/>
      <c r="E537" s="35"/>
      <c r="F537" s="35"/>
      <c r="G537" s="35"/>
      <c r="I537" s="21"/>
    </row>
    <row r="538" spans="1:9" x14ac:dyDescent="0.2">
      <c r="A538" s="246"/>
      <c r="B538" s="247"/>
      <c r="C538" s="247"/>
      <c r="D538" s="247"/>
      <c r="E538" s="247"/>
      <c r="F538" s="247"/>
      <c r="G538" s="247"/>
      <c r="H538" s="33"/>
      <c r="I538" s="34"/>
    </row>
    <row r="539" spans="1:9" x14ac:dyDescent="0.2">
      <c r="A539" s="35"/>
      <c r="B539" s="35"/>
      <c r="C539" s="35"/>
      <c r="D539" s="35"/>
      <c r="E539" s="35"/>
      <c r="F539" s="35"/>
      <c r="G539" s="35"/>
    </row>
    <row r="540" spans="1:9" x14ac:dyDescent="0.2">
      <c r="A540" s="35"/>
      <c r="B540" s="35"/>
      <c r="C540" s="35"/>
      <c r="D540" s="35"/>
      <c r="E540" s="35"/>
      <c r="F540" s="35"/>
      <c r="G540" s="35"/>
    </row>
    <row r="541" spans="1:9" x14ac:dyDescent="0.2">
      <c r="A541" s="243" t="s">
        <v>12</v>
      </c>
      <c r="B541" s="628" t="s">
        <v>688</v>
      </c>
    </row>
    <row r="542" spans="1:9" x14ac:dyDescent="0.2">
      <c r="A542" s="443" t="s">
        <v>14</v>
      </c>
      <c r="B542" s="444" t="s">
        <v>82</v>
      </c>
      <c r="C542" s="444" t="s">
        <v>160</v>
      </c>
      <c r="D542" s="7"/>
      <c r="E542" s="7"/>
      <c r="F542" s="7"/>
      <c r="G542" s="7"/>
    </row>
    <row r="543" spans="1:9" x14ac:dyDescent="0.2">
      <c r="A543" s="8" t="s">
        <v>16</v>
      </c>
      <c r="B543" s="88">
        <v>2016</v>
      </c>
      <c r="C543" s="88">
        <v>2017</v>
      </c>
      <c r="D543" s="88">
        <v>2018</v>
      </c>
      <c r="E543" s="88">
        <v>2019</v>
      </c>
      <c r="F543" s="88">
        <v>2020</v>
      </c>
      <c r="G543" s="88">
        <v>2021</v>
      </c>
      <c r="H543" s="88">
        <v>2022</v>
      </c>
    </row>
    <row r="544" spans="1:9" x14ac:dyDescent="0.2">
      <c r="A544" s="8" t="s">
        <v>17</v>
      </c>
      <c r="B544" s="29">
        <v>10</v>
      </c>
      <c r="C544" s="29">
        <v>10</v>
      </c>
      <c r="D544" s="29">
        <v>10</v>
      </c>
      <c r="E544" s="29">
        <v>10</v>
      </c>
      <c r="F544" s="29">
        <v>10</v>
      </c>
      <c r="G544" s="29">
        <v>10</v>
      </c>
      <c r="H544" s="29">
        <v>10</v>
      </c>
    </row>
    <row r="545" spans="1:8" x14ac:dyDescent="0.2">
      <c r="A545" s="8" t="s">
        <v>18</v>
      </c>
      <c r="B545" s="29"/>
      <c r="C545" s="29"/>
      <c r="D545" s="386">
        <f>C548+D544</f>
        <v>-28</v>
      </c>
      <c r="E545" s="386">
        <f t="shared" ref="E545:H545" si="24">D548+E544</f>
        <v>-20.3</v>
      </c>
      <c r="F545" s="386">
        <f t="shared" si="24"/>
        <v>-30.6</v>
      </c>
      <c r="G545" s="386">
        <f t="shared" si="24"/>
        <v>-20.6</v>
      </c>
      <c r="H545" s="386">
        <f t="shared" si="24"/>
        <v>-12.533000000000001</v>
      </c>
    </row>
    <row r="546" spans="1:8" x14ac:dyDescent="0.2">
      <c r="A546" s="8" t="s">
        <v>19</v>
      </c>
      <c r="B546" s="135"/>
      <c r="C546" s="135"/>
      <c r="D546" s="135"/>
      <c r="E546" s="135"/>
      <c r="F546" s="135"/>
      <c r="G546" s="135"/>
      <c r="H546" s="135"/>
    </row>
    <row r="547" spans="1:8" x14ac:dyDescent="0.2">
      <c r="A547" s="8" t="s">
        <v>20</v>
      </c>
      <c r="B547" s="29">
        <v>0</v>
      </c>
      <c r="C547" s="29">
        <v>48</v>
      </c>
      <c r="D547" s="29">
        <v>2.2999999999999998</v>
      </c>
      <c r="E547" s="29">
        <v>20.3</v>
      </c>
      <c r="F547" s="29">
        <v>0</v>
      </c>
      <c r="G547" s="29">
        <v>1.9330000000000001</v>
      </c>
      <c r="H547" s="29"/>
    </row>
    <row r="548" spans="1:8" x14ac:dyDescent="0.2">
      <c r="A548" s="8" t="s">
        <v>21</v>
      </c>
      <c r="B548" s="29">
        <f>B544-B547</f>
        <v>10</v>
      </c>
      <c r="C548" s="386">
        <f>C544-C547</f>
        <v>-38</v>
      </c>
      <c r="D548" s="386">
        <f>D545-D547</f>
        <v>-30.3</v>
      </c>
      <c r="E548" s="386">
        <f>E545-E547</f>
        <v>-40.6</v>
      </c>
      <c r="F548" s="386">
        <f>F545-F547</f>
        <v>-30.6</v>
      </c>
      <c r="G548" s="386">
        <f>G545-G547</f>
        <v>-22.533000000000001</v>
      </c>
      <c r="H548" s="386"/>
    </row>
    <row r="549" spans="1:8" x14ac:dyDescent="0.2">
      <c r="A549" s="37" t="s">
        <v>22</v>
      </c>
      <c r="B549" s="38">
        <v>2017</v>
      </c>
      <c r="C549" s="38">
        <v>2018</v>
      </c>
      <c r="D549" s="38">
        <v>2019</v>
      </c>
      <c r="E549" s="38">
        <v>2020</v>
      </c>
      <c r="F549" s="38">
        <v>2021</v>
      </c>
      <c r="G549" s="38">
        <v>2022</v>
      </c>
      <c r="H549" s="38">
        <v>2023</v>
      </c>
    </row>
    <row r="550" spans="1:8" ht="12.75" customHeight="1" x14ac:dyDescent="0.2">
      <c r="A550" s="591" t="s">
        <v>471</v>
      </c>
      <c r="B550" s="592"/>
      <c r="C550" s="592"/>
      <c r="D550" s="592"/>
      <c r="E550" s="592"/>
      <c r="F550" s="592"/>
      <c r="G550" s="592"/>
      <c r="H550" s="593"/>
    </row>
    <row r="552" spans="1:8" x14ac:dyDescent="0.2">
      <c r="A552" s="35"/>
      <c r="B552" s="35"/>
      <c r="C552" s="35"/>
      <c r="D552" s="35"/>
      <c r="E552" s="35"/>
      <c r="F552" s="35"/>
      <c r="G552" s="35"/>
    </row>
    <row r="553" spans="1:8" x14ac:dyDescent="0.2">
      <c r="A553" s="35"/>
      <c r="B553" s="35"/>
      <c r="C553" s="35"/>
      <c r="D553" s="35"/>
      <c r="E553" s="35"/>
      <c r="F553" s="35"/>
      <c r="G553" s="35"/>
    </row>
    <row r="554" spans="1:8" x14ac:dyDescent="0.2">
      <c r="A554" s="512" t="s">
        <v>12</v>
      </c>
      <c r="B554" s="628" t="s">
        <v>830</v>
      </c>
      <c r="C554" s="362"/>
      <c r="D554" s="362"/>
    </row>
    <row r="555" spans="1:8" x14ac:dyDescent="0.2">
      <c r="A555" s="454" t="s">
        <v>14</v>
      </c>
      <c r="B555" s="455" t="s">
        <v>737</v>
      </c>
      <c r="C555" s="455" t="s">
        <v>160</v>
      </c>
      <c r="D555" s="456"/>
      <c r="E555" s="7"/>
      <c r="F555" s="7"/>
      <c r="G555" s="7"/>
    </row>
    <row r="556" spans="1:8" x14ac:dyDescent="0.2">
      <c r="A556" s="513" t="s">
        <v>16</v>
      </c>
      <c r="B556" s="514"/>
      <c r="C556" s="514">
        <v>2021</v>
      </c>
      <c r="D556" s="514">
        <v>2022</v>
      </c>
    </row>
    <row r="557" spans="1:8" x14ac:dyDescent="0.2">
      <c r="A557" s="515" t="s">
        <v>17</v>
      </c>
      <c r="B557" s="386"/>
      <c r="C557" s="386">
        <v>330</v>
      </c>
      <c r="D557" s="386">
        <v>330</v>
      </c>
    </row>
    <row r="558" spans="1:8" x14ac:dyDescent="0.2">
      <c r="A558" s="515" t="s">
        <v>18</v>
      </c>
      <c r="B558" s="386"/>
      <c r="C558" s="386"/>
      <c r="D558" s="386">
        <f>D557-259.62</f>
        <v>70.38</v>
      </c>
    </row>
    <row r="559" spans="1:8" x14ac:dyDescent="0.2">
      <c r="A559" s="515" t="s">
        <v>19</v>
      </c>
      <c r="B559" s="516"/>
      <c r="C559" s="516"/>
      <c r="D559" s="516"/>
    </row>
    <row r="560" spans="1:8" x14ac:dyDescent="0.2">
      <c r="A560" s="515" t="s">
        <v>20</v>
      </c>
      <c r="B560" s="386"/>
      <c r="C560" s="386">
        <v>326.61</v>
      </c>
      <c r="D560" s="386"/>
    </row>
    <row r="561" spans="1:8" x14ac:dyDescent="0.2">
      <c r="A561" s="515" t="s">
        <v>21</v>
      </c>
      <c r="B561" s="386"/>
      <c r="C561" s="386">
        <f>C557-C560</f>
        <v>3.3899999999999864</v>
      </c>
      <c r="D561" s="386"/>
    </row>
    <row r="562" spans="1:8" x14ac:dyDescent="0.2">
      <c r="A562" s="517" t="s">
        <v>22</v>
      </c>
      <c r="B562" s="518"/>
      <c r="C562" s="518"/>
      <c r="D562" s="518"/>
    </row>
    <row r="563" spans="1:8" ht="13.15" customHeight="1" x14ac:dyDescent="0.2">
      <c r="A563" s="519" t="s">
        <v>23</v>
      </c>
      <c r="B563" s="519"/>
      <c r="C563" s="519"/>
      <c r="D563" s="519"/>
      <c r="E563" s="28"/>
    </row>
    <row r="564" spans="1:8" ht="37.5" customHeight="1" x14ac:dyDescent="0.2">
      <c r="A564" s="624" t="s">
        <v>761</v>
      </c>
      <c r="B564" s="625"/>
      <c r="C564" s="625"/>
      <c r="D564" s="626"/>
      <c r="E564" s="28"/>
    </row>
    <row r="565" spans="1:8" x14ac:dyDescent="0.2">
      <c r="A565" s="35"/>
      <c r="B565" s="35"/>
      <c r="C565" s="35"/>
      <c r="D565" s="35"/>
      <c r="E565" s="28"/>
      <c r="F565" s="28"/>
      <c r="G565" s="28"/>
      <c r="H565" s="28"/>
    </row>
    <row r="567" spans="1:8" x14ac:dyDescent="0.2">
      <c r="A567" s="243" t="s">
        <v>12</v>
      </c>
      <c r="B567" s="244" t="s">
        <v>270</v>
      </c>
    </row>
    <row r="568" spans="1:8" x14ac:dyDescent="0.2">
      <c r="A568" s="16" t="s">
        <v>14</v>
      </c>
      <c r="B568" s="13" t="s">
        <v>74</v>
      </c>
      <c r="C568" s="13" t="s">
        <v>160</v>
      </c>
      <c r="D568" s="7"/>
      <c r="E568" s="7"/>
      <c r="F568" s="7"/>
      <c r="G568" s="7"/>
    </row>
    <row r="569" spans="1:8" x14ac:dyDescent="0.2">
      <c r="A569" s="14" t="s">
        <v>16</v>
      </c>
      <c r="B569" s="143" t="s">
        <v>253</v>
      </c>
      <c r="C569" s="88" t="s">
        <v>254</v>
      </c>
      <c r="D569" s="88" t="s">
        <v>298</v>
      </c>
      <c r="E569" s="88" t="s">
        <v>666</v>
      </c>
    </row>
    <row r="570" spans="1:8" x14ac:dyDescent="0.2">
      <c r="A570" s="8" t="s">
        <v>17</v>
      </c>
      <c r="B570" s="29" t="s">
        <v>55</v>
      </c>
      <c r="C570" s="29" t="s">
        <v>55</v>
      </c>
      <c r="D570" s="29">
        <v>1552.77</v>
      </c>
      <c r="E570" s="386">
        <v>1527.9256800000001</v>
      </c>
    </row>
    <row r="571" spans="1:8" x14ac:dyDescent="0.2">
      <c r="A571" s="8" t="s">
        <v>18</v>
      </c>
      <c r="B571" s="29" t="s">
        <v>55</v>
      </c>
      <c r="C571" s="29" t="s">
        <v>55</v>
      </c>
      <c r="D571" s="29"/>
      <c r="E571" s="29"/>
    </row>
    <row r="572" spans="1:8" x14ac:dyDescent="0.2">
      <c r="A572" s="8" t="s">
        <v>19</v>
      </c>
      <c r="B572" s="135"/>
      <c r="C572" s="135"/>
      <c r="D572" s="135"/>
      <c r="E572" s="135"/>
    </row>
    <row r="573" spans="1:8" x14ac:dyDescent="0.2">
      <c r="A573" s="8" t="s">
        <v>20</v>
      </c>
      <c r="B573" s="29">
        <v>2633.56</v>
      </c>
      <c r="C573" s="29">
        <v>2463.83</v>
      </c>
      <c r="D573" s="386">
        <v>1518</v>
      </c>
      <c r="E573" s="29">
        <v>1491.84</v>
      </c>
    </row>
    <row r="574" spans="1:8" x14ac:dyDescent="0.2">
      <c r="A574" s="8" t="s">
        <v>21</v>
      </c>
      <c r="B574" s="29" t="s">
        <v>55</v>
      </c>
      <c r="C574" s="29" t="s">
        <v>55</v>
      </c>
      <c r="D574" s="386">
        <f>D570-D573</f>
        <v>34.769999999999982</v>
      </c>
      <c r="E574" s="29">
        <f>E570-E573</f>
        <v>36.085680000000139</v>
      </c>
    </row>
    <row r="575" spans="1:8" x14ac:dyDescent="0.2">
      <c r="A575" s="37" t="s">
        <v>22</v>
      </c>
      <c r="B575" s="38"/>
      <c r="C575" s="38"/>
      <c r="D575" s="38"/>
      <c r="E575" s="38"/>
    </row>
    <row r="576" spans="1:8" ht="72" customHeight="1" x14ac:dyDescent="0.2">
      <c r="A576" s="591" t="s">
        <v>665</v>
      </c>
      <c r="B576" s="592"/>
      <c r="C576" s="592"/>
      <c r="D576" s="592"/>
      <c r="E576" s="593"/>
      <c r="F576" s="28"/>
      <c r="G576" s="28"/>
      <c r="H576" s="28"/>
    </row>
    <row r="578" spans="1:13" ht="13.15" customHeight="1" x14ac:dyDescent="0.2"/>
    <row r="579" spans="1:13" x14ac:dyDescent="0.2">
      <c r="A579" s="243" t="s">
        <v>12</v>
      </c>
      <c r="B579" s="244" t="s">
        <v>47</v>
      </c>
    </row>
    <row r="580" spans="1:13" x14ac:dyDescent="0.2">
      <c r="A580" s="117" t="s">
        <v>14</v>
      </c>
      <c r="B580" s="142" t="s">
        <v>709</v>
      </c>
      <c r="C580" s="61" t="s">
        <v>15</v>
      </c>
    </row>
    <row r="581" spans="1:13" x14ac:dyDescent="0.2">
      <c r="A581" s="32" t="s">
        <v>16</v>
      </c>
      <c r="B581" s="141">
        <v>2014</v>
      </c>
      <c r="C581" s="57">
        <v>2015</v>
      </c>
      <c r="D581" s="57">
        <v>2016</v>
      </c>
      <c r="E581" s="57">
        <v>2017</v>
      </c>
      <c r="F581" s="57">
        <v>2018</v>
      </c>
      <c r="G581" s="57">
        <v>2019</v>
      </c>
      <c r="H581" s="57">
        <v>2020</v>
      </c>
      <c r="I581" s="57">
        <v>2021</v>
      </c>
      <c r="J581" s="57">
        <v>2022</v>
      </c>
      <c r="K581" s="57">
        <v>2023</v>
      </c>
    </row>
    <row r="582" spans="1:13" x14ac:dyDescent="0.2">
      <c r="A582" s="52" t="s">
        <v>17</v>
      </c>
      <c r="B582" s="69">
        <v>21551.3</v>
      </c>
      <c r="C582" s="69">
        <v>21551.3</v>
      </c>
      <c r="D582" s="69">
        <v>21551.3</v>
      </c>
      <c r="E582" s="69">
        <v>21551.3</v>
      </c>
      <c r="F582" s="69">
        <v>25861.599999999999</v>
      </c>
      <c r="G582" s="69">
        <v>25861.599999999999</v>
      </c>
      <c r="H582" s="69">
        <v>25861.599999999999</v>
      </c>
      <c r="I582" s="23">
        <v>29095.1</v>
      </c>
      <c r="J582" s="23">
        <v>29095.1</v>
      </c>
      <c r="K582" s="23">
        <v>29095.1</v>
      </c>
    </row>
    <row r="583" spans="1:13" x14ac:dyDescent="0.2">
      <c r="A583" s="52" t="s">
        <v>18</v>
      </c>
      <c r="B583" s="69">
        <v>26534.959999999999</v>
      </c>
      <c r="C583" s="69">
        <v>26939.13</v>
      </c>
      <c r="D583" s="69">
        <v>24541.7</v>
      </c>
      <c r="E583" s="69">
        <v>26939.125</v>
      </c>
      <c r="F583" s="69">
        <v>26094.649999999998</v>
      </c>
      <c r="G583" s="69">
        <v>29536.849000000002</v>
      </c>
      <c r="H583" s="69">
        <v>26869.420999999995</v>
      </c>
      <c r="I583" s="23">
        <f>I582+G586-434.04</f>
        <v>28121.021000000001</v>
      </c>
      <c r="J583" s="23">
        <f>J582+H586-0.0152*J582</f>
        <v>29941.571479999991</v>
      </c>
      <c r="K583" s="23">
        <f>K582+I586-0.0152*I582</f>
        <v>30678.782479999994</v>
      </c>
      <c r="L583" s="43"/>
      <c r="M583" s="43"/>
    </row>
    <row r="584" spans="1:13" ht="38.25" x14ac:dyDescent="0.2">
      <c r="A584" s="52" t="s">
        <v>19</v>
      </c>
      <c r="B584" s="71" t="s">
        <v>48</v>
      </c>
      <c r="C584" s="71" t="s">
        <v>49</v>
      </c>
      <c r="D584" s="71" t="s">
        <v>50</v>
      </c>
      <c r="E584" s="248" t="s">
        <v>51</v>
      </c>
      <c r="F584" s="248" t="s">
        <v>52</v>
      </c>
      <c r="G584" s="248" t="s">
        <v>53</v>
      </c>
      <c r="H584" s="248" t="s">
        <v>54</v>
      </c>
      <c r="I584" s="99" t="s">
        <v>515</v>
      </c>
      <c r="J584" s="99" t="s">
        <v>516</v>
      </c>
      <c r="K584" s="99" t="s">
        <v>724</v>
      </c>
    </row>
    <row r="585" spans="1:13" ht="12.6" customHeight="1" x14ac:dyDescent="0.2">
      <c r="A585" s="52" t="s">
        <v>20</v>
      </c>
      <c r="B585" s="23">
        <v>23544.560000000001</v>
      </c>
      <c r="C585" s="23">
        <v>20891.8</v>
      </c>
      <c r="D585" s="23">
        <v>24308.65</v>
      </c>
      <c r="E585" s="23">
        <v>23263.875999999997</v>
      </c>
      <c r="F585" s="23">
        <v>25086.829000000002</v>
      </c>
      <c r="G585" s="23">
        <v>30076.887999999999</v>
      </c>
      <c r="H585" s="23">
        <v>25580.704000000002</v>
      </c>
      <c r="I585" s="23">
        <v>26095.093000000004</v>
      </c>
      <c r="J585" s="23"/>
      <c r="K585" s="23"/>
    </row>
    <row r="586" spans="1:13" x14ac:dyDescent="0.2">
      <c r="A586" s="52" t="s">
        <v>21</v>
      </c>
      <c r="B586" s="23">
        <v>2990.4</v>
      </c>
      <c r="C586" s="23">
        <v>6047.33</v>
      </c>
      <c r="D586" s="23">
        <v>233.04999999999927</v>
      </c>
      <c r="E586" s="23">
        <v>3675.2490000000034</v>
      </c>
      <c r="F586" s="23">
        <v>1007.8209999999963</v>
      </c>
      <c r="G586" s="23">
        <f>G583-G585</f>
        <v>-540.03899999999703</v>
      </c>
      <c r="H586" s="23">
        <f>H583-H585</f>
        <v>1288.7169999999933</v>
      </c>
      <c r="I586" s="23">
        <f>I583-I585</f>
        <v>2025.9279999999962</v>
      </c>
      <c r="J586" s="23"/>
      <c r="K586" s="23"/>
    </row>
    <row r="587" spans="1:13" x14ac:dyDescent="0.2">
      <c r="A587" s="55" t="s">
        <v>22</v>
      </c>
      <c r="B587" s="63">
        <v>2016</v>
      </c>
      <c r="C587" s="63">
        <v>2017</v>
      </c>
      <c r="D587" s="63">
        <v>2018</v>
      </c>
      <c r="E587" s="63">
        <v>2019</v>
      </c>
      <c r="F587" s="63">
        <v>2020</v>
      </c>
      <c r="G587" s="63">
        <v>2021</v>
      </c>
      <c r="H587" s="63">
        <v>2022</v>
      </c>
      <c r="I587" s="63">
        <v>2023</v>
      </c>
      <c r="J587" s="63">
        <v>2024</v>
      </c>
      <c r="K587" s="63">
        <v>2025</v>
      </c>
    </row>
    <row r="588" spans="1:13" x14ac:dyDescent="0.2">
      <c r="A588" s="55" t="s">
        <v>513</v>
      </c>
      <c r="B588" s="98"/>
      <c r="C588" s="98"/>
      <c r="D588" s="98"/>
      <c r="E588" s="98"/>
      <c r="F588" s="98"/>
      <c r="G588" s="98"/>
      <c r="H588" s="98"/>
      <c r="I588" s="98"/>
      <c r="J588" s="30"/>
      <c r="K588" s="31"/>
    </row>
    <row r="589" spans="1:13" x14ac:dyDescent="0.2">
      <c r="A589" s="20" t="s">
        <v>514</v>
      </c>
      <c r="B589" s="97"/>
      <c r="C589" s="97"/>
      <c r="D589" s="97"/>
      <c r="E589" s="97"/>
      <c r="F589" s="97"/>
      <c r="G589" s="97"/>
      <c r="H589" s="97"/>
      <c r="I589" s="97"/>
      <c r="K589" s="21"/>
    </row>
    <row r="590" spans="1:13" x14ac:dyDescent="0.2">
      <c r="A590" s="20" t="s">
        <v>517</v>
      </c>
      <c r="B590" s="97"/>
      <c r="C590" s="97"/>
      <c r="D590" s="97"/>
      <c r="E590" s="97"/>
      <c r="F590" s="97"/>
      <c r="G590" s="97"/>
      <c r="H590" s="97"/>
      <c r="I590" s="97"/>
      <c r="K590" s="21"/>
    </row>
    <row r="591" spans="1:13" x14ac:dyDescent="0.2">
      <c r="A591" s="20" t="s">
        <v>518</v>
      </c>
      <c r="B591" s="97"/>
      <c r="C591" s="97"/>
      <c r="D591" s="97"/>
      <c r="E591" s="97"/>
      <c r="F591" s="97"/>
      <c r="G591" s="97"/>
      <c r="H591" s="97"/>
      <c r="I591" s="97"/>
      <c r="K591" s="21"/>
    </row>
    <row r="592" spans="1:13" x14ac:dyDescent="0.2">
      <c r="A592" s="32" t="s">
        <v>725</v>
      </c>
      <c r="B592" s="100"/>
      <c r="C592" s="100"/>
      <c r="D592" s="100"/>
      <c r="E592" s="100"/>
      <c r="F592" s="100"/>
      <c r="G592" s="100"/>
      <c r="H592" s="100"/>
      <c r="I592" s="100"/>
      <c r="J592" s="33"/>
      <c r="K592" s="34"/>
    </row>
    <row r="594" spans="1:10" x14ac:dyDescent="0.2">
      <c r="A594" s="117" t="s">
        <v>14</v>
      </c>
      <c r="B594" s="142" t="s">
        <v>732</v>
      </c>
      <c r="C594" s="61" t="s">
        <v>15</v>
      </c>
    </row>
    <row r="595" spans="1:10" x14ac:dyDescent="0.2">
      <c r="A595" s="32" t="s">
        <v>16</v>
      </c>
      <c r="B595" s="141">
        <v>2014</v>
      </c>
      <c r="C595" s="57">
        <v>2015</v>
      </c>
      <c r="D595" s="57">
        <v>2016</v>
      </c>
      <c r="E595" s="57">
        <v>2017</v>
      </c>
      <c r="F595" s="57">
        <v>2018</v>
      </c>
      <c r="G595" s="57">
        <v>2019</v>
      </c>
      <c r="H595" s="57">
        <v>2020</v>
      </c>
      <c r="I595" s="57">
        <v>2021</v>
      </c>
      <c r="J595" s="57">
        <v>2022</v>
      </c>
    </row>
    <row r="596" spans="1:10" x14ac:dyDescent="0.2">
      <c r="A596" s="52" t="s">
        <v>17</v>
      </c>
      <c r="B596" s="69">
        <v>1470</v>
      </c>
      <c r="C596" s="69">
        <v>1470</v>
      </c>
      <c r="D596" s="69">
        <v>1470</v>
      </c>
      <c r="E596" s="69">
        <v>1470</v>
      </c>
      <c r="F596" s="69">
        <v>1470</v>
      </c>
      <c r="G596" s="69">
        <v>1470</v>
      </c>
      <c r="H596" s="69">
        <v>1470</v>
      </c>
      <c r="I596" s="23">
        <v>1470</v>
      </c>
      <c r="J596" s="23">
        <v>1470</v>
      </c>
    </row>
    <row r="597" spans="1:10" x14ac:dyDescent="0.2">
      <c r="A597" s="52" t="s">
        <v>18</v>
      </c>
      <c r="B597" s="69">
        <v>1470</v>
      </c>
      <c r="C597" s="69">
        <v>1719</v>
      </c>
      <c r="D597" s="69">
        <v>1837.5</v>
      </c>
      <c r="E597" s="69">
        <v>1837.5</v>
      </c>
      <c r="F597" s="69">
        <v>1837.5</v>
      </c>
      <c r="G597" s="69">
        <v>1837.5</v>
      </c>
      <c r="H597" s="69">
        <v>1837.5</v>
      </c>
      <c r="I597" s="69">
        <f>+I596+G596*0.25</f>
        <v>1837.5</v>
      </c>
      <c r="J597" s="69">
        <f>+J596+H596*0.25</f>
        <v>1837.5</v>
      </c>
    </row>
    <row r="598" spans="1:10" x14ac:dyDescent="0.2">
      <c r="A598" s="52" t="s">
        <v>19</v>
      </c>
      <c r="B598" s="71" t="s">
        <v>55</v>
      </c>
      <c r="C598" s="71" t="s">
        <v>56</v>
      </c>
      <c r="D598" s="71" t="s">
        <v>57</v>
      </c>
      <c r="E598" s="248" t="s">
        <v>51</v>
      </c>
      <c r="F598" s="248" t="s">
        <v>58</v>
      </c>
      <c r="G598" s="248" t="s">
        <v>59</v>
      </c>
      <c r="H598" s="248" t="s">
        <v>60</v>
      </c>
      <c r="I598" s="99" t="s">
        <v>275</v>
      </c>
      <c r="J598" s="99" t="s">
        <v>522</v>
      </c>
    </row>
    <row r="599" spans="1:10" x14ac:dyDescent="0.2">
      <c r="A599" s="52" t="s">
        <v>20</v>
      </c>
      <c r="B599" s="23">
        <v>335.36</v>
      </c>
      <c r="C599" s="23">
        <v>472.71</v>
      </c>
      <c r="D599" s="23">
        <v>54.77</v>
      </c>
      <c r="E599" s="23">
        <v>178.2</v>
      </c>
      <c r="F599" s="23">
        <v>102.81099999999999</v>
      </c>
      <c r="G599" s="248">
        <v>81.733813276999982</v>
      </c>
      <c r="H599" s="23">
        <v>60.466000000000008</v>
      </c>
      <c r="I599" s="23">
        <v>70.94</v>
      </c>
      <c r="J599" s="23"/>
    </row>
    <row r="600" spans="1:10" x14ac:dyDescent="0.2">
      <c r="A600" s="52" t="s">
        <v>21</v>
      </c>
      <c r="B600" s="23">
        <v>1135</v>
      </c>
      <c r="C600" s="23">
        <v>1246.29</v>
      </c>
      <c r="D600" s="23">
        <v>1782.73</v>
      </c>
      <c r="E600" s="23">
        <v>1659.3</v>
      </c>
      <c r="F600" s="23">
        <v>1734.6890000000001</v>
      </c>
      <c r="G600" s="248">
        <f>G597-G599</f>
        <v>1755.7661867229999</v>
      </c>
      <c r="H600" s="23">
        <f>H597-H599</f>
        <v>1777.0340000000001</v>
      </c>
      <c r="I600" s="23">
        <f>I597-I599</f>
        <v>1766.56</v>
      </c>
      <c r="J600" s="23"/>
    </row>
    <row r="601" spans="1:10" x14ac:dyDescent="0.2">
      <c r="A601" s="55" t="s">
        <v>22</v>
      </c>
      <c r="B601" s="63">
        <v>2016</v>
      </c>
      <c r="C601" s="63">
        <v>2017</v>
      </c>
      <c r="D601" s="63">
        <v>2018</v>
      </c>
      <c r="E601" s="63">
        <v>2019</v>
      </c>
      <c r="F601" s="63">
        <v>2020</v>
      </c>
      <c r="G601" s="63">
        <v>2021</v>
      </c>
      <c r="H601" s="63">
        <v>2022</v>
      </c>
      <c r="I601" s="63">
        <v>2023</v>
      </c>
      <c r="J601" s="63">
        <v>2024</v>
      </c>
    </row>
    <row r="602" spans="1:10" x14ac:dyDescent="0.2">
      <c r="A602" s="55" t="s">
        <v>520</v>
      </c>
      <c r="B602" s="98"/>
      <c r="C602" s="98"/>
      <c r="D602" s="98"/>
      <c r="E602" s="98"/>
      <c r="F602" s="98"/>
      <c r="G602" s="98"/>
      <c r="H602" s="98"/>
      <c r="I602" s="98"/>
      <c r="J602" s="31"/>
    </row>
    <row r="603" spans="1:10" x14ac:dyDescent="0.2">
      <c r="A603" s="20" t="s">
        <v>519</v>
      </c>
      <c r="J603" s="21"/>
    </row>
    <row r="604" spans="1:10" x14ac:dyDescent="0.2">
      <c r="A604" s="32" t="s">
        <v>521</v>
      </c>
      <c r="B604" s="33"/>
      <c r="C604" s="33"/>
      <c r="D604" s="33"/>
      <c r="E604" s="33"/>
      <c r="F604" s="33"/>
      <c r="G604" s="33"/>
      <c r="H604" s="33"/>
      <c r="I604" s="33"/>
      <c r="J604" s="34"/>
    </row>
    <row r="606" spans="1:10" x14ac:dyDescent="0.2">
      <c r="A606" s="117" t="s">
        <v>14</v>
      </c>
      <c r="B606" s="142" t="s">
        <v>708</v>
      </c>
      <c r="C606" s="61" t="s">
        <v>15</v>
      </c>
    </row>
    <row r="607" spans="1:10" x14ac:dyDescent="0.2">
      <c r="A607" s="32" t="s">
        <v>16</v>
      </c>
      <c r="B607" s="141">
        <v>2014</v>
      </c>
      <c r="C607" s="57">
        <v>2015</v>
      </c>
      <c r="D607" s="57">
        <v>2016</v>
      </c>
      <c r="E607" s="57">
        <v>2017</v>
      </c>
      <c r="F607" s="57">
        <v>2018</v>
      </c>
      <c r="G607" s="57">
        <v>2019</v>
      </c>
      <c r="H607" s="57">
        <v>2020</v>
      </c>
      <c r="I607" s="57">
        <v>2021</v>
      </c>
      <c r="J607" s="57">
        <v>2022</v>
      </c>
    </row>
    <row r="608" spans="1:10" x14ac:dyDescent="0.2">
      <c r="A608" s="52" t="s">
        <v>17</v>
      </c>
      <c r="B608" s="69">
        <v>6718</v>
      </c>
      <c r="C608" s="69">
        <v>6718</v>
      </c>
      <c r="D608" s="69">
        <v>6718</v>
      </c>
      <c r="E608" s="69">
        <v>6718</v>
      </c>
      <c r="F608" s="69">
        <v>6718</v>
      </c>
      <c r="G608" s="69">
        <v>6718</v>
      </c>
      <c r="H608" s="69">
        <v>6718</v>
      </c>
      <c r="I608" s="23">
        <v>6718</v>
      </c>
      <c r="J608" s="23">
        <v>6718</v>
      </c>
    </row>
    <row r="609" spans="1:10" x14ac:dyDescent="0.2">
      <c r="A609" s="52" t="s">
        <v>18</v>
      </c>
      <c r="B609" s="69">
        <v>7887.5</v>
      </c>
      <c r="C609" s="69">
        <v>7897.5</v>
      </c>
      <c r="D609" s="69">
        <v>7390.7</v>
      </c>
      <c r="E609" s="69">
        <v>7425.7</v>
      </c>
      <c r="F609" s="69">
        <v>7385.7</v>
      </c>
      <c r="G609" s="69">
        <v>7385.7</v>
      </c>
      <c r="H609" s="69">
        <f>H608+F608*0.15-100-40</f>
        <v>7585.7</v>
      </c>
      <c r="I609" s="69">
        <f>I608+0.15*G608-40-200-0.67</f>
        <v>7485.03</v>
      </c>
      <c r="J609" s="69">
        <f>J608+0.15*H608-40-250-0.0001*J608</f>
        <v>7435.0281999999997</v>
      </c>
    </row>
    <row r="610" spans="1:10" ht="25.5" x14ac:dyDescent="0.2">
      <c r="A610" s="52" t="s">
        <v>19</v>
      </c>
      <c r="B610" s="71" t="s">
        <v>61</v>
      </c>
      <c r="C610" s="71" t="s">
        <v>62</v>
      </c>
      <c r="D610" s="71" t="s">
        <v>63</v>
      </c>
      <c r="E610" s="248" t="s">
        <v>64</v>
      </c>
      <c r="F610" s="248" t="s">
        <v>65</v>
      </c>
      <c r="G610" s="248" t="s">
        <v>66</v>
      </c>
      <c r="H610" s="248" t="s">
        <v>567</v>
      </c>
      <c r="I610" s="102" t="s">
        <v>568</v>
      </c>
      <c r="J610" s="102" t="s">
        <v>727</v>
      </c>
    </row>
    <row r="611" spans="1:10" s="43" customFormat="1" x14ac:dyDescent="0.2">
      <c r="A611" s="249" t="s">
        <v>20</v>
      </c>
      <c r="B611" s="23">
        <v>5020.43</v>
      </c>
      <c r="C611" s="23">
        <v>5449.08</v>
      </c>
      <c r="D611" s="23">
        <v>5765.63</v>
      </c>
      <c r="E611" s="23">
        <v>5573.6610000000001</v>
      </c>
      <c r="F611" s="23">
        <v>4966.4159999999993</v>
      </c>
      <c r="G611" s="23">
        <v>5740.2240000000002</v>
      </c>
      <c r="H611" s="23">
        <v>5960.2599999999993</v>
      </c>
      <c r="I611" s="23">
        <v>5522.9264400000002</v>
      </c>
      <c r="J611" s="23"/>
    </row>
    <row r="612" spans="1:10" x14ac:dyDescent="0.2">
      <c r="A612" s="52" t="s">
        <v>21</v>
      </c>
      <c r="B612" s="23">
        <v>2867.0699999999997</v>
      </c>
      <c r="C612" s="23">
        <v>2448.42</v>
      </c>
      <c r="D612" s="23">
        <v>1625.0699999999997</v>
      </c>
      <c r="E612" s="23">
        <v>1852.039</v>
      </c>
      <c r="F612" s="23">
        <v>2419.2840000000006</v>
      </c>
      <c r="G612" s="23">
        <v>1645.4759999999997</v>
      </c>
      <c r="H612" s="23">
        <f>H609-H611</f>
        <v>1625.4400000000005</v>
      </c>
      <c r="I612" s="23">
        <f>I609-I611</f>
        <v>1962.1035599999996</v>
      </c>
      <c r="J612" s="23"/>
    </row>
    <row r="613" spans="1:10" x14ac:dyDescent="0.2">
      <c r="A613" s="55" t="s">
        <v>22</v>
      </c>
      <c r="B613" s="63">
        <v>2016</v>
      </c>
      <c r="C613" s="63">
        <v>2017</v>
      </c>
      <c r="D613" s="63">
        <v>2018</v>
      </c>
      <c r="E613" s="63">
        <v>2019</v>
      </c>
      <c r="F613" s="63">
        <v>2020</v>
      </c>
      <c r="G613" s="63">
        <v>2021</v>
      </c>
      <c r="H613" s="63">
        <v>2022</v>
      </c>
      <c r="I613" s="63">
        <v>2023</v>
      </c>
      <c r="J613" s="63">
        <v>2024</v>
      </c>
    </row>
    <row r="614" spans="1:10" x14ac:dyDescent="0.2">
      <c r="A614" s="55" t="s">
        <v>523</v>
      </c>
      <c r="B614" s="101"/>
      <c r="C614" s="101"/>
      <c r="D614" s="101"/>
      <c r="E614" s="101"/>
      <c r="F614" s="101"/>
      <c r="G614" s="101"/>
      <c r="H614" s="101"/>
      <c r="I614" s="101"/>
      <c r="J614" s="31"/>
    </row>
    <row r="615" spans="1:10" x14ac:dyDescent="0.2">
      <c r="A615" s="20" t="s">
        <v>569</v>
      </c>
      <c r="B615" s="18"/>
      <c r="C615" s="18"/>
      <c r="D615" s="18"/>
      <c r="E615" s="18"/>
      <c r="F615" s="18"/>
      <c r="G615" s="18"/>
      <c r="H615" s="18"/>
      <c r="I615" s="18"/>
      <c r="J615" s="21"/>
    </row>
    <row r="616" spans="1:10" x14ac:dyDescent="0.2">
      <c r="A616" s="20" t="s">
        <v>524</v>
      </c>
      <c r="B616" s="18"/>
      <c r="C616" s="18"/>
      <c r="D616" s="18"/>
      <c r="E616" s="18"/>
      <c r="F616" s="18"/>
      <c r="G616" s="18"/>
      <c r="H616" s="18"/>
      <c r="I616" s="18"/>
      <c r="J616" s="21"/>
    </row>
    <row r="617" spans="1:10" x14ac:dyDescent="0.2">
      <c r="A617" s="20" t="s">
        <v>570</v>
      </c>
      <c r="B617" s="18"/>
      <c r="C617" s="18"/>
      <c r="D617" s="18"/>
      <c r="E617" s="18"/>
      <c r="F617" s="18"/>
      <c r="G617" s="18"/>
      <c r="H617" s="18"/>
      <c r="I617" s="18"/>
      <c r="J617" s="21"/>
    </row>
    <row r="618" spans="1:10" x14ac:dyDescent="0.2">
      <c r="A618" s="20" t="s">
        <v>525</v>
      </c>
      <c r="B618" s="18"/>
      <c r="C618" s="18"/>
      <c r="D618" s="18"/>
      <c r="E618" s="18"/>
      <c r="F618" s="18"/>
      <c r="G618" s="18"/>
      <c r="H618" s="18"/>
      <c r="I618" s="18"/>
      <c r="J618" s="21"/>
    </row>
    <row r="619" spans="1:10" x14ac:dyDescent="0.2">
      <c r="A619" s="20" t="s">
        <v>527</v>
      </c>
      <c r="B619" s="18"/>
      <c r="C619" s="18"/>
      <c r="D619" s="18"/>
      <c r="E619" s="18"/>
      <c r="F619" s="18"/>
      <c r="G619" s="18"/>
      <c r="H619" s="18"/>
      <c r="I619" s="18"/>
      <c r="J619" s="21"/>
    </row>
    <row r="620" spans="1:10" x14ac:dyDescent="0.2">
      <c r="A620" s="20" t="s">
        <v>526</v>
      </c>
      <c r="B620" s="18"/>
      <c r="C620" s="18"/>
      <c r="D620" s="18"/>
      <c r="E620" s="18"/>
      <c r="F620" s="18"/>
      <c r="G620" s="18"/>
      <c r="H620" s="18"/>
      <c r="I620" s="18"/>
      <c r="J620" s="21"/>
    </row>
    <row r="621" spans="1:10" ht="44.25" customHeight="1" x14ac:dyDescent="0.2">
      <c r="A621" s="574" t="s">
        <v>726</v>
      </c>
      <c r="B621" s="575"/>
      <c r="C621" s="575"/>
      <c r="D621" s="575"/>
      <c r="E621" s="575"/>
      <c r="F621" s="575"/>
      <c r="G621" s="575"/>
      <c r="H621" s="575"/>
      <c r="I621" s="575"/>
      <c r="J621" s="576"/>
    </row>
    <row r="622" spans="1:10" x14ac:dyDescent="0.2">
      <c r="A622" s="250"/>
      <c r="B622" s="251"/>
      <c r="C622" s="251"/>
      <c r="D622" s="251"/>
      <c r="E622" s="251"/>
      <c r="F622" s="251"/>
      <c r="G622" s="251"/>
      <c r="H622" s="251"/>
      <c r="I622" s="251"/>
      <c r="J622" s="34"/>
    </row>
    <row r="624" spans="1:10" x14ac:dyDescent="0.2">
      <c r="A624" s="117" t="s">
        <v>14</v>
      </c>
      <c r="B624" s="142" t="s">
        <v>736</v>
      </c>
      <c r="C624" s="61" t="s">
        <v>15</v>
      </c>
    </row>
    <row r="625" spans="1:11" x14ac:dyDescent="0.2">
      <c r="A625" s="32" t="s">
        <v>16</v>
      </c>
      <c r="B625" s="141">
        <v>2014</v>
      </c>
      <c r="C625" s="57">
        <v>2015</v>
      </c>
      <c r="D625" s="57">
        <v>2016</v>
      </c>
      <c r="E625" s="57">
        <v>2017</v>
      </c>
      <c r="F625" s="57">
        <v>2018</v>
      </c>
      <c r="G625" s="57">
        <v>2019</v>
      </c>
      <c r="H625" s="57">
        <v>2020</v>
      </c>
      <c r="I625" s="57">
        <v>2021</v>
      </c>
      <c r="J625" s="57">
        <v>2022</v>
      </c>
    </row>
    <row r="626" spans="1:11" x14ac:dyDescent="0.2">
      <c r="A626" s="52" t="s">
        <v>17</v>
      </c>
      <c r="B626" s="69">
        <v>4824</v>
      </c>
      <c r="C626" s="69">
        <v>4824</v>
      </c>
      <c r="D626" s="69">
        <v>4824</v>
      </c>
      <c r="E626" s="69">
        <v>4824</v>
      </c>
      <c r="F626" s="69">
        <v>4824</v>
      </c>
      <c r="G626" s="69">
        <v>4824</v>
      </c>
      <c r="H626" s="69">
        <v>4824</v>
      </c>
      <c r="I626" s="69">
        <v>4824</v>
      </c>
      <c r="J626" s="69">
        <v>4824</v>
      </c>
    </row>
    <row r="627" spans="1:11" x14ac:dyDescent="0.2">
      <c r="A627" s="52" t="s">
        <v>18</v>
      </c>
      <c r="B627" s="69">
        <v>5141.7</v>
      </c>
      <c r="C627" s="69">
        <v>5695.4</v>
      </c>
      <c r="D627" s="69">
        <v>5601.06</v>
      </c>
      <c r="E627" s="69">
        <v>5224.38</v>
      </c>
      <c r="F627" s="69">
        <v>4963.5200000000004</v>
      </c>
      <c r="G627" s="69">
        <v>4928.1499999999996</v>
      </c>
      <c r="H627" s="69">
        <v>5011.2030000000004</v>
      </c>
      <c r="I627" s="69">
        <f>I626+G630</f>
        <v>5243.19</v>
      </c>
      <c r="J627" s="69">
        <f>J626+H630</f>
        <v>5085.0014400000018</v>
      </c>
    </row>
    <row r="628" spans="1:11" x14ac:dyDescent="0.2">
      <c r="A628" s="52" t="s">
        <v>19</v>
      </c>
      <c r="B628" s="71" t="s">
        <v>67</v>
      </c>
      <c r="C628" s="71" t="s">
        <v>68</v>
      </c>
      <c r="D628" s="71" t="s">
        <v>69</v>
      </c>
      <c r="E628" s="72" t="s">
        <v>70</v>
      </c>
      <c r="F628" s="72" t="s">
        <v>71</v>
      </c>
      <c r="G628" s="72" t="s">
        <v>72</v>
      </c>
      <c r="H628" s="72" t="s">
        <v>73</v>
      </c>
      <c r="I628" s="41" t="s">
        <v>276</v>
      </c>
      <c r="J628" s="41" t="s">
        <v>531</v>
      </c>
    </row>
    <row r="629" spans="1:11" s="43" customFormat="1" x14ac:dyDescent="0.2">
      <c r="A629" s="249" t="s">
        <v>20</v>
      </c>
      <c r="B629" s="23">
        <v>4364.6400000000003</v>
      </c>
      <c r="C629" s="23">
        <v>5295.02</v>
      </c>
      <c r="D629" s="23">
        <v>5461.54</v>
      </c>
      <c r="E629" s="23">
        <v>5120.2</v>
      </c>
      <c r="F629" s="23">
        <v>4776.317</v>
      </c>
      <c r="G629" s="23">
        <v>4508.96</v>
      </c>
      <c r="H629" s="23">
        <v>4750.2015599999986</v>
      </c>
      <c r="I629" s="23">
        <v>4695.1249299999999</v>
      </c>
      <c r="J629" s="23"/>
    </row>
    <row r="630" spans="1:11" x14ac:dyDescent="0.2">
      <c r="A630" s="52" t="s">
        <v>21</v>
      </c>
      <c r="B630" s="23">
        <v>777.06</v>
      </c>
      <c r="C630" s="23">
        <v>400.38</v>
      </c>
      <c r="D630" s="23">
        <v>139.52000000000001</v>
      </c>
      <c r="E630" s="23">
        <v>104.2</v>
      </c>
      <c r="F630" s="23">
        <v>187.20300000000043</v>
      </c>
      <c r="G630" s="23">
        <v>419.1899999999996</v>
      </c>
      <c r="H630" s="23">
        <v>261.00144000000182</v>
      </c>
      <c r="I630" s="23">
        <f>I627-I629</f>
        <v>548.06506999999965</v>
      </c>
      <c r="J630" s="22"/>
    </row>
    <row r="631" spans="1:11" x14ac:dyDescent="0.2">
      <c r="A631" s="55" t="s">
        <v>22</v>
      </c>
      <c r="B631" s="63">
        <v>2016</v>
      </c>
      <c r="C631" s="63">
        <v>2017</v>
      </c>
      <c r="D631" s="63">
        <v>2018</v>
      </c>
      <c r="E631" s="63">
        <v>2019</v>
      </c>
      <c r="F631" s="63">
        <v>2020</v>
      </c>
      <c r="G631" s="63">
        <v>2021</v>
      </c>
      <c r="H631" s="63">
        <v>2022</v>
      </c>
      <c r="I631" s="63">
        <v>2023</v>
      </c>
      <c r="J631" s="63">
        <v>2024</v>
      </c>
    </row>
    <row r="632" spans="1:11" x14ac:dyDescent="0.2">
      <c r="A632" s="55" t="s">
        <v>528</v>
      </c>
      <c r="B632" s="98"/>
      <c r="C632" s="98"/>
      <c r="D632" s="98"/>
      <c r="E632" s="98"/>
      <c r="F632" s="98"/>
      <c r="G632" s="98"/>
      <c r="H632" s="98"/>
      <c r="I632" s="98"/>
      <c r="J632" s="31"/>
    </row>
    <row r="633" spans="1:11" x14ac:dyDescent="0.2">
      <c r="A633" s="20" t="s">
        <v>529</v>
      </c>
      <c r="B633" s="97"/>
      <c r="C633" s="97"/>
      <c r="D633" s="97"/>
      <c r="E633" s="97"/>
      <c r="F633" s="97"/>
      <c r="G633" s="97"/>
      <c r="H633" s="97"/>
      <c r="I633" s="97"/>
      <c r="J633" s="21"/>
    </row>
    <row r="634" spans="1:11" x14ac:dyDescent="0.2">
      <c r="A634" s="20" t="s">
        <v>530</v>
      </c>
      <c r="B634" s="97"/>
      <c r="C634" s="97"/>
      <c r="D634" s="97"/>
      <c r="E634" s="97"/>
      <c r="F634" s="97"/>
      <c r="G634" s="97"/>
      <c r="H634" s="97"/>
      <c r="I634" s="97"/>
      <c r="J634" s="21"/>
    </row>
    <row r="635" spans="1:11" x14ac:dyDescent="0.2">
      <c r="A635" s="594" t="s">
        <v>728</v>
      </c>
      <c r="B635" s="595"/>
      <c r="C635" s="595"/>
      <c r="D635" s="595"/>
      <c r="E635" s="595"/>
      <c r="F635" s="595"/>
      <c r="G635" s="595"/>
      <c r="H635" s="595"/>
      <c r="I635" s="595"/>
      <c r="J635" s="596"/>
    </row>
    <row r="636" spans="1:11" customFormat="1" ht="15" x14ac:dyDescent="0.25">
      <c r="A636" s="19"/>
      <c r="B636" s="19"/>
      <c r="C636" s="19"/>
      <c r="D636" s="19"/>
      <c r="E636" s="19"/>
      <c r="F636" s="19"/>
      <c r="G636" s="19"/>
      <c r="H636" s="19"/>
      <c r="I636" s="19"/>
      <c r="J636" s="19"/>
      <c r="K636" s="19"/>
    </row>
    <row r="637" spans="1:11" customFormat="1" ht="15" x14ac:dyDescent="0.25">
      <c r="A637" s="117" t="s">
        <v>14</v>
      </c>
      <c r="B637" s="142" t="s">
        <v>737</v>
      </c>
      <c r="C637" s="61" t="s">
        <v>15</v>
      </c>
      <c r="D637" s="19"/>
      <c r="E637" s="19"/>
      <c r="F637" s="19"/>
      <c r="G637" s="19"/>
      <c r="H637" s="19"/>
      <c r="I637" s="19"/>
      <c r="J637" s="19"/>
      <c r="K637" s="19"/>
    </row>
    <row r="638" spans="1:11" customFormat="1" ht="15" x14ac:dyDescent="0.25">
      <c r="A638" s="32" t="s">
        <v>16</v>
      </c>
      <c r="B638" s="141">
        <v>2020</v>
      </c>
      <c r="C638" s="57">
        <v>2021</v>
      </c>
      <c r="D638" s="57">
        <v>2022</v>
      </c>
      <c r="E638" s="57"/>
      <c r="F638" s="57"/>
      <c r="G638" s="57"/>
      <c r="H638" s="57"/>
      <c r="I638" s="57"/>
      <c r="J638" s="57"/>
      <c r="K638" s="19"/>
    </row>
    <row r="639" spans="1:11" customFormat="1" ht="15" x14ac:dyDescent="0.25">
      <c r="A639" s="52" t="s">
        <v>17</v>
      </c>
      <c r="B639" s="70">
        <v>19460</v>
      </c>
      <c r="C639" s="70">
        <v>19460</v>
      </c>
      <c r="D639" s="70">
        <v>19460</v>
      </c>
      <c r="E639" s="69"/>
      <c r="F639" s="69"/>
      <c r="G639" s="69"/>
      <c r="H639" s="252"/>
      <c r="I639" s="22"/>
      <c r="J639" s="22"/>
      <c r="K639" s="19"/>
    </row>
    <row r="640" spans="1:11" customFormat="1" ht="15" x14ac:dyDescent="0.25">
      <c r="A640" s="52" t="s">
        <v>18</v>
      </c>
      <c r="B640" s="69">
        <v>19460</v>
      </c>
      <c r="C640" s="69">
        <f>C639-19360*0.0025</f>
        <v>19411.599999999999</v>
      </c>
      <c r="D640" s="23">
        <f>D639+B643-19360*0.0025</f>
        <v>19737.565544000001</v>
      </c>
      <c r="E640" s="69"/>
      <c r="F640" s="69"/>
      <c r="G640" s="69"/>
      <c r="H640" s="69"/>
      <c r="I640" s="23"/>
      <c r="J640" s="23"/>
      <c r="K640" s="19"/>
    </row>
    <row r="641" spans="1:11" customFormat="1" ht="26.25" x14ac:dyDescent="0.25">
      <c r="A641" s="52" t="s">
        <v>19</v>
      </c>
      <c r="B641" s="72"/>
      <c r="C641" s="41" t="s">
        <v>534</v>
      </c>
      <c r="D641" s="40" t="s">
        <v>535</v>
      </c>
      <c r="E641" s="72"/>
      <c r="F641" s="72"/>
      <c r="G641" s="72"/>
      <c r="H641" s="72"/>
      <c r="I641" s="41"/>
      <c r="J641" s="41"/>
      <c r="K641" s="19"/>
    </row>
    <row r="642" spans="1:11" customFormat="1" ht="15" x14ac:dyDescent="0.25">
      <c r="A642" s="249" t="s">
        <v>20</v>
      </c>
      <c r="B642" s="23">
        <v>19134.034455999998</v>
      </c>
      <c r="C642" s="23">
        <v>19163.665450999997</v>
      </c>
      <c r="D642" s="23"/>
      <c r="E642" s="23"/>
      <c r="F642" s="23"/>
      <c r="G642" s="23"/>
      <c r="H642" s="23"/>
      <c r="I642" s="23"/>
      <c r="J642" s="23"/>
      <c r="K642" s="19"/>
    </row>
    <row r="643" spans="1:11" customFormat="1" ht="15" x14ac:dyDescent="0.25">
      <c r="A643" s="249" t="s">
        <v>21</v>
      </c>
      <c r="B643" s="23">
        <f>+B640-B642</f>
        <v>325.96554400000241</v>
      </c>
      <c r="C643" s="23">
        <f>C640-C642</f>
        <v>247.93454900000143</v>
      </c>
      <c r="D643" s="23"/>
      <c r="E643" s="23"/>
      <c r="F643" s="23"/>
      <c r="G643" s="23"/>
      <c r="H643" s="23"/>
      <c r="I643" s="23"/>
      <c r="J643" s="23"/>
      <c r="K643" s="19"/>
    </row>
    <row r="644" spans="1:11" customFormat="1" ht="15" x14ac:dyDescent="0.25">
      <c r="A644" s="55" t="s">
        <v>22</v>
      </c>
      <c r="B644" s="63">
        <v>2022</v>
      </c>
      <c r="C644" s="63">
        <v>2023</v>
      </c>
      <c r="D644" s="63">
        <v>2024</v>
      </c>
      <c r="E644" s="96"/>
      <c r="F644" s="96"/>
      <c r="G644" s="96"/>
      <c r="H644" s="96"/>
      <c r="I644" s="96"/>
      <c r="J644" s="96"/>
      <c r="K644" s="19"/>
    </row>
    <row r="645" spans="1:11" customFormat="1" ht="15" x14ac:dyDescent="0.25">
      <c r="A645" s="55" t="s">
        <v>536</v>
      </c>
      <c r="B645" s="98"/>
      <c r="C645" s="98"/>
      <c r="D645" s="98"/>
      <c r="E645" s="98"/>
      <c r="F645" s="98"/>
      <c r="G645" s="98"/>
      <c r="H645" s="98"/>
      <c r="I645" s="98"/>
      <c r="J645" s="103"/>
      <c r="K645" s="19"/>
    </row>
    <row r="646" spans="1:11" customFormat="1" ht="15" x14ac:dyDescent="0.25">
      <c r="A646" s="20" t="s">
        <v>537</v>
      </c>
      <c r="B646" s="97"/>
      <c r="C646" s="97"/>
      <c r="D646" s="97"/>
      <c r="E646" s="97"/>
      <c r="F646" s="97"/>
      <c r="G646" s="97"/>
      <c r="H646" s="97"/>
      <c r="I646" s="97"/>
      <c r="J646" s="104"/>
      <c r="K646" s="19"/>
    </row>
    <row r="647" spans="1:11" customFormat="1" ht="15" x14ac:dyDescent="0.25">
      <c r="A647" s="20" t="s">
        <v>544</v>
      </c>
      <c r="B647" s="97"/>
      <c r="C647" s="97"/>
      <c r="D647" s="97"/>
      <c r="E647" s="97"/>
      <c r="F647" s="97"/>
      <c r="G647" s="97"/>
      <c r="H647" s="97"/>
      <c r="I647" s="97"/>
      <c r="J647" s="104"/>
      <c r="K647" s="19"/>
    </row>
    <row r="648" spans="1:11" customFormat="1" ht="15" x14ac:dyDescent="0.25">
      <c r="A648" s="20" t="s">
        <v>545</v>
      </c>
      <c r="B648" s="97"/>
      <c r="C648" s="97"/>
      <c r="D648" s="97"/>
      <c r="E648" s="97"/>
      <c r="F648" s="97"/>
      <c r="G648" s="97"/>
      <c r="H648" s="97"/>
      <c r="I648" s="97"/>
      <c r="J648" s="104"/>
      <c r="K648" s="19"/>
    </row>
    <row r="649" spans="1:11" customFormat="1" ht="15" x14ac:dyDescent="0.25">
      <c r="A649" s="253" t="s">
        <v>729</v>
      </c>
      <c r="B649" s="254"/>
      <c r="C649" s="254"/>
      <c r="D649" s="254"/>
      <c r="E649" s="254"/>
      <c r="F649" s="254"/>
      <c r="G649" s="254"/>
      <c r="H649" s="254"/>
      <c r="I649" s="254"/>
      <c r="J649" s="255"/>
      <c r="K649" s="19"/>
    </row>
    <row r="651" spans="1:11" x14ac:dyDescent="0.2">
      <c r="A651" s="117" t="s">
        <v>14</v>
      </c>
      <c r="B651" s="142" t="s">
        <v>74</v>
      </c>
      <c r="C651" s="61" t="s">
        <v>15</v>
      </c>
    </row>
    <row r="652" spans="1:11" x14ac:dyDescent="0.2">
      <c r="A652" s="32" t="s">
        <v>16</v>
      </c>
      <c r="B652" s="141">
        <v>2014</v>
      </c>
      <c r="C652" s="57">
        <v>2015</v>
      </c>
      <c r="D652" s="57">
        <v>2016</v>
      </c>
      <c r="E652" s="57">
        <v>2017</v>
      </c>
      <c r="F652" s="57">
        <v>2018</v>
      </c>
      <c r="G652" s="57">
        <v>2019</v>
      </c>
      <c r="H652" s="57">
        <v>2020</v>
      </c>
      <c r="I652" s="379">
        <v>2021</v>
      </c>
      <c r="J652" s="379">
        <v>2022</v>
      </c>
    </row>
    <row r="653" spans="1:11" x14ac:dyDescent="0.2">
      <c r="A653" s="52" t="s">
        <v>17</v>
      </c>
      <c r="B653" s="69">
        <v>22667</v>
      </c>
      <c r="C653" s="69">
        <v>22667</v>
      </c>
      <c r="D653" s="69">
        <v>16989</v>
      </c>
      <c r="E653" s="69">
        <v>16989</v>
      </c>
      <c r="F653" s="69">
        <v>16989</v>
      </c>
      <c r="G653" s="69">
        <v>16989</v>
      </c>
      <c r="H653" s="252">
        <v>13421.3</v>
      </c>
      <c r="I653" s="391">
        <v>13206.57</v>
      </c>
      <c r="J653" s="391">
        <v>13313.94</v>
      </c>
    </row>
    <row r="654" spans="1:11" x14ac:dyDescent="0.2">
      <c r="A654" s="52" t="s">
        <v>18</v>
      </c>
      <c r="B654" s="69">
        <v>29467.1</v>
      </c>
      <c r="C654" s="69">
        <v>29467.1</v>
      </c>
      <c r="D654" s="69">
        <v>23789.1</v>
      </c>
      <c r="E654" s="69">
        <v>20389.099999999999</v>
      </c>
      <c r="F654" s="69">
        <v>19537.400000000001</v>
      </c>
      <c r="G654" s="69">
        <v>17157.5</v>
      </c>
      <c r="H654" s="69">
        <f>H653+F657+300</f>
        <v>15842.646000000001</v>
      </c>
      <c r="I654" s="51">
        <f>I653+G657</f>
        <v>13453.544999999998</v>
      </c>
      <c r="J654" s="51">
        <f>J653+0.1*H653</f>
        <v>14656.07</v>
      </c>
    </row>
    <row r="655" spans="1:11" ht="25.5" x14ac:dyDescent="0.2">
      <c r="A655" s="52" t="s">
        <v>19</v>
      </c>
      <c r="B655" s="71" t="s">
        <v>75</v>
      </c>
      <c r="C655" s="71" t="s">
        <v>75</v>
      </c>
      <c r="D655" s="71" t="s">
        <v>76</v>
      </c>
      <c r="E655" s="72" t="s">
        <v>77</v>
      </c>
      <c r="F655" s="72" t="s">
        <v>78</v>
      </c>
      <c r="G655" s="72" t="s">
        <v>79</v>
      </c>
      <c r="H655" s="72" t="s">
        <v>277</v>
      </c>
      <c r="I655" s="79" t="s">
        <v>278</v>
      </c>
      <c r="J655" s="79" t="s">
        <v>651</v>
      </c>
    </row>
    <row r="656" spans="1:11" x14ac:dyDescent="0.2">
      <c r="A656" s="249" t="s">
        <v>20</v>
      </c>
      <c r="B656" s="23">
        <v>18152.900000000001</v>
      </c>
      <c r="C656" s="23">
        <v>15741.23</v>
      </c>
      <c r="D656" s="23">
        <v>18059.400000000001</v>
      </c>
      <c r="E656" s="23">
        <v>20220.53</v>
      </c>
      <c r="F656" s="23">
        <v>17416.054</v>
      </c>
      <c r="G656" s="23">
        <v>16910.525000000001</v>
      </c>
      <c r="H656" s="23">
        <v>11285.478270000007</v>
      </c>
      <c r="I656" s="23">
        <v>11445.933670000008</v>
      </c>
      <c r="J656" s="23"/>
    </row>
    <row r="657" spans="1:10" x14ac:dyDescent="0.2">
      <c r="A657" s="249" t="s">
        <v>21</v>
      </c>
      <c r="B657" s="23">
        <v>11314.2</v>
      </c>
      <c r="C657" s="23">
        <v>13725.87</v>
      </c>
      <c r="D657" s="23">
        <v>5729.68</v>
      </c>
      <c r="E657" s="23">
        <v>168.52</v>
      </c>
      <c r="F657" s="23">
        <v>2121.3460000000014</v>
      </c>
      <c r="G657" s="23">
        <f>G654-G656</f>
        <v>246.97499999999854</v>
      </c>
      <c r="H657" s="23">
        <f>H654-H656</f>
        <v>4557.1677299999938</v>
      </c>
      <c r="I657" s="23">
        <f>I654-I656</f>
        <v>2007.6113299999906</v>
      </c>
      <c r="J657" s="23"/>
    </row>
    <row r="658" spans="1:10" x14ac:dyDescent="0.2">
      <c r="A658" s="55" t="s">
        <v>22</v>
      </c>
      <c r="B658" s="63">
        <v>2016</v>
      </c>
      <c r="C658" s="63">
        <v>2017</v>
      </c>
      <c r="D658" s="63">
        <v>2018</v>
      </c>
      <c r="E658" s="63">
        <v>2019</v>
      </c>
      <c r="F658" s="63" t="s">
        <v>80</v>
      </c>
      <c r="G658" s="63" t="s">
        <v>81</v>
      </c>
      <c r="H658" s="63">
        <v>2022</v>
      </c>
      <c r="I658" s="63"/>
      <c r="J658" s="63"/>
    </row>
    <row r="659" spans="1:10" x14ac:dyDescent="0.2">
      <c r="A659" s="55" t="s">
        <v>532</v>
      </c>
      <c r="B659" s="98"/>
      <c r="C659" s="98"/>
      <c r="D659" s="98"/>
      <c r="E659" s="98"/>
      <c r="F659" s="98"/>
      <c r="G659" s="98"/>
      <c r="H659" s="98"/>
      <c r="I659" s="98"/>
      <c r="J659" s="31"/>
    </row>
    <row r="660" spans="1:10" x14ac:dyDescent="0.2">
      <c r="A660" s="20" t="s">
        <v>533</v>
      </c>
      <c r="B660" s="97"/>
      <c r="C660" s="97"/>
      <c r="D660" s="97"/>
      <c r="E660" s="97"/>
      <c r="F660" s="97"/>
      <c r="G660" s="97"/>
      <c r="H660" s="97"/>
      <c r="I660" s="97"/>
      <c r="J660" s="21"/>
    </row>
    <row r="661" spans="1:10" ht="15" x14ac:dyDescent="0.2">
      <c r="A661" s="20" t="s">
        <v>637</v>
      </c>
      <c r="B661" s="97"/>
      <c r="C661" s="97"/>
      <c r="D661" s="97"/>
      <c r="E661" s="97"/>
      <c r="F661" s="97"/>
      <c r="G661" s="97"/>
      <c r="H661" s="97"/>
      <c r="I661" s="97"/>
      <c r="J661" s="21"/>
    </row>
    <row r="662" spans="1:10" x14ac:dyDescent="0.2">
      <c r="A662" s="409" t="s">
        <v>652</v>
      </c>
      <c r="B662" s="97"/>
      <c r="C662" s="97"/>
      <c r="D662" s="97"/>
      <c r="E662" s="97"/>
      <c r="F662" s="97"/>
      <c r="G662" s="97"/>
      <c r="H662" s="97"/>
      <c r="I662" s="97"/>
      <c r="J662" s="21"/>
    </row>
    <row r="663" spans="1:10" x14ac:dyDescent="0.2">
      <c r="A663" s="424"/>
      <c r="B663" s="256"/>
      <c r="C663" s="256"/>
      <c r="D663" s="256"/>
      <c r="E663" s="256"/>
      <c r="F663" s="256"/>
      <c r="G663" s="256"/>
      <c r="H663" s="256"/>
      <c r="I663" s="256"/>
      <c r="J663" s="34"/>
    </row>
    <row r="665" spans="1:10" x14ac:dyDescent="0.2">
      <c r="A665" s="117" t="s">
        <v>14</v>
      </c>
      <c r="B665" s="142" t="s">
        <v>82</v>
      </c>
      <c r="C665" s="61" t="s">
        <v>15</v>
      </c>
    </row>
    <row r="666" spans="1:10" x14ac:dyDescent="0.2">
      <c r="A666" s="32" t="s">
        <v>16</v>
      </c>
      <c r="B666" s="141">
        <v>2014</v>
      </c>
      <c r="C666" s="57">
        <v>2015</v>
      </c>
      <c r="D666" s="57">
        <v>2016</v>
      </c>
      <c r="E666" s="57">
        <v>2017</v>
      </c>
      <c r="F666" s="57">
        <v>2018</v>
      </c>
      <c r="G666" s="57">
        <v>2019</v>
      </c>
      <c r="H666" s="57">
        <v>2020</v>
      </c>
      <c r="I666" s="57">
        <v>2021</v>
      </c>
      <c r="J666" s="57">
        <v>2022</v>
      </c>
    </row>
    <row r="667" spans="1:10" x14ac:dyDescent="0.2">
      <c r="A667" s="52" t="s">
        <v>17</v>
      </c>
      <c r="B667" s="69">
        <v>480</v>
      </c>
      <c r="C667" s="69">
        <v>480</v>
      </c>
      <c r="D667" s="69">
        <v>480</v>
      </c>
      <c r="E667" s="69">
        <v>480</v>
      </c>
      <c r="F667" s="69">
        <v>480</v>
      </c>
      <c r="G667" s="69">
        <v>480</v>
      </c>
      <c r="H667" s="70">
        <v>403.8</v>
      </c>
      <c r="I667" s="22">
        <v>403.8</v>
      </c>
      <c r="J667" s="22">
        <v>403.8</v>
      </c>
    </row>
    <row r="668" spans="1:10" x14ac:dyDescent="0.2">
      <c r="A668" s="52" t="s">
        <v>18</v>
      </c>
      <c r="B668" s="69">
        <v>480</v>
      </c>
      <c r="C668" s="69">
        <v>528</v>
      </c>
      <c r="D668" s="69">
        <v>407.63</v>
      </c>
      <c r="E668" s="69">
        <v>414.75</v>
      </c>
      <c r="F668" s="69">
        <v>462.75</v>
      </c>
      <c r="G668" s="69">
        <v>528</v>
      </c>
      <c r="H668" s="69">
        <v>449.8</v>
      </c>
      <c r="I668" s="22">
        <f>I667+0.1*G667-2</f>
        <v>449.8</v>
      </c>
      <c r="J668" s="22">
        <v>401.8</v>
      </c>
    </row>
    <row r="669" spans="1:10" ht="25.5" x14ac:dyDescent="0.2">
      <c r="A669" s="52" t="s">
        <v>19</v>
      </c>
      <c r="B669" s="71">
        <v>480</v>
      </c>
      <c r="C669" s="71">
        <v>528</v>
      </c>
      <c r="D669" s="71" t="s">
        <v>83</v>
      </c>
      <c r="E669" s="72" t="s">
        <v>84</v>
      </c>
      <c r="F669" s="72" t="s">
        <v>85</v>
      </c>
      <c r="G669" s="72" t="s">
        <v>86</v>
      </c>
      <c r="H669" s="72" t="s">
        <v>279</v>
      </c>
      <c r="I669" s="40" t="s">
        <v>280</v>
      </c>
      <c r="J669" s="40" t="s">
        <v>538</v>
      </c>
    </row>
    <row r="670" spans="1:10" x14ac:dyDescent="0.2">
      <c r="A670" s="52" t="s">
        <v>20</v>
      </c>
      <c r="B670" s="23">
        <v>552.37</v>
      </c>
      <c r="C670" s="23">
        <v>658.51</v>
      </c>
      <c r="D670" s="23">
        <v>355.07</v>
      </c>
      <c r="E670" s="23">
        <v>338.75</v>
      </c>
      <c r="F670" s="23">
        <v>120.791</v>
      </c>
      <c r="G670" s="23">
        <v>79.62</v>
      </c>
      <c r="H670" s="23">
        <v>138.81700000000001</v>
      </c>
      <c r="I670" s="22">
        <v>105.06</v>
      </c>
      <c r="J670" s="22"/>
    </row>
    <row r="671" spans="1:10" x14ac:dyDescent="0.2">
      <c r="A671" s="52" t="s">
        <v>21</v>
      </c>
      <c r="B671" s="23">
        <v>-72.37</v>
      </c>
      <c r="C671" s="23">
        <v>-130.51</v>
      </c>
      <c r="D671" s="23">
        <f>D668-D670</f>
        <v>52.56</v>
      </c>
      <c r="E671" s="23">
        <f>E668-E670</f>
        <v>76</v>
      </c>
      <c r="F671" s="23">
        <v>341.959</v>
      </c>
      <c r="G671" s="23">
        <f>G668-G670</f>
        <v>448.38</v>
      </c>
      <c r="H671" s="23">
        <f>H668-H670</f>
        <v>310.983</v>
      </c>
      <c r="I671" s="22">
        <f>I668-I670</f>
        <v>344.74</v>
      </c>
      <c r="J671" s="22"/>
    </row>
    <row r="672" spans="1:10" x14ac:dyDescent="0.2">
      <c r="A672" s="55" t="s">
        <v>22</v>
      </c>
      <c r="B672" s="63">
        <v>2016</v>
      </c>
      <c r="C672" s="63">
        <v>2017</v>
      </c>
      <c r="D672" s="63">
        <v>2018</v>
      </c>
      <c r="E672" s="63">
        <v>2019</v>
      </c>
      <c r="F672" s="63" t="s">
        <v>80</v>
      </c>
      <c r="G672" s="63" t="s">
        <v>81</v>
      </c>
      <c r="H672" s="63" t="s">
        <v>169</v>
      </c>
      <c r="I672" s="63" t="s">
        <v>169</v>
      </c>
      <c r="J672" s="63" t="s">
        <v>169</v>
      </c>
    </row>
    <row r="673" spans="1:10" x14ac:dyDescent="0.2">
      <c r="A673" s="55" t="s">
        <v>539</v>
      </c>
      <c r="B673" s="98"/>
      <c r="C673" s="98"/>
      <c r="D673" s="98"/>
      <c r="E673" s="98"/>
      <c r="F673" s="98"/>
      <c r="G673" s="98"/>
      <c r="H673" s="98"/>
      <c r="I673" s="98"/>
      <c r="J673" s="103"/>
    </row>
    <row r="674" spans="1:10" x14ac:dyDescent="0.2">
      <c r="A674" s="20" t="s">
        <v>540</v>
      </c>
      <c r="B674" s="97"/>
      <c r="C674" s="97"/>
      <c r="D674" s="97"/>
      <c r="E674" s="97"/>
      <c r="F674" s="97"/>
      <c r="G674" s="97"/>
      <c r="H674" s="97"/>
      <c r="I674" s="97"/>
      <c r="J674" s="104"/>
    </row>
    <row r="675" spans="1:10" x14ac:dyDescent="0.2">
      <c r="A675" s="82" t="s">
        <v>541</v>
      </c>
      <c r="B675" s="257"/>
      <c r="C675" s="257"/>
      <c r="D675" s="257"/>
      <c r="E675" s="257"/>
      <c r="F675" s="257"/>
      <c r="G675" s="257"/>
      <c r="H675" s="257"/>
      <c r="I675" s="33"/>
      <c r="J675" s="34"/>
    </row>
    <row r="677" spans="1:10" x14ac:dyDescent="0.2">
      <c r="A677" s="117" t="s">
        <v>14</v>
      </c>
      <c r="B677" s="142" t="s">
        <v>87</v>
      </c>
      <c r="C677" s="61" t="s">
        <v>15</v>
      </c>
    </row>
    <row r="678" spans="1:10" x14ac:dyDescent="0.2">
      <c r="A678" s="32" t="s">
        <v>16</v>
      </c>
      <c r="B678" s="141">
        <v>2014</v>
      </c>
      <c r="C678" s="57">
        <v>2015</v>
      </c>
      <c r="D678" s="57">
        <v>2016</v>
      </c>
      <c r="E678" s="57">
        <v>2017</v>
      </c>
      <c r="F678" s="57">
        <v>2018</v>
      </c>
      <c r="G678" s="57">
        <v>2019</v>
      </c>
      <c r="H678" s="57">
        <v>2020</v>
      </c>
      <c r="I678" s="57">
        <v>2021</v>
      </c>
      <c r="J678" s="57">
        <v>2022</v>
      </c>
    </row>
    <row r="679" spans="1:10" x14ac:dyDescent="0.2">
      <c r="A679" s="52" t="s">
        <v>17</v>
      </c>
      <c r="B679" s="69">
        <v>50</v>
      </c>
      <c r="C679" s="69">
        <v>50</v>
      </c>
      <c r="D679" s="69">
        <v>50</v>
      </c>
      <c r="E679" s="69">
        <v>50</v>
      </c>
      <c r="F679" s="69">
        <v>50</v>
      </c>
      <c r="G679" s="69">
        <v>50</v>
      </c>
      <c r="H679" s="70">
        <v>50</v>
      </c>
      <c r="I679" s="23">
        <v>50</v>
      </c>
      <c r="J679" s="23">
        <v>50</v>
      </c>
    </row>
    <row r="680" spans="1:10" x14ac:dyDescent="0.2">
      <c r="A680" s="52" t="s">
        <v>18</v>
      </c>
      <c r="B680" s="69">
        <v>50</v>
      </c>
      <c r="C680" s="69">
        <v>52.5</v>
      </c>
      <c r="D680" s="69">
        <v>23.9</v>
      </c>
      <c r="E680" s="69">
        <v>23.9</v>
      </c>
      <c r="F680" s="69">
        <v>27.6</v>
      </c>
      <c r="G680" s="69">
        <v>27.6</v>
      </c>
      <c r="H680" s="69">
        <v>32.6</v>
      </c>
      <c r="I680" s="23">
        <v>55</v>
      </c>
      <c r="J680" s="23">
        <v>50</v>
      </c>
    </row>
    <row r="681" spans="1:10" ht="25.5" x14ac:dyDescent="0.2">
      <c r="A681" s="52" t="s">
        <v>19</v>
      </c>
      <c r="B681" s="73">
        <v>50</v>
      </c>
      <c r="C681" s="73">
        <v>52.5</v>
      </c>
      <c r="D681" s="71" t="s">
        <v>88</v>
      </c>
      <c r="E681" s="72" t="s">
        <v>89</v>
      </c>
      <c r="F681" s="72" t="s">
        <v>90</v>
      </c>
      <c r="G681" s="72" t="s">
        <v>91</v>
      </c>
      <c r="H681" s="72" t="s">
        <v>92</v>
      </c>
      <c r="I681" s="41" t="s">
        <v>281</v>
      </c>
      <c r="J681" s="41" t="s">
        <v>623</v>
      </c>
    </row>
    <row r="682" spans="1:10" x14ac:dyDescent="0.2">
      <c r="A682" s="52" t="s">
        <v>20</v>
      </c>
      <c r="B682" s="23">
        <v>102.21</v>
      </c>
      <c r="C682" s="23">
        <v>119.69</v>
      </c>
      <c r="D682" s="23">
        <v>101.54</v>
      </c>
      <c r="E682" s="23">
        <v>14.67</v>
      </c>
      <c r="F682" s="23">
        <v>0.17</v>
      </c>
      <c r="G682" s="23">
        <v>0.7</v>
      </c>
      <c r="H682" s="23">
        <v>3.0670000000000002</v>
      </c>
      <c r="I682" s="23">
        <v>14.32</v>
      </c>
      <c r="J682" s="23"/>
    </row>
    <row r="683" spans="1:10" x14ac:dyDescent="0.2">
      <c r="A683" s="52" t="s">
        <v>21</v>
      </c>
      <c r="B683" s="23">
        <v>-52.21</v>
      </c>
      <c r="C683" s="23">
        <v>-67.19</v>
      </c>
      <c r="D683" s="23">
        <v>-77.640000000000015</v>
      </c>
      <c r="E683" s="23">
        <f>E680-E682</f>
        <v>9.2299999999999986</v>
      </c>
      <c r="F683" s="23">
        <f>F680-F682</f>
        <v>27.43</v>
      </c>
      <c r="G683" s="23">
        <f>G680-G682</f>
        <v>26.900000000000002</v>
      </c>
      <c r="H683" s="23">
        <f>H680-H682</f>
        <v>29.533000000000001</v>
      </c>
      <c r="I683" s="23">
        <f>I680-I682</f>
        <v>40.68</v>
      </c>
      <c r="J683" s="23"/>
    </row>
    <row r="684" spans="1:10" x14ac:dyDescent="0.2">
      <c r="A684" s="55" t="s">
        <v>22</v>
      </c>
      <c r="B684" s="63">
        <v>2016</v>
      </c>
      <c r="C684" s="63">
        <v>2017</v>
      </c>
      <c r="D684" s="63">
        <v>2018</v>
      </c>
      <c r="E684" s="63">
        <v>2019</v>
      </c>
      <c r="F684" s="63" t="s">
        <v>80</v>
      </c>
      <c r="G684" s="63" t="s">
        <v>81</v>
      </c>
      <c r="H684" s="63" t="s">
        <v>169</v>
      </c>
      <c r="I684" s="63" t="s">
        <v>169</v>
      </c>
      <c r="J684" s="63" t="s">
        <v>169</v>
      </c>
    </row>
    <row r="685" spans="1:10" x14ac:dyDescent="0.2">
      <c r="A685" s="55" t="s">
        <v>542</v>
      </c>
      <c r="B685" s="94"/>
      <c r="C685" s="94"/>
      <c r="D685" s="94"/>
      <c r="E685" s="94"/>
      <c r="F685" s="94"/>
      <c r="G685" s="94"/>
      <c r="H685" s="94"/>
      <c r="I685" s="94"/>
      <c r="J685" s="95"/>
    </row>
    <row r="686" spans="1:10" x14ac:dyDescent="0.2">
      <c r="A686" s="82" t="s">
        <v>543</v>
      </c>
      <c r="B686" s="257"/>
      <c r="C686" s="257"/>
      <c r="D686" s="257"/>
      <c r="E686" s="257"/>
      <c r="F686" s="257"/>
      <c r="G686" s="257"/>
      <c r="H686" s="257"/>
      <c r="I686" s="257"/>
      <c r="J686" s="34"/>
    </row>
    <row r="687" spans="1:10" x14ac:dyDescent="0.2">
      <c r="A687" s="258"/>
      <c r="B687" s="258"/>
      <c r="C687" s="258"/>
      <c r="D687" s="258"/>
      <c r="E687" s="258"/>
      <c r="F687" s="258"/>
      <c r="G687" s="258"/>
      <c r="H687" s="258"/>
      <c r="I687" s="258"/>
    </row>
    <row r="689" spans="1:9" x14ac:dyDescent="0.2">
      <c r="A689" s="259" t="s">
        <v>11</v>
      </c>
      <c r="B689" s="206" t="s">
        <v>377</v>
      </c>
      <c r="C689" s="18"/>
    </row>
    <row r="690" spans="1:9" x14ac:dyDescent="0.2">
      <c r="A690" s="83" t="s">
        <v>1</v>
      </c>
      <c r="B690" s="81" t="s">
        <v>709</v>
      </c>
      <c r="C690" s="42" t="s">
        <v>2</v>
      </c>
    </row>
    <row r="691" spans="1:9" x14ac:dyDescent="0.2">
      <c r="A691" s="52" t="s">
        <v>3</v>
      </c>
      <c r="B691" s="57">
        <v>2015</v>
      </c>
      <c r="C691" s="57">
        <v>2016</v>
      </c>
      <c r="D691" s="105">
        <v>2017</v>
      </c>
      <c r="E691" s="57">
        <v>2018</v>
      </c>
      <c r="F691" s="57">
        <v>2019</v>
      </c>
      <c r="G691" s="57">
        <v>2020</v>
      </c>
      <c r="H691" s="425">
        <v>2021</v>
      </c>
      <c r="I691" s="425">
        <v>2022</v>
      </c>
    </row>
    <row r="692" spans="1:9" x14ac:dyDescent="0.2">
      <c r="A692" s="52" t="s">
        <v>4</v>
      </c>
      <c r="B692" s="53">
        <v>200</v>
      </c>
      <c r="C692" s="106">
        <v>200</v>
      </c>
      <c r="D692" s="53">
        <v>200</v>
      </c>
      <c r="E692" s="107">
        <v>200</v>
      </c>
      <c r="F692" s="107">
        <v>215</v>
      </c>
      <c r="G692" s="107">
        <v>215</v>
      </c>
      <c r="H692" s="426">
        <v>242</v>
      </c>
      <c r="I692" s="426">
        <v>242</v>
      </c>
    </row>
    <row r="693" spans="1:9" x14ac:dyDescent="0.2">
      <c r="A693" s="52" t="s">
        <v>5</v>
      </c>
      <c r="B693" s="53">
        <f t="shared" ref="B693:E693" si="25">200+(200*25%)</f>
        <v>250</v>
      </c>
      <c r="C693" s="53">
        <f t="shared" si="25"/>
        <v>250</v>
      </c>
      <c r="D693" s="53">
        <f t="shared" si="25"/>
        <v>250</v>
      </c>
      <c r="E693" s="53">
        <f t="shared" si="25"/>
        <v>250</v>
      </c>
      <c r="F693" s="107">
        <v>265</v>
      </c>
      <c r="G693" s="107">
        <v>265</v>
      </c>
      <c r="H693" s="426">
        <f>H692+0.25*F692</f>
        <v>295.75</v>
      </c>
      <c r="I693" s="426">
        <f>I692+0.25*G692</f>
        <v>295.75</v>
      </c>
    </row>
    <row r="694" spans="1:9" x14ac:dyDescent="0.2">
      <c r="A694" s="52" t="s">
        <v>6</v>
      </c>
      <c r="B694" s="207">
        <v>2</v>
      </c>
      <c r="C694" s="392">
        <v>3</v>
      </c>
      <c r="D694" s="207">
        <v>4</v>
      </c>
      <c r="E694" s="393">
        <v>5</v>
      </c>
      <c r="F694" s="393">
        <v>6</v>
      </c>
      <c r="G694" s="207">
        <v>7</v>
      </c>
      <c r="H694" s="427">
        <v>8</v>
      </c>
      <c r="I694" s="427">
        <v>9</v>
      </c>
    </row>
    <row r="695" spans="1:9" x14ac:dyDescent="0.2">
      <c r="A695" s="52" t="s">
        <v>7</v>
      </c>
      <c r="B695" s="23">
        <v>0</v>
      </c>
      <c r="C695" s="130">
        <v>0</v>
      </c>
      <c r="D695" s="23">
        <v>0</v>
      </c>
      <c r="E695" s="131">
        <v>0</v>
      </c>
      <c r="F695" s="131">
        <v>0</v>
      </c>
      <c r="G695" s="23">
        <v>0</v>
      </c>
      <c r="H695" s="428"/>
      <c r="I695" s="428"/>
    </row>
    <row r="696" spans="1:9" x14ac:dyDescent="0.2">
      <c r="A696" s="52" t="s">
        <v>8</v>
      </c>
      <c r="B696" s="53">
        <f t="shared" ref="B696:D696" si="26">B693-B695</f>
        <v>250</v>
      </c>
      <c r="C696" s="53">
        <f t="shared" si="26"/>
        <v>250</v>
      </c>
      <c r="D696" s="53">
        <f t="shared" si="26"/>
        <v>250</v>
      </c>
      <c r="E696" s="107">
        <v>250</v>
      </c>
      <c r="F696" s="107">
        <f>F693-F695</f>
        <v>265</v>
      </c>
      <c r="G696" s="107">
        <f>G693-G695</f>
        <v>265</v>
      </c>
      <c r="H696" s="426"/>
      <c r="I696" s="426"/>
    </row>
    <row r="697" spans="1:9" x14ac:dyDescent="0.2">
      <c r="A697" s="52" t="s">
        <v>9</v>
      </c>
      <c r="B697" s="108">
        <v>2013</v>
      </c>
      <c r="C697" s="109">
        <v>2014</v>
      </c>
      <c r="D697" s="108">
        <v>2015</v>
      </c>
      <c r="E697" s="110">
        <v>2016</v>
      </c>
      <c r="F697" s="110">
        <v>2017</v>
      </c>
      <c r="G697" s="108">
        <v>2018</v>
      </c>
      <c r="H697" s="429">
        <v>2019</v>
      </c>
      <c r="I697" s="429">
        <v>2020</v>
      </c>
    </row>
    <row r="698" spans="1:9" x14ac:dyDescent="0.2">
      <c r="A698" s="55" t="s">
        <v>10</v>
      </c>
      <c r="B698" s="55"/>
      <c r="C698" s="30"/>
      <c r="D698" s="30"/>
      <c r="E698" s="30"/>
      <c r="F698" s="30"/>
      <c r="G698" s="31"/>
      <c r="H698" s="430"/>
      <c r="I698" s="430"/>
    </row>
    <row r="699" spans="1:9" x14ac:dyDescent="0.2">
      <c r="A699" s="431" t="s">
        <v>378</v>
      </c>
      <c r="B699" s="432"/>
      <c r="C699" s="432"/>
      <c r="D699" s="432"/>
      <c r="E699" s="432"/>
      <c r="F699" s="432"/>
      <c r="G699" s="432"/>
      <c r="H699" s="432"/>
      <c r="I699" s="430"/>
    </row>
    <row r="700" spans="1:9" x14ac:dyDescent="0.2">
      <c r="A700" s="433" t="s">
        <v>379</v>
      </c>
      <c r="B700" s="434"/>
      <c r="C700" s="434"/>
      <c r="D700" s="434"/>
      <c r="E700" s="434"/>
      <c r="F700" s="434"/>
      <c r="G700" s="434"/>
      <c r="H700" s="434"/>
      <c r="I700" s="435"/>
    </row>
    <row r="701" spans="1:9" x14ac:dyDescent="0.2">
      <c r="A701" s="433" t="s">
        <v>380</v>
      </c>
      <c r="B701" s="434"/>
      <c r="C701" s="434"/>
      <c r="D701" s="434"/>
      <c r="E701" s="434"/>
      <c r="F701" s="434"/>
      <c r="G701" s="434"/>
      <c r="H701" s="434"/>
      <c r="I701" s="435"/>
    </row>
    <row r="702" spans="1:9" x14ac:dyDescent="0.2">
      <c r="A702" s="433" t="s">
        <v>381</v>
      </c>
      <c r="B702" s="434"/>
      <c r="C702" s="434"/>
      <c r="D702" s="434"/>
      <c r="E702" s="434"/>
      <c r="F702" s="434"/>
      <c r="G702" s="434"/>
      <c r="H702" s="434"/>
      <c r="I702" s="435"/>
    </row>
    <row r="703" spans="1:9" x14ac:dyDescent="0.2">
      <c r="A703" s="433" t="s">
        <v>382</v>
      </c>
      <c r="B703" s="434"/>
      <c r="C703" s="434"/>
      <c r="D703" s="434"/>
      <c r="E703" s="434"/>
      <c r="F703" s="434"/>
      <c r="G703" s="434"/>
      <c r="H703" s="434"/>
      <c r="I703" s="435"/>
    </row>
    <row r="704" spans="1:9" x14ac:dyDescent="0.2">
      <c r="A704" s="433" t="s">
        <v>383</v>
      </c>
      <c r="B704" s="434"/>
      <c r="C704" s="434"/>
      <c r="D704" s="434"/>
      <c r="E704" s="434"/>
      <c r="F704" s="434"/>
      <c r="G704" s="434"/>
      <c r="H704" s="434"/>
      <c r="I704" s="435"/>
    </row>
    <row r="705" spans="1:9" x14ac:dyDescent="0.2">
      <c r="A705" s="433" t="s">
        <v>384</v>
      </c>
      <c r="B705" s="434"/>
      <c r="C705" s="434"/>
      <c r="D705" s="434"/>
      <c r="E705" s="434"/>
      <c r="F705" s="434"/>
      <c r="G705" s="434"/>
      <c r="H705" s="434"/>
      <c r="I705" s="435"/>
    </row>
    <row r="706" spans="1:9" x14ac:dyDescent="0.2">
      <c r="A706" s="433" t="s">
        <v>659</v>
      </c>
      <c r="B706" s="434"/>
      <c r="C706" s="434"/>
      <c r="D706" s="434"/>
      <c r="E706" s="434"/>
      <c r="F706" s="434"/>
      <c r="G706" s="434"/>
      <c r="H706" s="434"/>
      <c r="I706" s="435"/>
    </row>
    <row r="707" spans="1:9" x14ac:dyDescent="0.2">
      <c r="A707" s="424" t="s">
        <v>677</v>
      </c>
      <c r="B707" s="436"/>
      <c r="C707" s="436"/>
      <c r="D707" s="436"/>
      <c r="E707" s="436"/>
      <c r="F707" s="436"/>
      <c r="G707" s="436"/>
      <c r="H707" s="436"/>
      <c r="I707" s="437"/>
    </row>
    <row r="709" spans="1:9" s="77" customFormat="1" x14ac:dyDescent="0.2">
      <c r="A709" s="260" t="s">
        <v>1</v>
      </c>
      <c r="B709" s="261" t="s">
        <v>708</v>
      </c>
      <c r="C709" s="118" t="s">
        <v>2</v>
      </c>
    </row>
    <row r="710" spans="1:9" s="77" customFormat="1" x14ac:dyDescent="0.2">
      <c r="A710" s="262" t="s">
        <v>3</v>
      </c>
      <c r="B710" s="111">
        <v>2015</v>
      </c>
      <c r="C710" s="111">
        <v>2016</v>
      </c>
      <c r="D710" s="112">
        <v>2017</v>
      </c>
      <c r="E710" s="111">
        <v>2018</v>
      </c>
      <c r="F710" s="111">
        <v>2019</v>
      </c>
      <c r="G710" s="111">
        <v>2020</v>
      </c>
      <c r="H710" s="111">
        <v>2021</v>
      </c>
      <c r="I710" s="111">
        <v>2022</v>
      </c>
    </row>
    <row r="711" spans="1:9" s="77" customFormat="1" x14ac:dyDescent="0.2">
      <c r="A711" s="262" t="s">
        <v>4</v>
      </c>
      <c r="B711" s="102">
        <v>40</v>
      </c>
      <c r="C711" s="102">
        <v>40</v>
      </c>
      <c r="D711" s="113">
        <v>40</v>
      </c>
      <c r="E711" s="102">
        <v>40</v>
      </c>
      <c r="F711" s="114">
        <v>40</v>
      </c>
      <c r="G711" s="114">
        <v>40</v>
      </c>
      <c r="H711" s="114">
        <v>40</v>
      </c>
      <c r="I711" s="114">
        <v>40</v>
      </c>
    </row>
    <row r="712" spans="1:9" s="77" customFormat="1" x14ac:dyDescent="0.2">
      <c r="A712" s="262" t="s">
        <v>5</v>
      </c>
      <c r="B712" s="102">
        <f>40+(40*50%)+40</f>
        <v>100</v>
      </c>
      <c r="C712" s="102">
        <f>40+(40*50%)+40</f>
        <v>100</v>
      </c>
      <c r="D712" s="102">
        <v>112.75</v>
      </c>
      <c r="E712" s="102">
        <v>108.75</v>
      </c>
      <c r="F712" s="102">
        <v>108.75</v>
      </c>
      <c r="G712" s="102">
        <v>108.75</v>
      </c>
      <c r="H712" s="102">
        <v>108.75</v>
      </c>
      <c r="I712" s="102">
        <f>I711+0.4*G711+40</f>
        <v>96</v>
      </c>
    </row>
    <row r="713" spans="1:9" s="77" customFormat="1" x14ac:dyDescent="0.2">
      <c r="A713" s="262" t="s">
        <v>6</v>
      </c>
      <c r="B713" s="41">
        <v>1</v>
      </c>
      <c r="C713" s="41">
        <v>2</v>
      </c>
      <c r="D713" s="115">
        <v>3</v>
      </c>
      <c r="E713" s="41">
        <v>4</v>
      </c>
      <c r="F713" s="116">
        <v>5</v>
      </c>
      <c r="G713" s="41">
        <v>6</v>
      </c>
      <c r="H713" s="41">
        <v>7</v>
      </c>
      <c r="I713" s="41">
        <v>8</v>
      </c>
    </row>
    <row r="714" spans="1:9" s="77" customFormat="1" x14ac:dyDescent="0.2">
      <c r="A714" s="262" t="s">
        <v>7</v>
      </c>
      <c r="B714" s="102">
        <v>0</v>
      </c>
      <c r="C714" s="102">
        <v>0</v>
      </c>
      <c r="D714" s="113">
        <v>0</v>
      </c>
      <c r="E714" s="102">
        <v>0</v>
      </c>
      <c r="F714" s="114">
        <v>0</v>
      </c>
      <c r="G714" s="102">
        <v>0</v>
      </c>
      <c r="H714" s="102">
        <v>0</v>
      </c>
      <c r="I714" s="102">
        <v>0</v>
      </c>
    </row>
    <row r="715" spans="1:9" s="77" customFormat="1" x14ac:dyDescent="0.2">
      <c r="A715" s="262" t="s">
        <v>8</v>
      </c>
      <c r="B715" s="102">
        <f>B712-B714</f>
        <v>100</v>
      </c>
      <c r="C715" s="102">
        <f t="shared" ref="C715" si="27">C712-C714</f>
        <v>100</v>
      </c>
      <c r="D715" s="102">
        <f>D712-D714</f>
        <v>112.75</v>
      </c>
      <c r="E715" s="102">
        <f t="shared" ref="E715:G715" si="28">E712-E714</f>
        <v>108.75</v>
      </c>
      <c r="F715" s="102">
        <f t="shared" si="28"/>
        <v>108.75</v>
      </c>
      <c r="G715" s="102">
        <f t="shared" si="28"/>
        <v>108.75</v>
      </c>
      <c r="H715" s="102">
        <v>108.75</v>
      </c>
      <c r="I715" s="102">
        <f t="shared" ref="I715" si="29">I712-I714</f>
        <v>96</v>
      </c>
    </row>
    <row r="716" spans="1:9" s="77" customFormat="1" x14ac:dyDescent="0.2">
      <c r="A716" s="263" t="s">
        <v>9</v>
      </c>
      <c r="B716" s="264">
        <v>2013</v>
      </c>
      <c r="C716" s="264">
        <v>2014</v>
      </c>
      <c r="D716" s="195">
        <v>2015</v>
      </c>
      <c r="E716" s="264">
        <v>2016</v>
      </c>
      <c r="F716" s="196">
        <v>2017</v>
      </c>
      <c r="G716" s="265">
        <v>2018</v>
      </c>
      <c r="H716" s="265">
        <v>2019</v>
      </c>
      <c r="I716" s="265">
        <v>2020</v>
      </c>
    </row>
    <row r="717" spans="1:9" s="77" customFormat="1" x14ac:dyDescent="0.2">
      <c r="A717" s="587" t="s">
        <v>10</v>
      </c>
      <c r="B717" s="588"/>
      <c r="C717" s="588"/>
      <c r="D717" s="588"/>
      <c r="E717" s="588"/>
      <c r="F717" s="588"/>
      <c r="G717" s="196"/>
      <c r="H717" s="196"/>
      <c r="I717" s="196"/>
    </row>
    <row r="718" spans="1:9" s="77" customFormat="1" x14ac:dyDescent="0.2">
      <c r="A718" s="263" t="s">
        <v>378</v>
      </c>
      <c r="B718" s="195"/>
      <c r="C718" s="195"/>
      <c r="D718" s="195"/>
      <c r="E718" s="195"/>
      <c r="F718" s="195"/>
      <c r="G718" s="195"/>
      <c r="H718" s="195"/>
      <c r="I718" s="196"/>
    </row>
    <row r="719" spans="1:9" s="77" customFormat="1" x14ac:dyDescent="0.2">
      <c r="A719" s="574" t="s">
        <v>385</v>
      </c>
      <c r="B719" s="575"/>
      <c r="C719" s="575"/>
      <c r="D719" s="575"/>
      <c r="E719" s="575"/>
      <c r="F719" s="575"/>
      <c r="I719" s="198"/>
    </row>
    <row r="720" spans="1:9" s="77" customFormat="1" x14ac:dyDescent="0.2">
      <c r="A720" s="574" t="s">
        <v>386</v>
      </c>
      <c r="B720" s="575"/>
      <c r="C720" s="575"/>
      <c r="D720" s="575"/>
      <c r="E720" s="575"/>
      <c r="F720" s="575"/>
      <c r="I720" s="198"/>
    </row>
    <row r="721" spans="1:9" s="77" customFormat="1" ht="45" customHeight="1" x14ac:dyDescent="0.2">
      <c r="A721" s="574" t="s">
        <v>387</v>
      </c>
      <c r="B721" s="575"/>
      <c r="C721" s="575"/>
      <c r="D721" s="575"/>
      <c r="E721" s="575"/>
      <c r="F721" s="575"/>
      <c r="G721" s="575"/>
      <c r="I721" s="198"/>
    </row>
    <row r="722" spans="1:9" s="77" customFormat="1" ht="30" customHeight="1" x14ac:dyDescent="0.2">
      <c r="A722" s="574" t="s">
        <v>388</v>
      </c>
      <c r="B722" s="575"/>
      <c r="C722" s="575"/>
      <c r="D722" s="575"/>
      <c r="E722" s="575"/>
      <c r="F722" s="575"/>
      <c r="G722" s="575"/>
      <c r="I722" s="198"/>
    </row>
    <row r="723" spans="1:9" s="77" customFormat="1" ht="30" customHeight="1" x14ac:dyDescent="0.2">
      <c r="A723" s="574" t="s">
        <v>389</v>
      </c>
      <c r="B723" s="575"/>
      <c r="C723" s="575"/>
      <c r="D723" s="575"/>
      <c r="E723" s="575"/>
      <c r="F723" s="575"/>
      <c r="G723" s="575"/>
      <c r="I723" s="198"/>
    </row>
    <row r="724" spans="1:9" s="77" customFormat="1" ht="30" customHeight="1" x14ac:dyDescent="0.2">
      <c r="A724" s="574" t="s">
        <v>390</v>
      </c>
      <c r="B724" s="575"/>
      <c r="C724" s="575"/>
      <c r="D724" s="575"/>
      <c r="E724" s="575"/>
      <c r="F724" s="575"/>
      <c r="G724" s="575"/>
      <c r="I724" s="198"/>
    </row>
    <row r="725" spans="1:9" s="77" customFormat="1" ht="30" customHeight="1" x14ac:dyDescent="0.2">
      <c r="A725" s="574" t="s">
        <v>678</v>
      </c>
      <c r="B725" s="575"/>
      <c r="C725" s="575"/>
      <c r="D725" s="575"/>
      <c r="E725" s="575"/>
      <c r="F725" s="575"/>
      <c r="G725" s="575"/>
      <c r="I725" s="198"/>
    </row>
    <row r="726" spans="1:9" s="77" customFormat="1" ht="30" customHeight="1" x14ac:dyDescent="0.2">
      <c r="A726" s="572" t="s">
        <v>679</v>
      </c>
      <c r="B726" s="573"/>
      <c r="C726" s="573"/>
      <c r="D726" s="573"/>
      <c r="E726" s="573"/>
      <c r="F726" s="573"/>
      <c r="G726" s="573"/>
      <c r="H726" s="256"/>
      <c r="I726" s="438"/>
    </row>
    <row r="728" spans="1:9" x14ac:dyDescent="0.2">
      <c r="A728" s="117" t="s">
        <v>1</v>
      </c>
      <c r="B728" s="61" t="s">
        <v>740</v>
      </c>
      <c r="C728" s="118" t="s">
        <v>2</v>
      </c>
    </row>
    <row r="729" spans="1:9" x14ac:dyDescent="0.2">
      <c r="A729" s="52" t="s">
        <v>3</v>
      </c>
      <c r="B729" s="119">
        <v>2015</v>
      </c>
      <c r="C729" s="119">
        <v>2016</v>
      </c>
      <c r="D729" s="120">
        <v>2017</v>
      </c>
      <c r="E729" s="119">
        <v>2018</v>
      </c>
      <c r="F729" s="119">
        <v>2019</v>
      </c>
      <c r="G729" s="425">
        <v>2020</v>
      </c>
      <c r="H729" s="425">
        <v>2021</v>
      </c>
      <c r="I729" s="425">
        <v>2022</v>
      </c>
    </row>
    <row r="730" spans="1:9" x14ac:dyDescent="0.2">
      <c r="A730" s="52" t="s">
        <v>4</v>
      </c>
      <c r="B730" s="121">
        <v>4.51</v>
      </c>
      <c r="C730" s="121">
        <v>4.51</v>
      </c>
      <c r="D730" s="122">
        <v>4.51</v>
      </c>
      <c r="E730" s="121">
        <v>5.31</v>
      </c>
      <c r="F730" s="123">
        <v>5.31</v>
      </c>
      <c r="G730" s="428">
        <v>5.31</v>
      </c>
      <c r="H730" s="428">
        <v>5.31</v>
      </c>
      <c r="I730" s="428">
        <v>6.18</v>
      </c>
    </row>
    <row r="731" spans="1:9" x14ac:dyDescent="0.2">
      <c r="A731" s="52" t="s">
        <v>5</v>
      </c>
      <c r="B731" s="121">
        <v>8.51</v>
      </c>
      <c r="C731" s="121">
        <v>9.02</v>
      </c>
      <c r="D731" s="121">
        <v>4.1899999999999995</v>
      </c>
      <c r="E731" s="121">
        <v>9.5</v>
      </c>
      <c r="F731" s="121">
        <f>2*F730-9.62</f>
        <v>1</v>
      </c>
      <c r="G731" s="428">
        <f>G730+F734-4.78</f>
        <v>1.5299999999999994</v>
      </c>
      <c r="H731" s="428">
        <f>H730+G734-4.78</f>
        <v>2.0599999999999987</v>
      </c>
      <c r="I731" s="428">
        <f>I730+H734-4.78</f>
        <v>3.4599999999999982</v>
      </c>
    </row>
    <row r="732" spans="1:9" x14ac:dyDescent="0.2">
      <c r="A732" s="52" t="s">
        <v>6</v>
      </c>
      <c r="B732" s="124">
        <v>1</v>
      </c>
      <c r="C732" s="124">
        <v>2</v>
      </c>
      <c r="D732" s="125">
        <v>3</v>
      </c>
      <c r="E732" s="124">
        <v>4</v>
      </c>
      <c r="F732" s="126">
        <v>5</v>
      </c>
      <c r="G732" s="439">
        <v>6</v>
      </c>
      <c r="H732" s="439">
        <v>7</v>
      </c>
      <c r="I732" s="439">
        <v>8</v>
      </c>
    </row>
    <row r="733" spans="1:9" x14ac:dyDescent="0.2">
      <c r="A733" s="52" t="s">
        <v>7</v>
      </c>
      <c r="B733" s="121">
        <v>0.17</v>
      </c>
      <c r="C733" s="121">
        <v>9.34</v>
      </c>
      <c r="D733" s="122">
        <v>0</v>
      </c>
      <c r="E733" s="121">
        <v>0</v>
      </c>
      <c r="F733" s="123">
        <v>0</v>
      </c>
      <c r="G733" s="428">
        <v>0</v>
      </c>
      <c r="H733" s="428">
        <v>0</v>
      </c>
      <c r="I733" s="428"/>
    </row>
    <row r="734" spans="1:9" x14ac:dyDescent="0.2">
      <c r="A734" s="52" t="s">
        <v>8</v>
      </c>
      <c r="B734" s="121">
        <v>8.34</v>
      </c>
      <c r="C734" s="121">
        <v>-0.32000000000000028</v>
      </c>
      <c r="D734" s="121">
        <v>4.1899999999999995</v>
      </c>
      <c r="E734" s="121">
        <v>9.5</v>
      </c>
      <c r="F734" s="123">
        <f>F731-F733</f>
        <v>1</v>
      </c>
      <c r="G734" s="428">
        <f>G731</f>
        <v>1.5299999999999994</v>
      </c>
      <c r="H734" s="428">
        <f>H731</f>
        <v>2.0599999999999987</v>
      </c>
      <c r="I734" s="428"/>
    </row>
    <row r="735" spans="1:9" x14ac:dyDescent="0.2">
      <c r="A735" s="55" t="s">
        <v>9</v>
      </c>
      <c r="B735" s="127">
        <v>2014</v>
      </c>
      <c r="C735" s="127">
        <v>2015</v>
      </c>
      <c r="D735" s="128">
        <v>2016</v>
      </c>
      <c r="E735" s="127">
        <v>2017</v>
      </c>
      <c r="F735" s="129">
        <v>2018</v>
      </c>
      <c r="G735" s="440">
        <v>2019</v>
      </c>
      <c r="H735" s="440">
        <v>2020</v>
      </c>
      <c r="I735" s="440">
        <v>2021</v>
      </c>
    </row>
    <row r="736" spans="1:9" x14ac:dyDescent="0.2">
      <c r="A736" s="55" t="s">
        <v>10</v>
      </c>
      <c r="B736" s="30"/>
      <c r="C736" s="30"/>
      <c r="D736" s="30"/>
      <c r="E736" s="30"/>
      <c r="F736" s="30"/>
      <c r="G736" s="430"/>
      <c r="H736" s="430"/>
      <c r="I736" s="430"/>
    </row>
    <row r="737" spans="1:10" x14ac:dyDescent="0.2">
      <c r="A737" s="55" t="s">
        <v>391</v>
      </c>
      <c r="B737" s="30"/>
      <c r="C737" s="30"/>
      <c r="D737" s="30"/>
      <c r="E737" s="30"/>
      <c r="F737" s="30"/>
      <c r="G737" s="30"/>
      <c r="H737" s="30"/>
      <c r="I737" s="31"/>
    </row>
    <row r="738" spans="1:10" x14ac:dyDescent="0.2">
      <c r="A738" s="20" t="s">
        <v>392</v>
      </c>
      <c r="I738" s="21"/>
    </row>
    <row r="739" spans="1:10" x14ac:dyDescent="0.2">
      <c r="A739" s="20" t="s">
        <v>393</v>
      </c>
      <c r="I739" s="21"/>
    </row>
    <row r="740" spans="1:10" x14ac:dyDescent="0.2">
      <c r="A740" s="20" t="s">
        <v>394</v>
      </c>
      <c r="I740" s="21"/>
    </row>
    <row r="741" spans="1:10" x14ac:dyDescent="0.2">
      <c r="A741" s="20" t="s">
        <v>680</v>
      </c>
      <c r="I741" s="21"/>
    </row>
    <row r="742" spans="1:10" x14ac:dyDescent="0.2">
      <c r="A742" s="433" t="s">
        <v>658</v>
      </c>
      <c r="B742" s="434"/>
      <c r="C742" s="434"/>
      <c r="D742" s="434"/>
      <c r="E742" s="434"/>
      <c r="I742" s="21"/>
    </row>
    <row r="743" spans="1:10" x14ac:dyDescent="0.2">
      <c r="A743" s="433" t="s">
        <v>657</v>
      </c>
      <c r="B743" s="434"/>
      <c r="C743" s="434"/>
      <c r="D743" s="434"/>
      <c r="E743" s="434"/>
      <c r="I743" s="21"/>
    </row>
    <row r="744" spans="1:10" x14ac:dyDescent="0.2">
      <c r="A744" s="424" t="s">
        <v>681</v>
      </c>
      <c r="B744" s="436"/>
      <c r="C744" s="436"/>
      <c r="D744" s="436"/>
      <c r="E744" s="436"/>
      <c r="F744" s="33"/>
      <c r="G744" s="33"/>
      <c r="H744" s="33"/>
      <c r="I744" s="34"/>
    </row>
    <row r="747" spans="1:10" x14ac:dyDescent="0.2">
      <c r="A747" s="220" t="s">
        <v>12</v>
      </c>
      <c r="B747" s="627" t="s">
        <v>260</v>
      </c>
      <c r="C747" s="266"/>
      <c r="D747" s="7"/>
      <c r="E747" s="7"/>
      <c r="F747" s="7"/>
    </row>
    <row r="748" spans="1:10" x14ac:dyDescent="0.2">
      <c r="A748" s="16" t="s">
        <v>14</v>
      </c>
      <c r="B748" s="13" t="s">
        <v>74</v>
      </c>
      <c r="C748" s="212" t="s">
        <v>15</v>
      </c>
      <c r="D748" s="7"/>
      <c r="E748" s="7"/>
      <c r="F748" s="7"/>
    </row>
    <row r="749" spans="1:10" x14ac:dyDescent="0.2">
      <c r="A749" s="8" t="s">
        <v>16</v>
      </c>
      <c r="B749" s="88">
        <v>2015</v>
      </c>
      <c r="C749" s="88">
        <v>2016</v>
      </c>
      <c r="D749" s="267">
        <v>2017</v>
      </c>
      <c r="E749" s="88">
        <v>2018</v>
      </c>
      <c r="F749" s="89">
        <v>2019</v>
      </c>
      <c r="G749" s="89">
        <v>2020</v>
      </c>
      <c r="H749" s="399">
        <v>2021</v>
      </c>
      <c r="I749" s="441">
        <v>2022</v>
      </c>
    </row>
    <row r="750" spans="1:10" x14ac:dyDescent="0.2">
      <c r="A750" s="8" t="s">
        <v>17</v>
      </c>
      <c r="B750" s="23">
        <v>4722</v>
      </c>
      <c r="C750" s="23">
        <v>4250</v>
      </c>
      <c r="D750" s="23">
        <v>4250</v>
      </c>
      <c r="E750" s="23">
        <v>4250</v>
      </c>
      <c r="F750" s="23">
        <v>4250</v>
      </c>
      <c r="G750" s="23">
        <v>3716</v>
      </c>
      <c r="H750" s="51">
        <v>3656.5440000000003</v>
      </c>
      <c r="I750" s="428">
        <v>3686.2719999999999</v>
      </c>
    </row>
    <row r="751" spans="1:10" x14ac:dyDescent="0.2">
      <c r="A751" s="8" t="s">
        <v>18</v>
      </c>
      <c r="B751" s="23">
        <v>6614.6</v>
      </c>
      <c r="C751" s="23">
        <f>C750+70+583-337</f>
        <v>4566</v>
      </c>
      <c r="D751" s="51">
        <f>D750-337+70+B754+C754</f>
        <v>4433.3230000000003</v>
      </c>
      <c r="E751" s="23">
        <f>E750-337+70</f>
        <v>3983</v>
      </c>
      <c r="F751" s="51">
        <f>F750+70+D754</f>
        <v>4667.3230000000003</v>
      </c>
      <c r="G751" s="51">
        <f>G750+E754</f>
        <v>4128</v>
      </c>
      <c r="H751" s="51">
        <f>H750+425</f>
        <v>4081.5440000000003</v>
      </c>
      <c r="I751" s="428">
        <f>I750+371.6</f>
        <v>4057.8719999999998</v>
      </c>
    </row>
    <row r="752" spans="1:10" x14ac:dyDescent="0.2">
      <c r="A752" s="8" t="s">
        <v>19</v>
      </c>
      <c r="B752" s="207"/>
      <c r="C752" s="207">
        <v>1</v>
      </c>
      <c r="D752" s="207">
        <v>2</v>
      </c>
      <c r="E752" s="207">
        <v>3</v>
      </c>
      <c r="F752" s="207">
        <v>4</v>
      </c>
      <c r="G752" s="207">
        <v>5</v>
      </c>
      <c r="H752" s="427">
        <v>6</v>
      </c>
      <c r="I752" s="427">
        <v>7</v>
      </c>
      <c r="J752" s="43"/>
    </row>
    <row r="753" spans="1:10" x14ac:dyDescent="0.2">
      <c r="A753" s="8" t="s">
        <v>20</v>
      </c>
      <c r="B753" s="23">
        <v>5917.6769999999997</v>
      </c>
      <c r="C753" s="51">
        <v>4812.6000000000004</v>
      </c>
      <c r="D753" s="51">
        <v>4086</v>
      </c>
      <c r="E753" s="51">
        <v>3571</v>
      </c>
      <c r="F753" s="428">
        <v>2864.5</v>
      </c>
      <c r="G753" s="428">
        <v>2932.5</v>
      </c>
      <c r="H753" s="428">
        <v>1925</v>
      </c>
      <c r="I753" s="428"/>
    </row>
    <row r="754" spans="1:10" x14ac:dyDescent="0.2">
      <c r="A754" s="8" t="s">
        <v>21</v>
      </c>
      <c r="B754" s="23">
        <f t="shared" ref="B754:H754" si="30">B751-B753</f>
        <v>696.92300000000068</v>
      </c>
      <c r="C754" s="51">
        <f t="shared" si="30"/>
        <v>-246.60000000000036</v>
      </c>
      <c r="D754" s="51">
        <f t="shared" si="30"/>
        <v>347.32300000000032</v>
      </c>
      <c r="E754" s="51">
        <f t="shared" si="30"/>
        <v>412</v>
      </c>
      <c r="F754" s="51">
        <f t="shared" si="30"/>
        <v>1802.8230000000003</v>
      </c>
      <c r="G754" s="51">
        <f t="shared" si="30"/>
        <v>1195.5</v>
      </c>
      <c r="H754" s="51">
        <f t="shared" si="30"/>
        <v>2156.5440000000003</v>
      </c>
      <c r="I754" s="428"/>
      <c r="J754" s="43"/>
    </row>
    <row r="755" spans="1:10" x14ac:dyDescent="0.2">
      <c r="A755" s="37" t="s">
        <v>22</v>
      </c>
      <c r="B755" s="268">
        <v>2017</v>
      </c>
      <c r="C755" s="268">
        <v>2018</v>
      </c>
      <c r="D755" s="268">
        <v>2019</v>
      </c>
      <c r="E755" s="268">
        <v>2020</v>
      </c>
      <c r="F755" s="268">
        <v>2021</v>
      </c>
      <c r="G755" s="268">
        <v>2022</v>
      </c>
      <c r="H755" s="268">
        <v>2023</v>
      </c>
      <c r="I755" s="442"/>
    </row>
    <row r="756" spans="1:10" x14ac:dyDescent="0.2">
      <c r="A756" s="269"/>
      <c r="B756" s="30"/>
      <c r="C756" s="270"/>
      <c r="D756" s="30"/>
      <c r="E756" s="30"/>
      <c r="F756" s="30"/>
      <c r="G756" s="30"/>
      <c r="H756" s="30"/>
      <c r="I756" s="31"/>
    </row>
    <row r="757" spans="1:10" x14ac:dyDescent="0.2">
      <c r="A757" s="409" t="s">
        <v>682</v>
      </c>
      <c r="I757" s="21"/>
    </row>
    <row r="758" spans="1:10" x14ac:dyDescent="0.2">
      <c r="A758" s="409" t="s">
        <v>683</v>
      </c>
      <c r="I758" s="21"/>
    </row>
    <row r="759" spans="1:10" x14ac:dyDescent="0.2">
      <c r="A759" s="409" t="s">
        <v>684</v>
      </c>
      <c r="C759" s="271"/>
      <c r="I759" s="21"/>
    </row>
    <row r="760" spans="1:10" x14ac:dyDescent="0.2">
      <c r="A760" s="409" t="s">
        <v>685</v>
      </c>
      <c r="C760" s="271"/>
      <c r="I760" s="21"/>
    </row>
    <row r="761" spans="1:10" x14ac:dyDescent="0.2">
      <c r="A761" s="409" t="s">
        <v>686</v>
      </c>
      <c r="C761" s="271"/>
      <c r="I761" s="21"/>
    </row>
    <row r="762" spans="1:10" x14ac:dyDescent="0.2">
      <c r="A762" s="20" t="s">
        <v>550</v>
      </c>
      <c r="I762" s="21"/>
    </row>
    <row r="763" spans="1:10" x14ac:dyDescent="0.2">
      <c r="A763" s="32" t="s">
        <v>687</v>
      </c>
      <c r="B763" s="33"/>
      <c r="C763" s="33"/>
      <c r="D763" s="33"/>
      <c r="E763" s="33"/>
      <c r="F763" s="33"/>
      <c r="G763" s="33"/>
      <c r="H763" s="33"/>
      <c r="I763" s="34"/>
    </row>
    <row r="767" spans="1:10" x14ac:dyDescent="0.2">
      <c r="A767" s="243" t="s">
        <v>12</v>
      </c>
      <c r="B767" s="244" t="s">
        <v>469</v>
      </c>
    </row>
    <row r="768" spans="1:10" x14ac:dyDescent="0.2">
      <c r="A768" s="16" t="s">
        <v>14</v>
      </c>
      <c r="B768" s="13" t="s">
        <v>74</v>
      </c>
      <c r="C768" s="13" t="s">
        <v>160</v>
      </c>
      <c r="D768" s="7"/>
      <c r="E768" s="7"/>
      <c r="F768" s="7"/>
      <c r="G768" s="7"/>
    </row>
    <row r="769" spans="1:8" x14ac:dyDescent="0.2">
      <c r="A769" s="14" t="s">
        <v>16</v>
      </c>
      <c r="B769" s="143"/>
      <c r="C769" s="88">
        <v>2020</v>
      </c>
      <c r="D769" s="88">
        <v>2021</v>
      </c>
    </row>
    <row r="770" spans="1:8" x14ac:dyDescent="0.2">
      <c r="A770" s="8" t="s">
        <v>17</v>
      </c>
      <c r="B770" s="9"/>
      <c r="C770" s="29">
        <v>911.93</v>
      </c>
      <c r="D770" s="29">
        <v>911.93</v>
      </c>
    </row>
    <row r="771" spans="1:8" x14ac:dyDescent="0.2">
      <c r="A771" s="8" t="s">
        <v>18</v>
      </c>
      <c r="B771" s="9"/>
      <c r="C771" s="29"/>
      <c r="D771" s="29"/>
    </row>
    <row r="772" spans="1:8" x14ac:dyDescent="0.2">
      <c r="A772" s="8" t="s">
        <v>19</v>
      </c>
      <c r="B772" s="12"/>
      <c r="C772" s="135"/>
      <c r="D772" s="135"/>
    </row>
    <row r="773" spans="1:8" x14ac:dyDescent="0.2">
      <c r="A773" s="8" t="s">
        <v>20</v>
      </c>
      <c r="B773" s="9"/>
      <c r="C773" s="29">
        <v>905.99</v>
      </c>
      <c r="D773" s="29">
        <v>768.09</v>
      </c>
    </row>
    <row r="774" spans="1:8" x14ac:dyDescent="0.2">
      <c r="A774" s="8" t="s">
        <v>21</v>
      </c>
      <c r="B774" s="9"/>
      <c r="C774" s="29"/>
      <c r="D774" s="29"/>
    </row>
    <row r="775" spans="1:8" x14ac:dyDescent="0.2">
      <c r="A775" s="37" t="s">
        <v>22</v>
      </c>
      <c r="B775" s="38"/>
      <c r="C775" s="272"/>
      <c r="D775" s="272"/>
    </row>
    <row r="776" spans="1:8" x14ac:dyDescent="0.2">
      <c r="A776" s="569"/>
      <c r="B776" s="570"/>
      <c r="C776" s="571"/>
      <c r="D776" s="571"/>
      <c r="E776" s="28"/>
      <c r="F776" s="28"/>
      <c r="G776" s="28"/>
      <c r="H776" s="28"/>
    </row>
    <row r="777" spans="1:8" x14ac:dyDescent="0.2">
      <c r="A777" s="35"/>
      <c r="B777" s="35"/>
      <c r="C777" s="35"/>
      <c r="D777" s="35"/>
      <c r="E777" s="28"/>
      <c r="F777" s="28"/>
      <c r="G777" s="28"/>
      <c r="H777" s="28"/>
    </row>
    <row r="778" spans="1:8" x14ac:dyDescent="0.2">
      <c r="A778" s="35"/>
      <c r="B778" s="35"/>
      <c r="C778" s="35"/>
      <c r="D778" s="35"/>
      <c r="E778" s="35"/>
      <c r="F778" s="35"/>
      <c r="G778" s="35"/>
    </row>
    <row r="779" spans="1:8" x14ac:dyDescent="0.2">
      <c r="A779" s="243" t="s">
        <v>12</v>
      </c>
      <c r="B779" s="244" t="s">
        <v>470</v>
      </c>
    </row>
    <row r="780" spans="1:8" x14ac:dyDescent="0.2">
      <c r="A780" s="454" t="s">
        <v>14</v>
      </c>
      <c r="B780" s="455" t="s">
        <v>708</v>
      </c>
      <c r="C780" s="455" t="s">
        <v>160</v>
      </c>
      <c r="D780" s="456"/>
      <c r="E780" s="456"/>
      <c r="F780" s="456"/>
      <c r="G780" s="456"/>
    </row>
    <row r="781" spans="1:8" x14ac:dyDescent="0.2">
      <c r="A781" s="513" t="s">
        <v>16</v>
      </c>
      <c r="B781" s="521">
        <v>2016</v>
      </c>
      <c r="C781" s="514">
        <v>2017</v>
      </c>
      <c r="D781" s="514">
        <v>2018</v>
      </c>
      <c r="E781" s="514">
        <v>2019</v>
      </c>
      <c r="F781" s="514">
        <v>2020</v>
      </c>
      <c r="G781" s="514">
        <v>2021</v>
      </c>
      <c r="H781" s="514">
        <v>2022</v>
      </c>
    </row>
    <row r="782" spans="1:8" x14ac:dyDescent="0.2">
      <c r="A782" s="515" t="s">
        <v>17</v>
      </c>
      <c r="B782" s="386">
        <v>0</v>
      </c>
      <c r="C782" s="386">
        <v>0</v>
      </c>
      <c r="D782" s="386">
        <v>0</v>
      </c>
      <c r="E782" s="386">
        <v>0</v>
      </c>
      <c r="F782" s="386">
        <v>0</v>
      </c>
      <c r="G782" s="386">
        <v>0</v>
      </c>
      <c r="H782" s="386">
        <v>0</v>
      </c>
    </row>
    <row r="783" spans="1:8" x14ac:dyDescent="0.2">
      <c r="A783" s="515" t="s">
        <v>18</v>
      </c>
      <c r="B783" s="386">
        <f>B786+B785</f>
        <v>-0.66000000000000014</v>
      </c>
      <c r="C783" s="386">
        <f>B786</f>
        <v>-6.29</v>
      </c>
      <c r="D783" s="386">
        <f t="shared" ref="D783" si="31">C786</f>
        <v>-14.989999999999998</v>
      </c>
      <c r="E783" s="386">
        <f t="shared" ref="E783" si="32">D786</f>
        <v>-19.489999999999998</v>
      </c>
      <c r="F783" s="386">
        <f t="shared" ref="F783" si="33">E786</f>
        <v>-21.189999999999998</v>
      </c>
      <c r="G783" s="386">
        <f t="shared" ref="G783:H783" si="34">F786</f>
        <v>-25.709999999999997</v>
      </c>
      <c r="H783" s="386">
        <f t="shared" si="34"/>
        <v>-28.479999999999997</v>
      </c>
    </row>
    <row r="784" spans="1:8" x14ac:dyDescent="0.2">
      <c r="A784" s="515" t="s">
        <v>19</v>
      </c>
      <c r="B784" s="516"/>
      <c r="C784" s="516"/>
      <c r="D784" s="516"/>
      <c r="E784" s="516"/>
      <c r="F784" s="516"/>
      <c r="G784" s="516"/>
      <c r="H784" s="516"/>
    </row>
    <row r="785" spans="1:8" x14ac:dyDescent="0.2">
      <c r="A785" s="515" t="s">
        <v>20</v>
      </c>
      <c r="B785" s="386">
        <v>5.63</v>
      </c>
      <c r="C785" s="386">
        <v>8.6999999999999993</v>
      </c>
      <c r="D785" s="386">
        <v>4.5</v>
      </c>
      <c r="E785" s="386">
        <v>1.7</v>
      </c>
      <c r="F785" s="386">
        <v>4.5199999999999996</v>
      </c>
      <c r="G785" s="386">
        <v>2.77</v>
      </c>
      <c r="H785" s="386"/>
    </row>
    <row r="786" spans="1:8" x14ac:dyDescent="0.2">
      <c r="A786" s="515" t="s">
        <v>21</v>
      </c>
      <c r="B786" s="386">
        <v>-6.29</v>
      </c>
      <c r="C786" s="386">
        <f>C783-C785</f>
        <v>-14.989999999999998</v>
      </c>
      <c r="D786" s="386">
        <f>D783-D785</f>
        <v>-19.489999999999998</v>
      </c>
      <c r="E786" s="386">
        <f>E783-E785</f>
        <v>-21.189999999999998</v>
      </c>
      <c r="F786" s="386">
        <f>F783-F785</f>
        <v>-25.709999999999997</v>
      </c>
      <c r="G786" s="386">
        <f>G783-G785</f>
        <v>-28.479999999999997</v>
      </c>
      <c r="H786" s="386"/>
    </row>
    <row r="787" spans="1:8" x14ac:dyDescent="0.2">
      <c r="A787" s="517" t="s">
        <v>22</v>
      </c>
      <c r="B787" s="518">
        <v>2017</v>
      </c>
      <c r="C787" s="518">
        <v>2018</v>
      </c>
      <c r="D787" s="518">
        <v>2019</v>
      </c>
      <c r="E787" s="518">
        <v>2020</v>
      </c>
      <c r="F787" s="518">
        <v>2021</v>
      </c>
      <c r="G787" s="518">
        <v>2022</v>
      </c>
      <c r="H787" s="518">
        <v>2023</v>
      </c>
    </row>
    <row r="788" spans="1:8" x14ac:dyDescent="0.2">
      <c r="A788" s="517" t="s">
        <v>471</v>
      </c>
      <c r="B788" s="536"/>
      <c r="C788" s="536"/>
      <c r="D788" s="536"/>
      <c r="E788" s="536"/>
      <c r="F788" s="536"/>
      <c r="G788" s="50"/>
      <c r="H788" s="31"/>
    </row>
    <row r="789" spans="1:8" ht="13.15" customHeight="1" x14ac:dyDescent="0.2">
      <c r="A789" s="513" t="s">
        <v>762</v>
      </c>
      <c r="B789" s="537"/>
      <c r="C789" s="537"/>
      <c r="D789" s="537"/>
      <c r="E789" s="537"/>
      <c r="F789" s="537"/>
      <c r="G789" s="15"/>
      <c r="H789" s="535"/>
    </row>
    <row r="790" spans="1:8" ht="13.15" customHeight="1" x14ac:dyDescent="0.2">
      <c r="A790" s="14"/>
      <c r="B790" s="15"/>
      <c r="C790" s="15"/>
      <c r="D790" s="7"/>
      <c r="E790" s="7"/>
      <c r="F790" s="7"/>
      <c r="G790" s="7"/>
      <c r="H790" s="28"/>
    </row>
    <row r="791" spans="1:8" x14ac:dyDescent="0.2">
      <c r="A791" s="522" t="s">
        <v>14</v>
      </c>
      <c r="B791" s="523" t="s">
        <v>215</v>
      </c>
      <c r="C791" s="523" t="s">
        <v>160</v>
      </c>
      <c r="D791" s="524"/>
      <c r="E791" s="524"/>
      <c r="F791" s="524"/>
      <c r="G791" s="524"/>
    </row>
    <row r="792" spans="1:8" x14ac:dyDescent="0.2">
      <c r="A792" s="525" t="s">
        <v>16</v>
      </c>
      <c r="B792" s="526">
        <v>2016</v>
      </c>
      <c r="C792" s="527">
        <v>2017</v>
      </c>
      <c r="D792" s="527">
        <v>2018</v>
      </c>
      <c r="E792" s="527">
        <v>2019</v>
      </c>
      <c r="F792" s="527">
        <v>2020</v>
      </c>
      <c r="G792" s="527">
        <v>2021</v>
      </c>
    </row>
    <row r="793" spans="1:8" x14ac:dyDescent="0.2">
      <c r="A793" s="528" t="s">
        <v>17</v>
      </c>
      <c r="B793" s="529">
        <v>0</v>
      </c>
      <c r="C793" s="529">
        <v>0</v>
      </c>
      <c r="D793" s="529">
        <v>0</v>
      </c>
      <c r="E793" s="529">
        <v>0</v>
      </c>
      <c r="F793" s="529">
        <v>0</v>
      </c>
      <c r="G793" s="529">
        <v>0</v>
      </c>
    </row>
    <row r="794" spans="1:8" x14ac:dyDescent="0.2">
      <c r="A794" s="528" t="s">
        <v>18</v>
      </c>
      <c r="B794" s="529">
        <f>B797+B796</f>
        <v>-0.66000000000000014</v>
      </c>
      <c r="C794" s="529">
        <f>B797</f>
        <v>-6.29</v>
      </c>
      <c r="D794" s="529">
        <f t="shared" ref="D794:G794" si="35">C797</f>
        <v>-14.989999999999998</v>
      </c>
      <c r="E794" s="529">
        <f t="shared" si="35"/>
        <v>-19.489999999999998</v>
      </c>
      <c r="F794" s="529">
        <f t="shared" si="35"/>
        <v>-21.189999999999998</v>
      </c>
      <c r="G794" s="529">
        <f t="shared" si="35"/>
        <v>-25.709999999999997</v>
      </c>
    </row>
    <row r="795" spans="1:8" x14ac:dyDescent="0.2">
      <c r="A795" s="528" t="s">
        <v>19</v>
      </c>
      <c r="B795" s="530"/>
      <c r="C795" s="530"/>
      <c r="D795" s="530"/>
      <c r="E795" s="530"/>
      <c r="F795" s="530"/>
      <c r="G795" s="530"/>
    </row>
    <row r="796" spans="1:8" x14ac:dyDescent="0.2">
      <c r="A796" s="528" t="s">
        <v>20</v>
      </c>
      <c r="B796" s="529">
        <v>5.63</v>
      </c>
      <c r="C796" s="529">
        <v>8.6999999999999993</v>
      </c>
      <c r="D796" s="529">
        <v>4.5</v>
      </c>
      <c r="E796" s="529">
        <v>1.7</v>
      </c>
      <c r="F796" s="529">
        <v>4.5199999999999996</v>
      </c>
      <c r="G796" s="529"/>
    </row>
    <row r="797" spans="1:8" x14ac:dyDescent="0.2">
      <c r="A797" s="528" t="s">
        <v>21</v>
      </c>
      <c r="B797" s="529">
        <v>-6.29</v>
      </c>
      <c r="C797" s="529">
        <f>C794-C796</f>
        <v>-14.989999999999998</v>
      </c>
      <c r="D797" s="529">
        <f>D794-D796</f>
        <v>-19.489999999999998</v>
      </c>
      <c r="E797" s="529">
        <f>E794-E796</f>
        <v>-21.189999999999998</v>
      </c>
      <c r="F797" s="529">
        <f>F794-F796</f>
        <v>-25.709999999999997</v>
      </c>
      <c r="G797" s="529"/>
    </row>
    <row r="798" spans="1:8" x14ac:dyDescent="0.2">
      <c r="A798" s="531" t="s">
        <v>22</v>
      </c>
      <c r="B798" s="532">
        <v>2017</v>
      </c>
      <c r="C798" s="532">
        <v>2018</v>
      </c>
      <c r="D798" s="532">
        <v>2019</v>
      </c>
      <c r="E798" s="532">
        <v>2020</v>
      </c>
      <c r="F798" s="532">
        <v>2021</v>
      </c>
      <c r="G798" s="532">
        <v>2022</v>
      </c>
    </row>
    <row r="799" spans="1:8" ht="13.15" customHeight="1" x14ac:dyDescent="0.2">
      <c r="A799" s="528" t="s">
        <v>471</v>
      </c>
      <c r="B799" s="533"/>
      <c r="C799" s="533"/>
      <c r="D799" s="533"/>
      <c r="E799" s="533"/>
      <c r="F799" s="533"/>
      <c r="G799" s="534"/>
      <c r="H799" s="28"/>
    </row>
    <row r="800" spans="1:8" x14ac:dyDescent="0.2">
      <c r="A800" s="35"/>
      <c r="B800" s="35"/>
      <c r="C800" s="35"/>
      <c r="D800" s="35"/>
      <c r="E800" s="28"/>
      <c r="F800" s="28"/>
      <c r="G800" s="28"/>
      <c r="H800" s="28"/>
    </row>
    <row r="801" spans="1:8" x14ac:dyDescent="0.2">
      <c r="A801" s="16" t="s">
        <v>14</v>
      </c>
      <c r="B801" s="13" t="s">
        <v>82</v>
      </c>
      <c r="C801" s="13" t="s">
        <v>160</v>
      </c>
      <c r="D801" s="7"/>
      <c r="E801" s="7"/>
      <c r="F801" s="7"/>
      <c r="G801" s="7"/>
    </row>
    <row r="802" spans="1:8" x14ac:dyDescent="0.2">
      <c r="A802" s="14" t="s">
        <v>16</v>
      </c>
      <c r="B802" s="143">
        <v>2019</v>
      </c>
      <c r="C802" s="88">
        <v>2020</v>
      </c>
      <c r="D802" s="88">
        <v>2021</v>
      </c>
      <c r="E802" s="88">
        <v>2022</v>
      </c>
    </row>
    <row r="803" spans="1:8" x14ac:dyDescent="0.2">
      <c r="A803" s="8" t="s">
        <v>17</v>
      </c>
      <c r="B803" s="9">
        <v>10</v>
      </c>
      <c r="C803" s="9">
        <v>10</v>
      </c>
      <c r="D803" s="9">
        <v>10</v>
      </c>
      <c r="E803" s="9">
        <v>10</v>
      </c>
    </row>
    <row r="804" spans="1:8" x14ac:dyDescent="0.2">
      <c r="A804" s="8" t="s">
        <v>18</v>
      </c>
      <c r="B804" s="9"/>
      <c r="C804" s="9">
        <f>B807+C803</f>
        <v>-108.22</v>
      </c>
      <c r="D804" s="9">
        <f>D803+C807</f>
        <v>-137.05000000000001</v>
      </c>
      <c r="E804" s="9">
        <f>E803+D807</f>
        <v>-202.31</v>
      </c>
    </row>
    <row r="805" spans="1:8" x14ac:dyDescent="0.2">
      <c r="A805" s="8" t="s">
        <v>19</v>
      </c>
      <c r="B805" s="12"/>
      <c r="C805" s="12"/>
      <c r="D805" s="12"/>
      <c r="E805" s="12"/>
    </row>
    <row r="806" spans="1:8" x14ac:dyDescent="0.2">
      <c r="A806" s="8" t="s">
        <v>20</v>
      </c>
      <c r="B806" s="9">
        <v>128.22</v>
      </c>
      <c r="C806" s="9">
        <v>38.83</v>
      </c>
      <c r="D806" s="9">
        <v>75.260000000000005</v>
      </c>
      <c r="E806" s="9"/>
    </row>
    <row r="807" spans="1:8" x14ac:dyDescent="0.2">
      <c r="A807" s="8" t="s">
        <v>21</v>
      </c>
      <c r="B807" s="9">
        <f>B803-B806</f>
        <v>-118.22</v>
      </c>
      <c r="C807" s="9">
        <f>C804-C806</f>
        <v>-147.05000000000001</v>
      </c>
      <c r="D807" s="9">
        <f>D804-D806</f>
        <v>-212.31</v>
      </c>
      <c r="E807" s="9"/>
    </row>
    <row r="808" spans="1:8" x14ac:dyDescent="0.2">
      <c r="A808" s="37" t="s">
        <v>22</v>
      </c>
      <c r="B808" s="38">
        <v>2020</v>
      </c>
      <c r="C808" s="38">
        <v>2021</v>
      </c>
      <c r="D808" s="38">
        <v>2022</v>
      </c>
      <c r="E808" s="38">
        <v>2023</v>
      </c>
    </row>
    <row r="809" spans="1:8" ht="12.75" customHeight="1" x14ac:dyDescent="0.2">
      <c r="A809" s="8" t="s">
        <v>471</v>
      </c>
      <c r="B809" s="90"/>
      <c r="C809" s="90"/>
      <c r="D809" s="90"/>
      <c r="E809" s="10"/>
      <c r="F809" s="28"/>
      <c r="G809" s="28"/>
      <c r="H809" s="28"/>
    </row>
    <row r="811" spans="1:8" x14ac:dyDescent="0.2">
      <c r="A811" s="16" t="s">
        <v>14</v>
      </c>
      <c r="B811" s="13" t="s">
        <v>87</v>
      </c>
      <c r="C811" s="13" t="s">
        <v>160</v>
      </c>
      <c r="D811" s="7"/>
      <c r="E811" s="7"/>
      <c r="F811" s="7"/>
      <c r="G811" s="7"/>
    </row>
    <row r="812" spans="1:8" x14ac:dyDescent="0.2">
      <c r="A812" s="14" t="s">
        <v>16</v>
      </c>
      <c r="B812" s="143">
        <v>2016</v>
      </c>
      <c r="C812" s="88">
        <v>2017</v>
      </c>
      <c r="D812" s="88">
        <v>2018</v>
      </c>
      <c r="E812" s="88">
        <v>2019</v>
      </c>
      <c r="F812" s="88">
        <v>2020</v>
      </c>
      <c r="G812" s="88">
        <v>2021</v>
      </c>
      <c r="H812" s="88">
        <v>2022</v>
      </c>
    </row>
    <row r="813" spans="1:8" x14ac:dyDescent="0.2">
      <c r="A813" s="8" t="s">
        <v>17</v>
      </c>
      <c r="B813" s="29">
        <v>2</v>
      </c>
      <c r="C813" s="29">
        <v>2</v>
      </c>
      <c r="D813" s="29">
        <v>2</v>
      </c>
      <c r="E813" s="29">
        <v>2</v>
      </c>
      <c r="F813" s="29">
        <v>2</v>
      </c>
      <c r="G813" s="29">
        <v>2</v>
      </c>
      <c r="H813" s="29">
        <v>2</v>
      </c>
    </row>
    <row r="814" spans="1:8" x14ac:dyDescent="0.2">
      <c r="A814" s="8" t="s">
        <v>18</v>
      </c>
      <c r="B814" s="29">
        <f>B816+B817</f>
        <v>1.3599999999999994</v>
      </c>
      <c r="C814" s="29">
        <f>B817+C813</f>
        <v>-45.06</v>
      </c>
      <c r="D814" s="29">
        <f>D813+C817</f>
        <v>-100.26</v>
      </c>
      <c r="E814" s="29">
        <f>D817+E813</f>
        <v>-165.26</v>
      </c>
      <c r="F814" s="29">
        <f>F813+E817</f>
        <v>-163.26</v>
      </c>
      <c r="G814" s="29">
        <f>G813+F817</f>
        <v>-161.26</v>
      </c>
      <c r="H814" s="29">
        <f>H813+G817</f>
        <v>-159.26</v>
      </c>
    </row>
    <row r="815" spans="1:8" x14ac:dyDescent="0.2">
      <c r="A815" s="8" t="s">
        <v>19</v>
      </c>
      <c r="B815" s="135"/>
      <c r="C815" s="135"/>
      <c r="D815" s="135"/>
      <c r="E815" s="135"/>
      <c r="F815" s="135"/>
      <c r="G815" s="135"/>
      <c r="H815" s="135"/>
    </row>
    <row r="816" spans="1:8" x14ac:dyDescent="0.2">
      <c r="A816" s="8" t="s">
        <v>20</v>
      </c>
      <c r="B816" s="29">
        <v>48.42</v>
      </c>
      <c r="C816" s="29">
        <v>57.2</v>
      </c>
      <c r="D816" s="29">
        <v>67</v>
      </c>
      <c r="E816" s="29">
        <v>0</v>
      </c>
      <c r="F816" s="29">
        <v>0</v>
      </c>
      <c r="G816" s="29">
        <v>0</v>
      </c>
      <c r="H816" s="29"/>
    </row>
    <row r="817" spans="1:16" x14ac:dyDescent="0.2">
      <c r="A817" s="8" t="s">
        <v>21</v>
      </c>
      <c r="B817" s="29">
        <v>-47.06</v>
      </c>
      <c r="C817" s="29">
        <f>C814-C816</f>
        <v>-102.26</v>
      </c>
      <c r="D817" s="29">
        <f>D814-D816</f>
        <v>-167.26</v>
      </c>
      <c r="E817" s="29">
        <f>E814-E816</f>
        <v>-165.26</v>
      </c>
      <c r="F817" s="29">
        <f>F814-F816</f>
        <v>-163.26</v>
      </c>
      <c r="G817" s="29">
        <f>G814</f>
        <v>-161.26</v>
      </c>
      <c r="H817" s="29"/>
    </row>
    <row r="818" spans="1:16" x14ac:dyDescent="0.2">
      <c r="A818" s="37" t="s">
        <v>22</v>
      </c>
      <c r="B818" s="38">
        <v>2017</v>
      </c>
      <c r="C818" s="38">
        <v>2018</v>
      </c>
      <c r="D818" s="38">
        <v>2019</v>
      </c>
      <c r="E818" s="38">
        <v>2020</v>
      </c>
      <c r="F818" s="38">
        <v>2021</v>
      </c>
      <c r="G818" s="38">
        <v>2022</v>
      </c>
      <c r="H818" s="38">
        <v>2023</v>
      </c>
    </row>
    <row r="819" spans="1:16" ht="13.15" customHeight="1" x14ac:dyDescent="0.2">
      <c r="A819" s="520" t="s">
        <v>471</v>
      </c>
      <c r="B819" s="520"/>
      <c r="C819" s="520"/>
      <c r="D819" s="520"/>
      <c r="E819" s="520"/>
      <c r="F819" s="520"/>
      <c r="G819" s="520"/>
      <c r="H819" s="520"/>
    </row>
    <row r="820" spans="1:16" x14ac:dyDescent="0.2">
      <c r="A820" s="35"/>
      <c r="B820" s="35"/>
      <c r="C820" s="35"/>
      <c r="D820" s="35"/>
      <c r="E820" s="28"/>
      <c r="F820" s="28"/>
      <c r="G820" s="28"/>
      <c r="H820" s="28"/>
    </row>
    <row r="821" spans="1:16" x14ac:dyDescent="0.2">
      <c r="A821" s="258"/>
      <c r="C821" s="271"/>
    </row>
    <row r="822" spans="1:16" x14ac:dyDescent="0.2">
      <c r="A822" s="273" t="s">
        <v>12</v>
      </c>
      <c r="B822" s="629" t="s">
        <v>182</v>
      </c>
      <c r="C822" s="266"/>
      <c r="D822" s="266"/>
      <c r="E822" s="266"/>
      <c r="F822" s="266"/>
      <c r="G822" s="266"/>
      <c r="H822" s="266"/>
      <c r="I822" s="266"/>
      <c r="J822" s="266"/>
      <c r="K822" s="266"/>
      <c r="L822" s="266"/>
    </row>
    <row r="823" spans="1:16" x14ac:dyDescent="0.2">
      <c r="A823" s="274" t="s">
        <v>14</v>
      </c>
      <c r="B823" s="275" t="s">
        <v>709</v>
      </c>
      <c r="C823" s="275" t="s">
        <v>15</v>
      </c>
      <c r="D823" s="266"/>
      <c r="E823" s="266"/>
      <c r="F823" s="266"/>
      <c r="G823" s="266"/>
      <c r="H823" s="266"/>
      <c r="I823" s="266"/>
      <c r="J823" s="266"/>
      <c r="K823" s="266"/>
      <c r="L823" s="266"/>
    </row>
    <row r="824" spans="1:16" customFormat="1" ht="15" x14ac:dyDescent="0.25">
      <c r="A824" s="276" t="s">
        <v>16</v>
      </c>
      <c r="B824" s="291">
        <v>2009</v>
      </c>
      <c r="C824" s="292">
        <v>2010</v>
      </c>
      <c r="D824" s="292">
        <v>2011</v>
      </c>
      <c r="E824" s="292">
        <v>2012</v>
      </c>
      <c r="F824" s="292">
        <v>2013</v>
      </c>
      <c r="G824" s="292">
        <v>2014</v>
      </c>
      <c r="H824" s="292">
        <v>2015</v>
      </c>
      <c r="I824" s="292">
        <v>2016</v>
      </c>
      <c r="J824" s="292">
        <v>2017</v>
      </c>
      <c r="K824" s="292">
        <v>2018</v>
      </c>
      <c r="L824" s="292">
        <v>2019</v>
      </c>
      <c r="M824" s="292">
        <v>2020</v>
      </c>
      <c r="N824" s="292">
        <v>2021</v>
      </c>
      <c r="O824" s="277"/>
      <c r="P824" s="277"/>
    </row>
    <row r="825" spans="1:16" customFormat="1" ht="15" x14ac:dyDescent="0.25">
      <c r="A825" s="278" t="s">
        <v>17</v>
      </c>
      <c r="B825" s="279"/>
      <c r="C825" s="279"/>
      <c r="D825" s="279"/>
      <c r="E825" s="279"/>
      <c r="F825" s="279"/>
      <c r="G825" s="279"/>
      <c r="H825" s="279"/>
      <c r="I825" s="279"/>
      <c r="J825" s="279"/>
      <c r="K825" s="279"/>
      <c r="L825" s="279"/>
      <c r="M825" s="279"/>
      <c r="N825" s="279"/>
      <c r="O825" s="277"/>
      <c r="P825" s="277"/>
    </row>
    <row r="826" spans="1:16" customFormat="1" ht="15" x14ac:dyDescent="0.25">
      <c r="A826" s="278" t="s">
        <v>18</v>
      </c>
      <c r="B826" s="279">
        <v>525.11158760000001</v>
      </c>
      <c r="C826" s="279">
        <v>516.79334119999999</v>
      </c>
      <c r="D826" s="279">
        <v>478.68400000000003</v>
      </c>
      <c r="E826" s="279">
        <v>638.87599999999998</v>
      </c>
      <c r="F826" s="279">
        <v>573.67999999999995</v>
      </c>
      <c r="G826" s="279">
        <v>503.80800000000005</v>
      </c>
      <c r="H826" s="279">
        <v>407.19200000000001</v>
      </c>
      <c r="I826" s="279">
        <v>449.52</v>
      </c>
      <c r="J826" s="279">
        <v>394.88799999999998</v>
      </c>
      <c r="K826" s="279">
        <v>393.98364000000004</v>
      </c>
      <c r="L826" s="279">
        <v>397.32737956000005</v>
      </c>
      <c r="M826" s="279">
        <v>371.77199999999999</v>
      </c>
      <c r="N826" s="279">
        <v>185.51</v>
      </c>
      <c r="O826" s="277"/>
      <c r="P826" s="277"/>
    </row>
    <row r="827" spans="1:16" customFormat="1" ht="15" x14ac:dyDescent="0.25">
      <c r="A827" s="278" t="s">
        <v>19</v>
      </c>
      <c r="B827" s="279"/>
      <c r="C827" s="279"/>
      <c r="D827" s="279"/>
      <c r="E827" s="279"/>
      <c r="F827" s="279"/>
      <c r="G827" s="279"/>
      <c r="H827" s="279"/>
      <c r="I827" s="279"/>
      <c r="J827" s="279"/>
      <c r="K827" s="279"/>
      <c r="L827" s="279"/>
      <c r="M827" s="279"/>
      <c r="N827" s="279"/>
      <c r="O827" s="277"/>
      <c r="P827" s="277"/>
    </row>
    <row r="828" spans="1:16" customFormat="1" ht="15" x14ac:dyDescent="0.25">
      <c r="A828" s="278" t="s">
        <v>20</v>
      </c>
      <c r="B828" s="279">
        <v>419.55900000000003</v>
      </c>
      <c r="C828" s="279">
        <v>483.41500000000002</v>
      </c>
      <c r="D828" s="279">
        <v>285.3</v>
      </c>
      <c r="E828" s="279">
        <v>1822.1</v>
      </c>
      <c r="F828" s="279">
        <v>266.39999999999998</v>
      </c>
      <c r="G828" s="279">
        <v>305.2</v>
      </c>
      <c r="H828" s="279">
        <v>329.8</v>
      </c>
      <c r="I828" s="279">
        <v>254.9</v>
      </c>
      <c r="J828" s="279">
        <v>335</v>
      </c>
      <c r="K828" s="279">
        <v>210.6</v>
      </c>
      <c r="L828" s="279">
        <v>319.27300000000002</v>
      </c>
      <c r="M828" s="279">
        <v>282.8</v>
      </c>
      <c r="N828" s="279">
        <v>173.1</v>
      </c>
      <c r="O828" s="277"/>
      <c r="P828" s="277"/>
    </row>
    <row r="829" spans="1:16" customFormat="1" ht="15" x14ac:dyDescent="0.25">
      <c r="A829" s="278" t="s">
        <v>21</v>
      </c>
      <c r="B829" s="279">
        <v>105.55258759999998</v>
      </c>
      <c r="C829" s="279">
        <v>33.378341199999966</v>
      </c>
      <c r="D829" s="279">
        <v>193.38400000000001</v>
      </c>
      <c r="E829" s="280">
        <v>-1183.2239999999999</v>
      </c>
      <c r="F829" s="279">
        <v>307.28000000000009</v>
      </c>
      <c r="G829" s="279">
        <v>198.60800000000006</v>
      </c>
      <c r="H829" s="279">
        <v>77.391999999999996</v>
      </c>
      <c r="I829" s="279">
        <v>194.61999999999998</v>
      </c>
      <c r="J829" s="279">
        <v>59.888000000000034</v>
      </c>
      <c r="K829" s="279">
        <v>183.38364000000004</v>
      </c>
      <c r="L829" s="279">
        <v>78.054379560000029</v>
      </c>
      <c r="M829" s="279">
        <v>88.971999999999994</v>
      </c>
      <c r="N829" s="279">
        <f>N826-N828</f>
        <v>12.409999999999997</v>
      </c>
      <c r="O829" s="277"/>
      <c r="P829" s="277"/>
    </row>
    <row r="830" spans="1:16" customFormat="1" ht="15" x14ac:dyDescent="0.25">
      <c r="A830" s="278" t="s">
        <v>22</v>
      </c>
      <c r="B830" s="279"/>
      <c r="C830" s="279"/>
      <c r="D830" s="279"/>
      <c r="E830" s="279"/>
      <c r="F830" s="279"/>
      <c r="G830" s="279"/>
      <c r="H830" s="279"/>
      <c r="I830" s="279"/>
      <c r="J830" s="279"/>
      <c r="K830" s="279"/>
      <c r="L830" s="279"/>
      <c r="M830" s="279"/>
      <c r="N830" s="279"/>
      <c r="O830" s="277"/>
      <c r="P830" s="277"/>
    </row>
    <row r="831" spans="1:16" customFormat="1" ht="15" x14ac:dyDescent="0.25">
      <c r="A831" s="281" t="s">
        <v>23</v>
      </c>
      <c r="B831" s="282"/>
      <c r="C831" s="282"/>
      <c r="D831" s="282"/>
      <c r="E831" s="282"/>
      <c r="F831" s="282"/>
      <c r="G831" s="282"/>
      <c r="H831" s="282"/>
      <c r="I831" s="282"/>
      <c r="J831" s="282"/>
      <c r="K831" s="282"/>
      <c r="L831" s="282"/>
      <c r="M831" s="283"/>
      <c r="N831" s="283"/>
      <c r="O831" s="277"/>
      <c r="P831" s="277"/>
    </row>
    <row r="832" spans="1:16" customFormat="1" ht="15" x14ac:dyDescent="0.25">
      <c r="A832" s="284" t="s">
        <v>183</v>
      </c>
      <c r="B832" s="266"/>
      <c r="C832" s="266"/>
      <c r="D832" s="266"/>
      <c r="E832" s="266"/>
      <c r="F832" s="266"/>
      <c r="G832" s="266"/>
      <c r="H832" s="266"/>
      <c r="I832" s="266"/>
      <c r="J832" s="266"/>
      <c r="K832" s="266"/>
      <c r="L832" s="266"/>
      <c r="M832" s="285"/>
      <c r="N832" s="285"/>
      <c r="O832" s="277"/>
      <c r="P832" s="277"/>
    </row>
    <row r="833" spans="1:18" customFormat="1" ht="15" x14ac:dyDescent="0.25">
      <c r="A833" s="19" t="s">
        <v>230</v>
      </c>
      <c r="B833" s="266"/>
      <c r="C833" s="266"/>
      <c r="D833" s="266"/>
      <c r="E833" s="266"/>
      <c r="F833" s="266"/>
      <c r="G833" s="266"/>
      <c r="H833" s="266"/>
      <c r="I833" s="266"/>
      <c r="J833" s="266"/>
      <c r="K833" s="266"/>
      <c r="L833" s="266"/>
      <c r="M833" s="285"/>
      <c r="N833" s="285"/>
      <c r="O833" s="277"/>
      <c r="P833" s="277"/>
    </row>
    <row r="834" spans="1:18" customFormat="1" ht="15" x14ac:dyDescent="0.25">
      <c r="A834" s="284" t="s">
        <v>282</v>
      </c>
      <c r="B834" s="266"/>
      <c r="C834" s="266"/>
      <c r="D834" s="266"/>
      <c r="E834" s="266"/>
      <c r="F834" s="266"/>
      <c r="G834" s="266"/>
      <c r="H834" s="266"/>
      <c r="I834" s="266"/>
      <c r="J834" s="266"/>
      <c r="K834" s="266"/>
      <c r="L834" s="266"/>
      <c r="M834" s="285"/>
      <c r="N834" s="285"/>
      <c r="O834" s="277"/>
      <c r="P834" s="277"/>
    </row>
    <row r="835" spans="1:18" customFormat="1" ht="15" x14ac:dyDescent="0.25">
      <c r="A835" s="284" t="s">
        <v>503</v>
      </c>
      <c r="B835" s="266"/>
      <c r="C835" s="266"/>
      <c r="D835" s="266"/>
      <c r="E835" s="266"/>
      <c r="F835" s="266"/>
      <c r="G835" s="266"/>
      <c r="H835" s="266"/>
      <c r="I835" s="266"/>
      <c r="J835" s="266"/>
      <c r="K835" s="266"/>
      <c r="L835" s="266"/>
      <c r="M835" s="285"/>
      <c r="N835" s="285"/>
      <c r="O835" s="277"/>
      <c r="P835" s="277"/>
    </row>
    <row r="836" spans="1:18" customFormat="1" ht="15" x14ac:dyDescent="0.25">
      <c r="A836" s="284" t="s">
        <v>730</v>
      </c>
      <c r="B836" s="266"/>
      <c r="C836" s="266"/>
      <c r="D836" s="266"/>
      <c r="E836" s="266"/>
      <c r="F836" s="266"/>
      <c r="G836" s="266"/>
      <c r="H836" s="266"/>
      <c r="I836" s="266"/>
      <c r="J836" s="266"/>
      <c r="K836" s="266"/>
      <c r="L836" s="266"/>
      <c r="M836" s="285"/>
      <c r="N836" s="285"/>
      <c r="O836" s="277"/>
      <c r="P836" s="277"/>
    </row>
    <row r="837" spans="1:18" customFormat="1" ht="15" x14ac:dyDescent="0.25">
      <c r="A837" s="284"/>
      <c r="B837" s="266"/>
      <c r="C837" s="266"/>
      <c r="D837" s="266"/>
      <c r="E837" s="266"/>
      <c r="F837" s="266" t="s">
        <v>184</v>
      </c>
      <c r="G837" s="266"/>
      <c r="H837" s="266"/>
      <c r="I837" s="266"/>
      <c r="J837" s="266"/>
      <c r="K837" s="266"/>
      <c r="L837" s="266"/>
      <c r="M837" s="285"/>
      <c r="N837" s="285"/>
      <c r="O837" s="277"/>
      <c r="P837" s="277"/>
    </row>
    <row r="838" spans="1:18" customFormat="1" ht="15" x14ac:dyDescent="0.25">
      <c r="A838" s="284"/>
      <c r="B838" s="286" t="s">
        <v>185</v>
      </c>
      <c r="C838" s="287">
        <v>3.732373107939109E-2</v>
      </c>
      <c r="D838" s="19"/>
      <c r="E838" s="266"/>
      <c r="F838" s="288" t="s">
        <v>186</v>
      </c>
      <c r="G838" s="491">
        <v>2019</v>
      </c>
      <c r="H838" s="491">
        <v>2020</v>
      </c>
      <c r="I838" s="491">
        <v>2021</v>
      </c>
      <c r="J838" s="266"/>
      <c r="K838" s="266"/>
      <c r="L838" s="266"/>
      <c r="M838" s="285"/>
      <c r="N838" s="285"/>
      <c r="O838" s="277"/>
      <c r="P838" s="277"/>
    </row>
    <row r="839" spans="1:18" customFormat="1" ht="15" x14ac:dyDescent="0.25">
      <c r="A839" s="284"/>
      <c r="B839" s="266"/>
      <c r="C839" s="266"/>
      <c r="D839" s="266"/>
      <c r="E839" s="266"/>
      <c r="F839" s="288" t="s">
        <v>14</v>
      </c>
      <c r="G839" s="491" t="s">
        <v>74</v>
      </c>
      <c r="H839" s="491" t="s">
        <v>74</v>
      </c>
      <c r="I839" s="491" t="s">
        <v>731</v>
      </c>
      <c r="J839" s="266"/>
      <c r="K839" s="266"/>
      <c r="L839" s="266"/>
      <c r="M839" s="285"/>
      <c r="N839" s="285"/>
      <c r="O839" s="277"/>
      <c r="P839" s="277"/>
    </row>
    <row r="840" spans="1:18" customFormat="1" ht="15" x14ac:dyDescent="0.25">
      <c r="A840" s="284"/>
      <c r="B840" s="266"/>
      <c r="C840" s="266"/>
      <c r="D840" s="266"/>
      <c r="E840" s="266"/>
      <c r="F840" s="288" t="s">
        <v>187</v>
      </c>
      <c r="G840" s="492">
        <v>9933.1844890000011</v>
      </c>
      <c r="H840" s="492">
        <v>9294.2999999999993</v>
      </c>
      <c r="I840" s="491">
        <v>4637.8</v>
      </c>
      <c r="J840" s="266"/>
      <c r="K840" s="266"/>
      <c r="L840" s="266"/>
      <c r="M840" s="285"/>
      <c r="N840" s="285"/>
      <c r="O840" s="277"/>
      <c r="P840" s="277"/>
    </row>
    <row r="841" spans="1:18" customFormat="1" ht="15" x14ac:dyDescent="0.25">
      <c r="A841" s="276"/>
      <c r="B841" s="289"/>
      <c r="C841" s="289"/>
      <c r="D841" s="289"/>
      <c r="E841" s="289"/>
      <c r="F841" s="289"/>
      <c r="G841" s="289"/>
      <c r="H841" s="289"/>
      <c r="I841" s="289"/>
      <c r="J841" s="289"/>
      <c r="K841" s="289"/>
      <c r="L841" s="289"/>
      <c r="M841" s="290"/>
      <c r="N841" s="290"/>
      <c r="O841" s="277"/>
      <c r="P841" s="277"/>
    </row>
    <row r="842" spans="1:18" x14ac:dyDescent="0.2">
      <c r="A842" s="258"/>
      <c r="C842" s="271"/>
    </row>
    <row r="843" spans="1:18" x14ac:dyDescent="0.2">
      <c r="A843" s="274" t="s">
        <v>14</v>
      </c>
      <c r="B843" s="275" t="s">
        <v>732</v>
      </c>
      <c r="C843" s="275" t="s">
        <v>15</v>
      </c>
      <c r="D843" s="266"/>
      <c r="E843" s="266"/>
      <c r="F843" s="266"/>
      <c r="G843" s="266"/>
      <c r="H843" s="266"/>
      <c r="I843" s="266"/>
      <c r="J843" s="266"/>
      <c r="K843" s="266"/>
      <c r="L843" s="266"/>
      <c r="M843" s="266"/>
      <c r="N843" s="266"/>
      <c r="O843" s="266"/>
      <c r="P843" s="266"/>
      <c r="Q843" s="266"/>
      <c r="R843" s="266"/>
    </row>
    <row r="844" spans="1:18" s="26" customFormat="1" ht="14.25" x14ac:dyDescent="0.2">
      <c r="A844" s="276" t="s">
        <v>16</v>
      </c>
      <c r="B844" s="291">
        <v>2009</v>
      </c>
      <c r="C844" s="292">
        <v>2010</v>
      </c>
      <c r="D844" s="292">
        <v>2011</v>
      </c>
      <c r="E844" s="292">
        <v>2012</v>
      </c>
      <c r="F844" s="292">
        <v>2013</v>
      </c>
      <c r="G844" s="292">
        <v>2014</v>
      </c>
      <c r="H844" s="292">
        <v>2015</v>
      </c>
      <c r="I844" s="292">
        <v>2016</v>
      </c>
      <c r="J844" s="292">
        <v>2017</v>
      </c>
      <c r="K844" s="292">
        <v>2018</v>
      </c>
      <c r="L844" s="292">
        <v>2019</v>
      </c>
      <c r="M844" s="292">
        <v>2020</v>
      </c>
      <c r="N844" s="292">
        <v>2021</v>
      </c>
      <c r="O844" s="292">
        <v>2022</v>
      </c>
      <c r="P844" s="266"/>
      <c r="Q844" s="266"/>
    </row>
    <row r="845" spans="1:18" s="26" customFormat="1" ht="14.25" x14ac:dyDescent="0.2">
      <c r="A845" s="278" t="s">
        <v>17</v>
      </c>
      <c r="B845" s="293"/>
      <c r="C845" s="293"/>
      <c r="D845" s="293"/>
      <c r="E845" s="293"/>
      <c r="F845" s="293"/>
      <c r="G845" s="293">
        <v>1355</v>
      </c>
      <c r="H845" s="293">
        <v>1355</v>
      </c>
      <c r="I845" s="293">
        <v>1355</v>
      </c>
      <c r="J845" s="293">
        <v>1355</v>
      </c>
      <c r="K845" s="293">
        <v>1355</v>
      </c>
      <c r="L845" s="293">
        <v>1355</v>
      </c>
      <c r="M845" s="293">
        <v>1355</v>
      </c>
      <c r="N845" s="293">
        <v>1355</v>
      </c>
      <c r="O845" s="293">
        <v>1355</v>
      </c>
      <c r="P845" s="266"/>
      <c r="Q845" s="266"/>
    </row>
    <row r="846" spans="1:18" s="26" customFormat="1" ht="14.25" x14ac:dyDescent="0.2">
      <c r="A846" s="278" t="s">
        <v>18</v>
      </c>
      <c r="B846" s="293">
        <v>237.31834029985683</v>
      </c>
      <c r="C846" s="293">
        <v>315.5295404143024</v>
      </c>
      <c r="D846" s="293">
        <v>275.05599999999998</v>
      </c>
      <c r="E846" s="293">
        <v>415.68</v>
      </c>
      <c r="F846" s="293">
        <v>341.67599999999999</v>
      </c>
      <c r="G846" s="293">
        <v>1725</v>
      </c>
      <c r="H846" s="293">
        <v>1555</v>
      </c>
      <c r="I846" s="293">
        <v>1693.75</v>
      </c>
      <c r="J846" s="293">
        <v>1717.1</v>
      </c>
      <c r="K846" s="293">
        <v>1893.75</v>
      </c>
      <c r="L846" s="293">
        <v>1936.3</v>
      </c>
      <c r="M846" s="293">
        <v>2693.75</v>
      </c>
      <c r="N846" s="293">
        <v>1693.75</v>
      </c>
      <c r="O846" s="293">
        <v>1693.75</v>
      </c>
      <c r="P846" s="266"/>
      <c r="Q846" s="266"/>
    </row>
    <row r="847" spans="1:18" s="26" customFormat="1" ht="14.25" x14ac:dyDescent="0.2">
      <c r="A847" s="278" t="s">
        <v>19</v>
      </c>
      <c r="B847" s="293"/>
      <c r="C847" s="293"/>
      <c r="D847" s="293"/>
      <c r="E847" s="293"/>
      <c r="F847" s="293"/>
      <c r="G847" s="293"/>
      <c r="H847" s="293"/>
      <c r="I847" s="293"/>
      <c r="J847" s="293"/>
      <c r="K847" s="293"/>
      <c r="L847" s="293"/>
      <c r="M847" s="293"/>
      <c r="N847" s="293"/>
      <c r="O847" s="293"/>
      <c r="P847" s="266"/>
      <c r="Q847" s="266"/>
    </row>
    <row r="848" spans="1:18" s="26" customFormat="1" ht="14.25" x14ac:dyDescent="0.2">
      <c r="A848" s="278" t="s">
        <v>20</v>
      </c>
      <c r="B848" s="293">
        <v>958.10900000000004</v>
      </c>
      <c r="C848" s="293">
        <v>1217.827</v>
      </c>
      <c r="D848" s="293">
        <v>1776.4</v>
      </c>
      <c r="E848" s="293">
        <v>3550.6</v>
      </c>
      <c r="F848" s="293">
        <v>1713.8</v>
      </c>
      <c r="G848" s="293">
        <v>1198.9000000000001</v>
      </c>
      <c r="H848" s="293">
        <v>1392.9</v>
      </c>
      <c r="I848" s="293">
        <v>1212.8</v>
      </c>
      <c r="J848" s="293">
        <v>2135.8000000000002</v>
      </c>
      <c r="K848" s="293">
        <v>1654.5</v>
      </c>
      <c r="L848" s="293">
        <v>1465.57</v>
      </c>
      <c r="M848" s="293">
        <v>1621.8</v>
      </c>
      <c r="N848" s="293">
        <v>658.3</v>
      </c>
      <c r="O848" s="293"/>
      <c r="P848" s="266"/>
      <c r="Q848" s="266"/>
    </row>
    <row r="849" spans="1:18" s="26" customFormat="1" ht="14.25" x14ac:dyDescent="0.2">
      <c r="A849" s="278" t="s">
        <v>21</v>
      </c>
      <c r="B849" s="293">
        <v>-720.79065970014324</v>
      </c>
      <c r="C849" s="293">
        <v>-902.29745958569765</v>
      </c>
      <c r="D849" s="293">
        <v>-1501.3440000000001</v>
      </c>
      <c r="E849" s="293">
        <v>-3134.92</v>
      </c>
      <c r="F849" s="293">
        <v>-1372.124</v>
      </c>
      <c r="G849" s="293">
        <v>526.09999999999991</v>
      </c>
      <c r="H849" s="293">
        <v>162.09999999999991</v>
      </c>
      <c r="I849" s="293">
        <v>480.95000000000005</v>
      </c>
      <c r="J849" s="293">
        <v>-418.70000000000027</v>
      </c>
      <c r="K849" s="293">
        <v>239.25</v>
      </c>
      <c r="L849" s="293">
        <v>470.73</v>
      </c>
      <c r="M849" s="293">
        <v>1071.95</v>
      </c>
      <c r="N849" s="293">
        <f>N846-N848</f>
        <v>1035.45</v>
      </c>
      <c r="O849" s="293"/>
      <c r="P849" s="266"/>
      <c r="Q849" s="266"/>
    </row>
    <row r="850" spans="1:18" s="26" customFormat="1" ht="14.25" x14ac:dyDescent="0.2">
      <c r="A850" s="281" t="s">
        <v>22</v>
      </c>
      <c r="B850" s="294"/>
      <c r="C850" s="294"/>
      <c r="D850" s="294"/>
      <c r="E850" s="294"/>
      <c r="F850" s="294"/>
      <c r="G850" s="295">
        <v>2016</v>
      </c>
      <c r="H850" s="295">
        <v>2017</v>
      </c>
      <c r="I850" s="295">
        <v>2018</v>
      </c>
      <c r="J850" s="295">
        <v>2019</v>
      </c>
      <c r="K850" s="295">
        <v>2020</v>
      </c>
      <c r="L850" s="295">
        <v>2021</v>
      </c>
      <c r="M850" s="295">
        <v>2022</v>
      </c>
      <c r="N850" s="295">
        <v>2023</v>
      </c>
      <c r="O850" s="295">
        <v>2024</v>
      </c>
      <c r="P850" s="266"/>
      <c r="Q850" s="266"/>
    </row>
    <row r="851" spans="1:18" s="26" customFormat="1" ht="14.25" x14ac:dyDescent="0.2">
      <c r="A851" s="278" t="s">
        <v>188</v>
      </c>
      <c r="B851" s="296"/>
      <c r="C851" s="296"/>
      <c r="D851" s="296"/>
      <c r="E851" s="296"/>
      <c r="F851" s="296"/>
      <c r="G851" s="296"/>
      <c r="H851" s="296"/>
      <c r="I851" s="296"/>
      <c r="J851" s="296"/>
      <c r="K851" s="296"/>
      <c r="L851" s="296"/>
      <c r="M851" s="296"/>
      <c r="N851" s="296"/>
      <c r="O851" s="297"/>
      <c r="P851" s="266"/>
      <c r="Q851" s="266"/>
    </row>
    <row r="852" spans="1:18" s="26" customFormat="1" ht="14.25" x14ac:dyDescent="0.2">
      <c r="A852" s="284" t="s">
        <v>189</v>
      </c>
      <c r="B852" s="266"/>
      <c r="C852" s="266"/>
      <c r="D852" s="266"/>
      <c r="E852" s="266"/>
      <c r="F852" s="266"/>
      <c r="G852" s="266"/>
      <c r="H852" s="266"/>
      <c r="I852" s="266"/>
      <c r="J852" s="266"/>
      <c r="K852" s="266"/>
      <c r="L852" s="266"/>
      <c r="M852" s="266"/>
      <c r="N852" s="266"/>
      <c r="O852" s="285"/>
      <c r="P852" s="266"/>
      <c r="Q852" s="266"/>
    </row>
    <row r="853" spans="1:18" s="26" customFormat="1" ht="14.25" x14ac:dyDescent="0.2">
      <c r="A853" s="284" t="s">
        <v>190</v>
      </c>
      <c r="B853" s="266"/>
      <c r="C853" s="266"/>
      <c r="D853" s="266"/>
      <c r="E853" s="266"/>
      <c r="F853" s="266"/>
      <c r="G853" s="266"/>
      <c r="H853" s="266"/>
      <c r="I853" s="266"/>
      <c r="J853" s="266"/>
      <c r="K853" s="266"/>
      <c r="L853" s="266"/>
      <c r="M853" s="266"/>
      <c r="N853" s="266"/>
      <c r="O853" s="285"/>
      <c r="P853" s="266"/>
      <c r="Q853" s="266"/>
    </row>
    <row r="854" spans="1:18" s="26" customFormat="1" ht="14.25" x14ac:dyDescent="0.2">
      <c r="A854" s="284" t="s">
        <v>191</v>
      </c>
      <c r="B854" s="266"/>
      <c r="C854" s="266"/>
      <c r="D854" s="266"/>
      <c r="E854" s="266"/>
      <c r="F854" s="266"/>
      <c r="G854" s="266"/>
      <c r="H854" s="266"/>
      <c r="I854" s="266"/>
      <c r="J854" s="266"/>
      <c r="K854" s="266"/>
      <c r="L854" s="266"/>
      <c r="M854" s="266"/>
      <c r="N854" s="266"/>
      <c r="O854" s="285"/>
      <c r="P854" s="266"/>
      <c r="Q854" s="266"/>
    </row>
    <row r="855" spans="1:18" s="26" customFormat="1" ht="14.25" x14ac:dyDescent="0.2">
      <c r="A855" s="284" t="s">
        <v>192</v>
      </c>
      <c r="B855" s="298"/>
      <c r="C855" s="299"/>
      <c r="D855" s="300"/>
      <c r="E855" s="266"/>
      <c r="F855" s="266"/>
      <c r="G855" s="299"/>
      <c r="H855" s="266"/>
      <c r="I855" s="266"/>
      <c r="J855" s="266"/>
      <c r="K855" s="266"/>
      <c r="L855" s="266"/>
      <c r="M855" s="266"/>
      <c r="N855" s="266"/>
      <c r="O855" s="285"/>
      <c r="P855" s="266"/>
      <c r="Q855" s="266"/>
    </row>
    <row r="856" spans="1:18" s="26" customFormat="1" ht="14.25" x14ac:dyDescent="0.2">
      <c r="A856" s="284" t="s">
        <v>193</v>
      </c>
      <c r="B856" s="266"/>
      <c r="C856" s="266"/>
      <c r="D856" s="266"/>
      <c r="E856" s="266"/>
      <c r="F856" s="266"/>
      <c r="G856" s="266"/>
      <c r="H856" s="266"/>
      <c r="I856" s="266"/>
      <c r="J856" s="266"/>
      <c r="K856" s="266"/>
      <c r="L856" s="266"/>
      <c r="M856" s="266"/>
      <c r="N856" s="266"/>
      <c r="O856" s="285"/>
      <c r="P856" s="266"/>
      <c r="Q856" s="266"/>
    </row>
    <row r="857" spans="1:18" s="26" customFormat="1" ht="14.25" x14ac:dyDescent="0.2">
      <c r="A857" s="284" t="s">
        <v>194</v>
      </c>
      <c r="B857" s="266"/>
      <c r="C857" s="266"/>
      <c r="D857" s="266"/>
      <c r="E857" s="266"/>
      <c r="F857" s="266"/>
      <c r="G857" s="266"/>
      <c r="H857" s="266"/>
      <c r="I857" s="266"/>
      <c r="J857" s="266"/>
      <c r="K857" s="266"/>
      <c r="L857" s="266"/>
      <c r="M857" s="266"/>
      <c r="N857" s="266"/>
      <c r="O857" s="285"/>
      <c r="P857" s="266"/>
      <c r="Q857" s="266"/>
    </row>
    <row r="858" spans="1:18" s="26" customFormat="1" ht="14.25" x14ac:dyDescent="0.2">
      <c r="A858" s="301" t="s">
        <v>231</v>
      </c>
      <c r="B858" s="266"/>
      <c r="C858" s="266"/>
      <c r="D858" s="266"/>
      <c r="E858" s="266"/>
      <c r="F858" s="266"/>
      <c r="G858" s="266"/>
      <c r="H858" s="266"/>
      <c r="I858" s="266"/>
      <c r="J858" s="266"/>
      <c r="K858" s="266"/>
      <c r="L858" s="266"/>
      <c r="M858" s="266"/>
      <c r="N858" s="266"/>
      <c r="O858" s="285"/>
      <c r="P858" s="266"/>
      <c r="Q858" s="266"/>
    </row>
    <row r="859" spans="1:18" s="26" customFormat="1" ht="14.25" x14ac:dyDescent="0.2">
      <c r="A859" s="284" t="s">
        <v>232</v>
      </c>
      <c r="B859" s="266"/>
      <c r="C859" s="266"/>
      <c r="D859" s="266"/>
      <c r="E859" s="266"/>
      <c r="F859" s="266"/>
      <c r="G859" s="299"/>
      <c r="H859" s="266"/>
      <c r="I859" s="266"/>
      <c r="J859" s="266"/>
      <c r="K859" s="266"/>
      <c r="L859" s="266"/>
      <c r="M859" s="266"/>
      <c r="N859" s="266"/>
      <c r="O859" s="285"/>
      <c r="P859" s="266"/>
      <c r="Q859" s="266"/>
    </row>
    <row r="860" spans="1:18" s="305" customFormat="1" x14ac:dyDescent="0.2">
      <c r="A860" s="284" t="s">
        <v>233</v>
      </c>
      <c r="B860" s="302"/>
      <c r="C860" s="302"/>
      <c r="D860" s="302"/>
      <c r="E860" s="302"/>
      <c r="F860" s="302"/>
      <c r="G860" s="303"/>
      <c r="H860" s="302"/>
      <c r="I860" s="302"/>
      <c r="J860" s="302"/>
      <c r="K860" s="302"/>
      <c r="L860" s="302"/>
      <c r="M860" s="302"/>
      <c r="N860" s="302"/>
      <c r="O860" s="304"/>
      <c r="P860" s="302"/>
      <c r="Q860" s="302"/>
    </row>
    <row r="861" spans="1:18" s="305" customFormat="1" x14ac:dyDescent="0.2">
      <c r="A861" s="284" t="s">
        <v>234</v>
      </c>
      <c r="B861" s="302"/>
      <c r="C861" s="302"/>
      <c r="D861" s="302"/>
      <c r="E861" s="302"/>
      <c r="F861" s="302"/>
      <c r="G861" s="306"/>
      <c r="H861" s="302"/>
      <c r="I861" s="302"/>
      <c r="J861" s="302"/>
      <c r="K861" s="302"/>
      <c r="L861" s="302"/>
      <c r="M861" s="302"/>
      <c r="N861" s="302"/>
      <c r="O861" s="304"/>
      <c r="P861" s="302"/>
      <c r="Q861" s="302"/>
    </row>
    <row r="862" spans="1:18" s="305" customFormat="1" x14ac:dyDescent="0.2">
      <c r="A862" s="284" t="s">
        <v>283</v>
      </c>
      <c r="B862" s="302"/>
      <c r="C862" s="302"/>
      <c r="D862" s="302"/>
      <c r="E862" s="302"/>
      <c r="F862" s="302"/>
      <c r="G862" s="306"/>
      <c r="H862" s="302"/>
      <c r="I862" s="302"/>
      <c r="J862" s="302"/>
      <c r="K862" s="302"/>
      <c r="L862" s="302"/>
      <c r="M862" s="302"/>
      <c r="N862" s="302"/>
      <c r="O862" s="304"/>
      <c r="P862" s="302"/>
      <c r="Q862" s="302"/>
    </row>
    <row r="863" spans="1:18" s="26" customFormat="1" ht="14.25" x14ac:dyDescent="0.2">
      <c r="A863" s="307" t="s">
        <v>235</v>
      </c>
      <c r="B863" s="308"/>
      <c r="C863" s="308"/>
      <c r="D863" s="308"/>
      <c r="E863" s="308"/>
      <c r="F863" s="308"/>
      <c r="G863" s="308"/>
      <c r="H863" s="308"/>
      <c r="I863" s="308"/>
      <c r="J863" s="308"/>
      <c r="K863" s="308"/>
      <c r="L863" s="308"/>
      <c r="M863" s="308"/>
      <c r="N863" s="308"/>
      <c r="O863" s="309"/>
      <c r="P863" s="266"/>
      <c r="Q863" s="266"/>
      <c r="R863" s="266"/>
    </row>
    <row r="864" spans="1:18" s="26" customFormat="1" ht="27" customHeight="1" x14ac:dyDescent="0.2">
      <c r="A864" s="604" t="s">
        <v>363</v>
      </c>
      <c r="B864" s="605"/>
      <c r="C864" s="605"/>
      <c r="D864" s="605"/>
      <c r="E864" s="605"/>
      <c r="F864" s="605"/>
      <c r="G864" s="605"/>
      <c r="H864" s="605"/>
      <c r="I864" s="605"/>
      <c r="J864" s="605"/>
      <c r="K864" s="605"/>
      <c r="L864" s="605"/>
      <c r="M864" s="605"/>
      <c r="N864" s="605"/>
      <c r="O864" s="309"/>
      <c r="P864" s="266"/>
      <c r="Q864" s="266"/>
      <c r="R864" s="266"/>
    </row>
    <row r="865" spans="1:18" s="26" customFormat="1" ht="13.9" customHeight="1" x14ac:dyDescent="0.2">
      <c r="A865" s="307" t="s">
        <v>432</v>
      </c>
      <c r="B865" s="308"/>
      <c r="C865" s="308"/>
      <c r="D865" s="308"/>
      <c r="E865" s="308"/>
      <c r="F865" s="308"/>
      <c r="G865" s="308"/>
      <c r="H865" s="308"/>
      <c r="I865" s="308"/>
      <c r="J865" s="308"/>
      <c r="K865" s="308"/>
      <c r="L865" s="308"/>
      <c r="M865" s="308"/>
      <c r="N865" s="308"/>
      <c r="O865" s="309"/>
      <c r="P865" s="266"/>
      <c r="Q865" s="266"/>
      <c r="R865" s="266"/>
    </row>
    <row r="866" spans="1:18" s="26" customFormat="1" ht="13.9" customHeight="1" x14ac:dyDescent="0.2">
      <c r="A866" s="310" t="s">
        <v>733</v>
      </c>
      <c r="B866" s="311"/>
      <c r="C866" s="311"/>
      <c r="D866" s="311"/>
      <c r="E866" s="311"/>
      <c r="F866" s="311"/>
      <c r="G866" s="311"/>
      <c r="H866" s="311"/>
      <c r="I866" s="311"/>
      <c r="J866" s="311"/>
      <c r="K866" s="311"/>
      <c r="L866" s="311"/>
      <c r="M866" s="311"/>
      <c r="N866" s="311"/>
      <c r="O866" s="312"/>
      <c r="P866" s="266"/>
      <c r="Q866" s="266"/>
      <c r="R866" s="266"/>
    </row>
    <row r="867" spans="1:18" x14ac:dyDescent="0.2">
      <c r="A867" s="258"/>
      <c r="C867" s="271"/>
    </row>
    <row r="868" spans="1:18" x14ac:dyDescent="0.2">
      <c r="A868" s="274" t="s">
        <v>14</v>
      </c>
      <c r="B868" s="275" t="s">
        <v>708</v>
      </c>
      <c r="C868" s="275" t="s">
        <v>15</v>
      </c>
      <c r="D868" s="266"/>
      <c r="E868" s="266"/>
      <c r="F868" s="266"/>
      <c r="G868" s="266"/>
      <c r="H868" s="266"/>
      <c r="I868" s="266"/>
      <c r="J868" s="266"/>
      <c r="K868" s="266"/>
      <c r="L868" s="266"/>
      <c r="M868" s="266"/>
      <c r="N868" s="266"/>
      <c r="O868" s="266"/>
      <c r="P868" s="266"/>
      <c r="Q868" s="266"/>
      <c r="R868" s="266"/>
    </row>
    <row r="869" spans="1:18" x14ac:dyDescent="0.2">
      <c r="A869" s="276" t="s">
        <v>16</v>
      </c>
      <c r="B869" s="493">
        <v>2009</v>
      </c>
      <c r="C869" s="494">
        <v>2010</v>
      </c>
      <c r="D869" s="494">
        <v>2011</v>
      </c>
      <c r="E869" s="494">
        <v>2012</v>
      </c>
      <c r="F869" s="494">
        <v>2013</v>
      </c>
      <c r="G869" s="494">
        <v>2014</v>
      </c>
      <c r="H869" s="494">
        <v>2015</v>
      </c>
      <c r="I869" s="494">
        <v>2016</v>
      </c>
      <c r="J869" s="494">
        <v>2017</v>
      </c>
      <c r="K869" s="494">
        <v>2018</v>
      </c>
      <c r="L869" s="494">
        <v>2019</v>
      </c>
      <c r="M869" s="494">
        <v>2020</v>
      </c>
      <c r="N869" s="292">
        <v>2021</v>
      </c>
      <c r="O869" s="292">
        <v>2022</v>
      </c>
      <c r="P869" s="266"/>
      <c r="Q869" s="266"/>
      <c r="R869" s="266"/>
    </row>
    <row r="870" spans="1:18" x14ac:dyDescent="0.2">
      <c r="A870" s="278" t="s">
        <v>17</v>
      </c>
      <c r="B870" s="293">
        <v>842</v>
      </c>
      <c r="C870" s="293">
        <v>842</v>
      </c>
      <c r="D870" s="293">
        <v>842</v>
      </c>
      <c r="E870" s="293">
        <v>842</v>
      </c>
      <c r="F870" s="293">
        <v>842</v>
      </c>
      <c r="G870" s="293">
        <v>842</v>
      </c>
      <c r="H870" s="293">
        <v>842</v>
      </c>
      <c r="I870" s="293">
        <v>842</v>
      </c>
      <c r="J870" s="293">
        <v>842</v>
      </c>
      <c r="K870" s="293">
        <v>842</v>
      </c>
      <c r="L870" s="293">
        <v>842</v>
      </c>
      <c r="M870" s="293">
        <v>842</v>
      </c>
      <c r="N870" s="293">
        <v>842</v>
      </c>
      <c r="O870" s="293">
        <v>842</v>
      </c>
      <c r="P870" s="266"/>
      <c r="Q870" s="266"/>
      <c r="R870" s="266"/>
    </row>
    <row r="871" spans="1:18" x14ac:dyDescent="0.2">
      <c r="A871" s="278" t="s">
        <v>18</v>
      </c>
      <c r="B871" s="293">
        <v>2717.74</v>
      </c>
      <c r="C871" s="293">
        <v>2596.7442299999998</v>
      </c>
      <c r="D871" s="293">
        <v>2707.4306399999996</v>
      </c>
      <c r="E871" s="293">
        <v>2795.2306399999998</v>
      </c>
      <c r="F871" s="293">
        <v>3114.7264100000002</v>
      </c>
      <c r="G871" s="293">
        <v>3408.0264100000004</v>
      </c>
      <c r="H871" s="293">
        <f>1.15*H870-(50+35+25)</f>
        <v>858.3</v>
      </c>
      <c r="I871" s="293">
        <f>I870+H874-50-35-25</f>
        <v>1138.1999999999998</v>
      </c>
      <c r="J871" s="293">
        <f>J870+I874-100-35-25</f>
        <v>1422.4999999999998</v>
      </c>
      <c r="K871" s="293">
        <f>K870*1.15-100-35</f>
        <v>833.3</v>
      </c>
      <c r="L871" s="293">
        <f>L870+K874-100-35-25</f>
        <v>1226</v>
      </c>
      <c r="M871" s="293">
        <f>M870+L874-150-35-25</f>
        <v>1463.0075420000001</v>
      </c>
      <c r="N871" s="293">
        <f>N870+M874-150-35-25</f>
        <v>1688.2075420000001</v>
      </c>
      <c r="O871" s="293">
        <f>O870+N874-150-35-25</f>
        <v>2152.7075420000001</v>
      </c>
      <c r="P871" s="266"/>
      <c r="Q871" s="266"/>
      <c r="R871" s="266"/>
    </row>
    <row r="872" spans="1:18" x14ac:dyDescent="0.2">
      <c r="A872" s="278" t="s">
        <v>19</v>
      </c>
      <c r="B872" s="293"/>
      <c r="C872" s="293"/>
      <c r="D872" s="293"/>
      <c r="E872" s="293"/>
      <c r="F872" s="293"/>
      <c r="G872" s="293"/>
      <c r="H872" s="313"/>
      <c r="I872" s="313"/>
      <c r="J872" s="313"/>
      <c r="K872" s="313"/>
      <c r="L872" s="313"/>
      <c r="M872" s="313"/>
      <c r="N872" s="313"/>
      <c r="O872" s="313"/>
      <c r="P872" s="266"/>
      <c r="Q872" s="266"/>
      <c r="R872" s="266"/>
    </row>
    <row r="873" spans="1:18" x14ac:dyDescent="0.2">
      <c r="A873" s="278" t="s">
        <v>20</v>
      </c>
      <c r="B873" s="293">
        <v>962.99576999999999</v>
      </c>
      <c r="C873" s="293">
        <v>681.31358999999998</v>
      </c>
      <c r="D873" s="293">
        <v>669.2</v>
      </c>
      <c r="E873" s="293">
        <v>437.5</v>
      </c>
      <c r="F873" s="293">
        <v>438.7</v>
      </c>
      <c r="G873" s="293">
        <v>392.9</v>
      </c>
      <c r="H873" s="293">
        <v>452.1</v>
      </c>
      <c r="I873" s="293">
        <v>397.7</v>
      </c>
      <c r="J873" s="293">
        <v>406</v>
      </c>
      <c r="K873" s="293">
        <v>289.3</v>
      </c>
      <c r="L873" s="293">
        <v>394.992458</v>
      </c>
      <c r="M873" s="293">
        <v>406.79999999999995</v>
      </c>
      <c r="N873" s="293">
        <v>167.5</v>
      </c>
      <c r="O873" s="293"/>
      <c r="P873" s="266"/>
      <c r="Q873" s="266"/>
      <c r="R873" s="266"/>
    </row>
    <row r="874" spans="1:18" x14ac:dyDescent="0.2">
      <c r="A874" s="278" t="s">
        <v>21</v>
      </c>
      <c r="B874" s="293">
        <v>1754.7442299999998</v>
      </c>
      <c r="C874" s="293">
        <v>1915.4306399999998</v>
      </c>
      <c r="D874" s="293">
        <v>2038.2306399999995</v>
      </c>
      <c r="E874" s="293">
        <v>2357.7264100000002</v>
      </c>
      <c r="F874" s="293">
        <v>2676.0264100000004</v>
      </c>
      <c r="G874" s="293">
        <v>3015.1264100000003</v>
      </c>
      <c r="H874" s="293">
        <f>H871-H873</f>
        <v>406.19999999999993</v>
      </c>
      <c r="I874" s="293">
        <f t="shared" ref="I874:K874" si="36">I871-I873</f>
        <v>740.49999999999977</v>
      </c>
      <c r="J874" s="293">
        <f t="shared" si="36"/>
        <v>1016.4999999999998</v>
      </c>
      <c r="K874" s="293">
        <f t="shared" si="36"/>
        <v>544</v>
      </c>
      <c r="L874" s="293">
        <f>L871-L873</f>
        <v>831.00754200000006</v>
      </c>
      <c r="M874" s="293">
        <f>M871-M873</f>
        <v>1056.2075420000001</v>
      </c>
      <c r="N874" s="293">
        <f>N871-N873</f>
        <v>1520.7075420000001</v>
      </c>
      <c r="O874" s="293"/>
      <c r="P874" s="266"/>
      <c r="Q874" s="266"/>
      <c r="R874" s="266"/>
    </row>
    <row r="875" spans="1:18" x14ac:dyDescent="0.2">
      <c r="A875" s="281" t="s">
        <v>22</v>
      </c>
      <c r="B875" s="314"/>
      <c r="C875" s="314"/>
      <c r="D875" s="314"/>
      <c r="E875" s="314"/>
      <c r="F875" s="314"/>
      <c r="G875" s="314"/>
      <c r="H875" s="314"/>
      <c r="I875" s="314"/>
      <c r="J875" s="314"/>
      <c r="K875" s="314"/>
      <c r="L875" s="314"/>
      <c r="M875" s="314"/>
      <c r="N875" s="315"/>
      <c r="O875" s="315"/>
      <c r="P875" s="266"/>
      <c r="Q875" s="266"/>
      <c r="R875" s="266"/>
    </row>
    <row r="876" spans="1:18" x14ac:dyDescent="0.2">
      <c r="A876" s="278" t="s">
        <v>188</v>
      </c>
      <c r="B876" s="296"/>
      <c r="C876" s="296"/>
      <c r="D876" s="296"/>
      <c r="E876" s="296"/>
      <c r="F876" s="296"/>
      <c r="G876" s="296"/>
      <c r="H876" s="296"/>
      <c r="I876" s="296"/>
      <c r="J876" s="296"/>
      <c r="K876" s="296"/>
      <c r="L876" s="296"/>
      <c r="M876" s="296"/>
      <c r="N876" s="296"/>
      <c r="O876" s="297"/>
      <c r="P876" s="266"/>
      <c r="Q876" s="266"/>
      <c r="R876" s="266"/>
    </row>
    <row r="877" spans="1:18" x14ac:dyDescent="0.2">
      <c r="A877" s="281" t="s">
        <v>195</v>
      </c>
      <c r="B877" s="282"/>
      <c r="C877" s="282"/>
      <c r="D877" s="282"/>
      <c r="E877" s="282"/>
      <c r="F877" s="282"/>
      <c r="G877" s="282"/>
      <c r="H877" s="282"/>
      <c r="I877" s="282"/>
      <c r="J877" s="282"/>
      <c r="K877" s="282"/>
      <c r="L877" s="282"/>
      <c r="M877" s="282"/>
      <c r="N877" s="282"/>
      <c r="O877" s="283"/>
      <c r="P877" s="266"/>
      <c r="Q877" s="266"/>
      <c r="R877" s="266"/>
    </row>
    <row r="878" spans="1:18" x14ac:dyDescent="0.2">
      <c r="A878" s="284" t="s">
        <v>196</v>
      </c>
      <c r="B878" s="266"/>
      <c r="C878" s="266"/>
      <c r="D878" s="266"/>
      <c r="E878" s="266"/>
      <c r="F878" s="266"/>
      <c r="G878" s="266"/>
      <c r="H878" s="266"/>
      <c r="I878" s="266"/>
      <c r="J878" s="266"/>
      <c r="K878" s="266"/>
      <c r="L878" s="266"/>
      <c r="M878" s="266"/>
      <c r="N878" s="266"/>
      <c r="O878" s="285"/>
      <c r="P878" s="266"/>
      <c r="Q878" s="266"/>
      <c r="R878" s="266"/>
    </row>
    <row r="879" spans="1:18" x14ac:dyDescent="0.2">
      <c r="A879" s="316" t="s">
        <v>197</v>
      </c>
      <c r="B879" s="266"/>
      <c r="C879" s="266"/>
      <c r="D879" s="266"/>
      <c r="E879" s="266"/>
      <c r="F879" s="266"/>
      <c r="G879" s="266"/>
      <c r="H879" s="266"/>
      <c r="I879" s="266"/>
      <c r="J879" s="266"/>
      <c r="K879" s="266"/>
      <c r="L879" s="266"/>
      <c r="M879" s="266"/>
      <c r="N879" s="266"/>
      <c r="O879" s="285"/>
      <c r="P879" s="266"/>
      <c r="Q879" s="266"/>
      <c r="R879" s="266"/>
    </row>
    <row r="880" spans="1:18" x14ac:dyDescent="0.2">
      <c r="A880" s="316" t="s">
        <v>198</v>
      </c>
      <c r="B880" s="266"/>
      <c r="C880" s="266"/>
      <c r="D880" s="266"/>
      <c r="E880" s="266"/>
      <c r="F880" s="266"/>
      <c r="G880" s="266"/>
      <c r="H880" s="266"/>
      <c r="I880" s="266"/>
      <c r="J880" s="266"/>
      <c r="K880" s="266"/>
      <c r="L880" s="266"/>
      <c r="M880" s="266"/>
      <c r="N880" s="266"/>
      <c r="O880" s="285"/>
      <c r="P880" s="266"/>
      <c r="Q880" s="266"/>
      <c r="R880" s="266"/>
    </row>
    <row r="881" spans="1:18" x14ac:dyDescent="0.2">
      <c r="A881" s="316" t="s">
        <v>638</v>
      </c>
      <c r="B881" s="266"/>
      <c r="C881" s="266"/>
      <c r="D881" s="266"/>
      <c r="E881" s="266"/>
      <c r="F881" s="266"/>
      <c r="G881" s="266"/>
      <c r="H881" s="266"/>
      <c r="I881" s="266"/>
      <c r="J881" s="266"/>
      <c r="K881" s="266"/>
      <c r="L881" s="266"/>
      <c r="M881" s="266"/>
      <c r="N881" s="266"/>
      <c r="O881" s="285"/>
      <c r="P881" s="266"/>
      <c r="Q881" s="266"/>
      <c r="R881" s="266"/>
    </row>
    <row r="882" spans="1:18" x14ac:dyDescent="0.2">
      <c r="A882" s="301" t="s">
        <v>236</v>
      </c>
      <c r="B882" s="266"/>
      <c r="C882" s="266"/>
      <c r="D882" s="266"/>
      <c r="E882" s="266"/>
      <c r="F882" s="266"/>
      <c r="G882" s="299"/>
      <c r="H882" s="266"/>
      <c r="I882" s="266"/>
      <c r="J882" s="266"/>
      <c r="K882" s="266"/>
      <c r="L882" s="266"/>
      <c r="M882" s="266"/>
      <c r="N882" s="266"/>
      <c r="O882" s="285"/>
      <c r="P882" s="266"/>
      <c r="Q882" s="266"/>
      <c r="R882" s="266"/>
    </row>
    <row r="883" spans="1:18" x14ac:dyDescent="0.2">
      <c r="A883" s="301" t="s">
        <v>237</v>
      </c>
      <c r="B883" s="266"/>
      <c r="C883" s="266"/>
      <c r="D883" s="266"/>
      <c r="E883" s="266"/>
      <c r="F883" s="266"/>
      <c r="G883" s="299"/>
      <c r="H883" s="266"/>
      <c r="I883" s="266"/>
      <c r="J883" s="266"/>
      <c r="K883" s="266"/>
      <c r="L883" s="266"/>
      <c r="M883" s="266"/>
      <c r="N883" s="266"/>
      <c r="O883" s="285"/>
      <c r="P883" s="266"/>
      <c r="Q883" s="266"/>
      <c r="R883" s="266"/>
    </row>
    <row r="884" spans="1:18" x14ac:dyDescent="0.2">
      <c r="A884" s="284" t="s">
        <v>199</v>
      </c>
      <c r="B884" s="298"/>
      <c r="C884" s="299"/>
      <c r="D884" s="300"/>
      <c r="E884" s="266"/>
      <c r="F884" s="266"/>
      <c r="G884" s="299"/>
      <c r="H884" s="266"/>
      <c r="I884" s="266"/>
      <c r="J884" s="266"/>
      <c r="K884" s="266"/>
      <c r="L884" s="266"/>
      <c r="M884" s="266"/>
      <c r="N884" s="266"/>
      <c r="O884" s="285"/>
      <c r="P884" s="266"/>
      <c r="Q884" s="266"/>
      <c r="R884" s="266"/>
    </row>
    <row r="885" spans="1:18" x14ac:dyDescent="0.2">
      <c r="A885" s="284" t="s">
        <v>200</v>
      </c>
      <c r="B885" s="266"/>
      <c r="C885" s="266"/>
      <c r="D885" s="266"/>
      <c r="E885" s="266"/>
      <c r="F885" s="266"/>
      <c r="G885" s="299"/>
      <c r="H885" s="266"/>
      <c r="I885" s="266"/>
      <c r="J885" s="266"/>
      <c r="K885" s="266"/>
      <c r="L885" s="266"/>
      <c r="M885" s="266"/>
      <c r="N885" s="266"/>
      <c r="O885" s="285"/>
      <c r="P885" s="266"/>
      <c r="Q885" s="266"/>
      <c r="R885" s="266"/>
    </row>
    <row r="886" spans="1:18" x14ac:dyDescent="0.2">
      <c r="A886" s="301" t="s">
        <v>410</v>
      </c>
      <c r="B886" s="266"/>
      <c r="C886" s="266"/>
      <c r="D886" s="266"/>
      <c r="E886" s="266"/>
      <c r="F886" s="266"/>
      <c r="G886" s="299"/>
      <c r="H886" s="266"/>
      <c r="I886" s="266"/>
      <c r="J886" s="266"/>
      <c r="K886" s="266"/>
      <c r="L886" s="266"/>
      <c r="M886" s="266"/>
      <c r="N886" s="266"/>
      <c r="O886" s="285"/>
      <c r="P886" s="266"/>
      <c r="Q886" s="266"/>
      <c r="R886" s="266"/>
    </row>
    <row r="887" spans="1:18" x14ac:dyDescent="0.2">
      <c r="A887" s="301" t="s">
        <v>411</v>
      </c>
      <c r="B887" s="266"/>
      <c r="C887" s="266"/>
      <c r="D887" s="266"/>
      <c r="E887" s="266"/>
      <c r="F887" s="266"/>
      <c r="G887" s="299"/>
      <c r="H887" s="266"/>
      <c r="I887" s="266"/>
      <c r="J887" s="266"/>
      <c r="K887" s="266"/>
      <c r="L887" s="266"/>
      <c r="M887" s="266"/>
      <c r="N887" s="266"/>
      <c r="O887" s="285"/>
      <c r="P887" s="266"/>
      <c r="Q887" s="266"/>
      <c r="R887" s="266"/>
    </row>
    <row r="888" spans="1:18" x14ac:dyDescent="0.2">
      <c r="A888" s="301" t="s">
        <v>412</v>
      </c>
      <c r="B888" s="266"/>
      <c r="C888" s="266"/>
      <c r="D888" s="266"/>
      <c r="E888" s="266"/>
      <c r="F888" s="266"/>
      <c r="G888" s="299"/>
      <c r="H888" s="266"/>
      <c r="I888" s="266"/>
      <c r="J888" s="266"/>
      <c r="K888" s="266"/>
      <c r="L888" s="266"/>
      <c r="M888" s="266"/>
      <c r="N888" s="266"/>
      <c r="O888" s="285"/>
      <c r="P888" s="266"/>
      <c r="Q888" s="266"/>
      <c r="R888" s="266"/>
    </row>
    <row r="889" spans="1:18" x14ac:dyDescent="0.2">
      <c r="A889" s="301" t="s">
        <v>413</v>
      </c>
      <c r="B889" s="266"/>
      <c r="C889" s="266"/>
      <c r="D889" s="266"/>
      <c r="E889" s="266"/>
      <c r="F889" s="266"/>
      <c r="G889" s="495"/>
      <c r="H889" s="266"/>
      <c r="I889" s="266"/>
      <c r="J889" s="266"/>
      <c r="K889" s="266"/>
      <c r="L889" s="266"/>
      <c r="M889" s="266"/>
      <c r="N889" s="266"/>
      <c r="O889" s="285"/>
      <c r="P889" s="266"/>
      <c r="Q889" s="266"/>
      <c r="R889" s="266"/>
    </row>
    <row r="890" spans="1:18" ht="13.15" customHeight="1" x14ac:dyDescent="0.2">
      <c r="A890" s="307" t="s">
        <v>414</v>
      </c>
      <c r="B890" s="496"/>
      <c r="C890" s="496"/>
      <c r="D890" s="496"/>
      <c r="E890" s="496"/>
      <c r="F890" s="496"/>
      <c r="G890" s="496"/>
      <c r="H890" s="496"/>
      <c r="I890" s="496"/>
      <c r="J890" s="496"/>
      <c r="K890" s="496"/>
      <c r="L890" s="496"/>
      <c r="M890" s="496"/>
      <c r="N890" s="496"/>
      <c r="O890" s="317"/>
      <c r="P890" s="266"/>
      <c r="Q890" s="266"/>
      <c r="R890" s="266"/>
    </row>
    <row r="891" spans="1:18" ht="13.15" customHeight="1" x14ac:dyDescent="0.2">
      <c r="A891" s="307" t="s">
        <v>415</v>
      </c>
      <c r="B891" s="496"/>
      <c r="C891" s="496"/>
      <c r="D891" s="496"/>
      <c r="E891" s="496"/>
      <c r="F891" s="496"/>
      <c r="G891" s="496"/>
      <c r="H891" s="496"/>
      <c r="I891" s="496"/>
      <c r="J891" s="496"/>
      <c r="K891" s="496"/>
      <c r="L891" s="496"/>
      <c r="M891" s="496"/>
      <c r="N891" s="496"/>
      <c r="O891" s="317"/>
      <c r="P891" s="266"/>
      <c r="Q891" s="266"/>
      <c r="R891" s="266"/>
    </row>
    <row r="892" spans="1:18" ht="13.15" customHeight="1" x14ac:dyDescent="0.2">
      <c r="A892" s="307" t="s">
        <v>620</v>
      </c>
      <c r="B892" s="496"/>
      <c r="C892" s="496"/>
      <c r="D892" s="496"/>
      <c r="E892" s="496"/>
      <c r="F892" s="496"/>
      <c r="G892" s="496"/>
      <c r="H892" s="496"/>
      <c r="I892" s="496"/>
      <c r="J892" s="496"/>
      <c r="K892" s="496"/>
      <c r="L892" s="496"/>
      <c r="M892" s="496"/>
      <c r="N892" s="496"/>
      <c r="O892" s="317"/>
      <c r="P892" s="266"/>
      <c r="Q892" s="266"/>
      <c r="R892" s="266"/>
    </row>
    <row r="893" spans="1:18" ht="13.15" customHeight="1" x14ac:dyDescent="0.2">
      <c r="A893" s="310" t="s">
        <v>734</v>
      </c>
      <c r="B893" s="318"/>
      <c r="C893" s="318"/>
      <c r="D893" s="318"/>
      <c r="E893" s="318"/>
      <c r="F893" s="318"/>
      <c r="G893" s="318"/>
      <c r="H893" s="318"/>
      <c r="I893" s="318"/>
      <c r="J893" s="318"/>
      <c r="K893" s="318"/>
      <c r="L893" s="318"/>
      <c r="M893" s="318"/>
      <c r="N893" s="318"/>
      <c r="O893" s="319"/>
      <c r="P893" s="266"/>
      <c r="Q893" s="266"/>
      <c r="R893" s="266"/>
    </row>
    <row r="894" spans="1:18" x14ac:dyDescent="0.2">
      <c r="A894" s="258"/>
      <c r="C894" s="271"/>
    </row>
    <row r="895" spans="1:18" x14ac:dyDescent="0.2">
      <c r="A895" s="274" t="s">
        <v>14</v>
      </c>
      <c r="B895" s="275" t="s">
        <v>736</v>
      </c>
      <c r="C895" s="275" t="s">
        <v>15</v>
      </c>
      <c r="D895" s="266"/>
      <c r="E895" s="266"/>
      <c r="F895" s="266"/>
      <c r="G895" s="266"/>
      <c r="H895" s="266"/>
      <c r="I895" s="266"/>
      <c r="J895" s="266"/>
      <c r="K895" s="266"/>
      <c r="L895" s="266"/>
      <c r="M895" s="266"/>
      <c r="N895" s="266"/>
      <c r="O895" s="266"/>
      <c r="P895" s="266"/>
    </row>
    <row r="896" spans="1:18" x14ac:dyDescent="0.2">
      <c r="A896" s="276" t="s">
        <v>16</v>
      </c>
      <c r="B896" s="291">
        <v>2009</v>
      </c>
      <c r="C896" s="292">
        <v>2010</v>
      </c>
      <c r="D896" s="292">
        <v>2011</v>
      </c>
      <c r="E896" s="292">
        <v>2012</v>
      </c>
      <c r="F896" s="292">
        <v>2013</v>
      </c>
      <c r="G896" s="292">
        <v>2014</v>
      </c>
      <c r="H896" s="292">
        <v>2015</v>
      </c>
      <c r="I896" s="292">
        <v>2016</v>
      </c>
      <c r="J896" s="494">
        <v>2017</v>
      </c>
      <c r="K896" s="494">
        <v>2018</v>
      </c>
      <c r="L896" s="494">
        <v>2019</v>
      </c>
      <c r="M896" s="494">
        <v>2020</v>
      </c>
      <c r="N896" s="292">
        <v>2021</v>
      </c>
      <c r="O896" s="292">
        <v>2022</v>
      </c>
      <c r="P896" s="266"/>
      <c r="Q896" s="266"/>
    </row>
    <row r="897" spans="1:17" x14ac:dyDescent="0.2">
      <c r="A897" s="278" t="s">
        <v>17</v>
      </c>
      <c r="B897" s="293">
        <v>1080</v>
      </c>
      <c r="C897" s="293">
        <v>901</v>
      </c>
      <c r="D897" s="293">
        <v>901</v>
      </c>
      <c r="E897" s="293">
        <v>901</v>
      </c>
      <c r="F897" s="293">
        <v>901</v>
      </c>
      <c r="G897" s="293">
        <v>901</v>
      </c>
      <c r="H897" s="293">
        <v>901</v>
      </c>
      <c r="I897" s="293">
        <v>901</v>
      </c>
      <c r="J897" s="293">
        <v>901</v>
      </c>
      <c r="K897" s="293">
        <v>901</v>
      </c>
      <c r="L897" s="293">
        <v>901</v>
      </c>
      <c r="M897" s="293">
        <v>901</v>
      </c>
      <c r="N897" s="279">
        <v>901</v>
      </c>
      <c r="O897" s="279">
        <v>901</v>
      </c>
      <c r="P897" s="266"/>
      <c r="Q897" s="266"/>
    </row>
    <row r="898" spans="1:17" x14ac:dyDescent="0.2">
      <c r="A898" s="278" t="s">
        <v>18</v>
      </c>
      <c r="B898" s="293">
        <v>1775.91</v>
      </c>
      <c r="C898" s="293">
        <v>1651</v>
      </c>
      <c r="D898" s="293">
        <v>851</v>
      </c>
      <c r="E898" s="293">
        <v>1288.26477</v>
      </c>
      <c r="F898" s="293">
        <v>425.70000000000005</v>
      </c>
      <c r="G898" s="293">
        <v>1298.56477</v>
      </c>
      <c r="H898" s="293">
        <v>318.5</v>
      </c>
      <c r="I898" s="293">
        <v>1359.46477</v>
      </c>
      <c r="J898" s="293">
        <v>999.7</v>
      </c>
      <c r="K898" s="293">
        <v>1339.56477</v>
      </c>
      <c r="L898" s="293">
        <v>1191.2</v>
      </c>
      <c r="M898" s="293">
        <v>1451</v>
      </c>
      <c r="N898" s="293">
        <v>1380.1631280000001</v>
      </c>
      <c r="O898" s="293">
        <f>O897+600-50</f>
        <v>1451</v>
      </c>
      <c r="P898" s="266"/>
      <c r="Q898" s="266"/>
    </row>
    <row r="899" spans="1:17" x14ac:dyDescent="0.2">
      <c r="A899" s="278" t="s">
        <v>19</v>
      </c>
      <c r="B899" s="293"/>
      <c r="C899" s="293"/>
      <c r="D899" s="293"/>
      <c r="E899" s="293"/>
      <c r="F899" s="293"/>
      <c r="G899" s="293"/>
      <c r="H899" s="293"/>
      <c r="I899" s="293"/>
      <c r="J899" s="293"/>
      <c r="K899" s="293"/>
      <c r="L899" s="293"/>
      <c r="M899" s="293"/>
      <c r="N899" s="279"/>
      <c r="O899" s="279"/>
      <c r="P899" s="266"/>
      <c r="Q899" s="266"/>
    </row>
    <row r="900" spans="1:17" x14ac:dyDescent="0.2">
      <c r="A900" s="278" t="s">
        <v>20</v>
      </c>
      <c r="B900" s="293">
        <v>900.11276999999995</v>
      </c>
      <c r="C900" s="293">
        <v>1213.73523</v>
      </c>
      <c r="D900" s="293">
        <v>1276.3</v>
      </c>
      <c r="E900" s="293">
        <v>840.7</v>
      </c>
      <c r="F900" s="293">
        <v>958.2</v>
      </c>
      <c r="G900" s="293">
        <v>790.1</v>
      </c>
      <c r="H900" s="293">
        <v>569.79999999999995</v>
      </c>
      <c r="I900" s="293">
        <v>870.9</v>
      </c>
      <c r="J900" s="293">
        <v>659.5</v>
      </c>
      <c r="K900" s="293">
        <v>698</v>
      </c>
      <c r="L900" s="293">
        <v>662.0368719999999</v>
      </c>
      <c r="M900" s="293">
        <v>444</v>
      </c>
      <c r="N900" s="279">
        <v>356.3</v>
      </c>
      <c r="O900" s="279"/>
      <c r="P900" s="266"/>
      <c r="Q900" s="266"/>
    </row>
    <row r="901" spans="1:17" x14ac:dyDescent="0.2">
      <c r="A901" s="278" t="s">
        <v>21</v>
      </c>
      <c r="B901" s="293">
        <v>875.79723000000013</v>
      </c>
      <c r="C901" s="293">
        <v>437.26477</v>
      </c>
      <c r="D901" s="293">
        <v>425.3</v>
      </c>
      <c r="E901" s="293">
        <v>447.56476999999995</v>
      </c>
      <c r="F901" s="293">
        <v>532.5</v>
      </c>
      <c r="G901" s="293">
        <v>508.46476999999993</v>
      </c>
      <c r="H901" s="293">
        <v>148.70000000000005</v>
      </c>
      <c r="I901" s="293">
        <v>488.56477000000007</v>
      </c>
      <c r="J901" s="293">
        <v>340.20000000000005</v>
      </c>
      <c r="K901" s="293">
        <v>641.56476999999995</v>
      </c>
      <c r="L901" s="293">
        <v>529.16312800000014</v>
      </c>
      <c r="M901" s="293">
        <f>M898-M900</f>
        <v>1007</v>
      </c>
      <c r="N901" s="279">
        <f>N898-N900</f>
        <v>1023.8631280000002</v>
      </c>
      <c r="O901" s="279"/>
      <c r="P901" s="266"/>
      <c r="Q901" s="266"/>
    </row>
    <row r="902" spans="1:17" x14ac:dyDescent="0.2">
      <c r="A902" s="281" t="s">
        <v>22</v>
      </c>
      <c r="B902" s="294"/>
      <c r="C902" s="294"/>
      <c r="D902" s="294"/>
      <c r="E902" s="294"/>
      <c r="F902" s="294"/>
      <c r="G902" s="294"/>
      <c r="H902" s="294"/>
      <c r="I902" s="294"/>
      <c r="J902" s="314"/>
      <c r="K902" s="314"/>
      <c r="L902" s="314"/>
      <c r="M902" s="314"/>
      <c r="N902" s="315"/>
      <c r="O902" s="315"/>
      <c r="P902" s="266"/>
      <c r="Q902" s="266"/>
    </row>
    <row r="903" spans="1:17" x14ac:dyDescent="0.2">
      <c r="A903" s="278" t="s">
        <v>188</v>
      </c>
      <c r="B903" s="296"/>
      <c r="C903" s="296"/>
      <c r="D903" s="296"/>
      <c r="E903" s="296"/>
      <c r="F903" s="296"/>
      <c r="G903" s="296"/>
      <c r="H903" s="296"/>
      <c r="I903" s="296"/>
      <c r="J903" s="296"/>
      <c r="K903" s="296"/>
      <c r="L903" s="296"/>
      <c r="M903" s="296"/>
      <c r="N903" s="296"/>
      <c r="O903" s="297"/>
      <c r="P903" s="266"/>
      <c r="Q903" s="266"/>
    </row>
    <row r="904" spans="1:17" x14ac:dyDescent="0.2">
      <c r="A904" s="284" t="s">
        <v>452</v>
      </c>
      <c r="B904" s="266"/>
      <c r="C904" s="266"/>
      <c r="D904" s="266"/>
      <c r="E904" s="266"/>
      <c r="F904" s="266"/>
      <c r="G904" s="266"/>
      <c r="H904" s="266"/>
      <c r="I904" s="266"/>
      <c r="J904" s="266"/>
      <c r="K904" s="266"/>
      <c r="L904" s="266"/>
      <c r="M904" s="266"/>
      <c r="N904" s="266"/>
      <c r="O904" s="285"/>
      <c r="P904" s="266"/>
      <c r="Q904" s="266"/>
    </row>
    <row r="905" spans="1:17" x14ac:dyDescent="0.2">
      <c r="A905" s="284" t="s">
        <v>453</v>
      </c>
      <c r="B905" s="266"/>
      <c r="C905" s="266"/>
      <c r="D905" s="266"/>
      <c r="E905" s="266"/>
      <c r="F905" s="266"/>
      <c r="G905" s="266"/>
      <c r="H905" s="266"/>
      <c r="I905" s="266"/>
      <c r="J905" s="266"/>
      <c r="K905" s="266"/>
      <c r="L905" s="266"/>
      <c r="M905" s="266"/>
      <c r="N905" s="266"/>
      <c r="O905" s="285"/>
      <c r="P905" s="266"/>
      <c r="Q905" s="266"/>
    </row>
    <row r="906" spans="1:17" x14ac:dyDescent="0.2">
      <c r="A906" s="284" t="s">
        <v>454</v>
      </c>
      <c r="B906" s="266"/>
      <c r="C906" s="266"/>
      <c r="D906" s="266"/>
      <c r="E906" s="266"/>
      <c r="F906" s="266"/>
      <c r="G906" s="266"/>
      <c r="H906" s="266"/>
      <c r="I906" s="266"/>
      <c r="J906" s="266"/>
      <c r="K906" s="266"/>
      <c r="L906" s="266"/>
      <c r="M906" s="266"/>
      <c r="N906" s="266"/>
      <c r="O906" s="285"/>
      <c r="P906" s="266"/>
      <c r="Q906" s="266"/>
    </row>
    <row r="907" spans="1:17" x14ac:dyDescent="0.2">
      <c r="A907" s="284" t="s">
        <v>455</v>
      </c>
      <c r="B907" s="266"/>
      <c r="C907" s="266"/>
      <c r="D907" s="266"/>
      <c r="E907" s="266"/>
      <c r="F907" s="266"/>
      <c r="G907" s="266"/>
      <c r="H907" s="266"/>
      <c r="I907" s="266"/>
      <c r="J907" s="266"/>
      <c r="K907" s="266"/>
      <c r="L907" s="266"/>
      <c r="M907" s="266"/>
      <c r="N907" s="266"/>
      <c r="O907" s="285"/>
      <c r="P907" s="266"/>
      <c r="Q907" s="266"/>
    </row>
    <row r="908" spans="1:17" x14ac:dyDescent="0.2">
      <c r="A908" s="284" t="s">
        <v>456</v>
      </c>
      <c r="B908" s="298"/>
      <c r="C908" s="299"/>
      <c r="D908" s="300"/>
      <c r="E908" s="266"/>
      <c r="F908" s="266"/>
      <c r="G908" s="299"/>
      <c r="H908" s="266"/>
      <c r="I908" s="266"/>
      <c r="J908" s="266"/>
      <c r="K908" s="266"/>
      <c r="L908" s="266"/>
      <c r="M908" s="266"/>
      <c r="N908" s="266"/>
      <c r="O908" s="285"/>
      <c r="P908" s="266"/>
      <c r="Q908" s="266"/>
    </row>
    <row r="909" spans="1:17" x14ac:dyDescent="0.2">
      <c r="A909" s="284" t="s">
        <v>457</v>
      </c>
      <c r="B909" s="266"/>
      <c r="C909" s="266"/>
      <c r="D909" s="266"/>
      <c r="E909" s="266"/>
      <c r="F909" s="266"/>
      <c r="G909" s="299"/>
      <c r="H909" s="266"/>
      <c r="I909" s="266"/>
      <c r="J909" s="266"/>
      <c r="K909" s="266"/>
      <c r="L909" s="266"/>
      <c r="M909" s="266"/>
      <c r="N909" s="266"/>
      <c r="O909" s="285"/>
      <c r="P909" s="266"/>
      <c r="Q909" s="266"/>
    </row>
    <row r="910" spans="1:17" x14ac:dyDescent="0.2">
      <c r="A910" s="284" t="s">
        <v>458</v>
      </c>
      <c r="B910" s="266"/>
      <c r="C910" s="266"/>
      <c r="D910" s="266"/>
      <c r="E910" s="266"/>
      <c r="F910" s="266"/>
      <c r="G910" s="299"/>
      <c r="H910" s="266"/>
      <c r="I910" s="266"/>
      <c r="J910" s="266"/>
      <c r="K910" s="266"/>
      <c r="L910" s="266"/>
      <c r="M910" s="266"/>
      <c r="N910" s="266"/>
      <c r="O910" s="285"/>
      <c r="P910" s="266"/>
      <c r="Q910" s="266"/>
    </row>
    <row r="911" spans="1:17" x14ac:dyDescent="0.2">
      <c r="A911" s="284" t="s">
        <v>459</v>
      </c>
      <c r="B911" s="266"/>
      <c r="C911" s="266"/>
      <c r="D911" s="266"/>
      <c r="E911" s="266"/>
      <c r="F911" s="266"/>
      <c r="G911" s="299"/>
      <c r="H911" s="266"/>
      <c r="I911" s="266"/>
      <c r="J911" s="266"/>
      <c r="K911" s="266"/>
      <c r="L911" s="266"/>
      <c r="M911" s="266"/>
      <c r="N911" s="266"/>
      <c r="O911" s="285"/>
      <c r="P911" s="266"/>
      <c r="Q911" s="266"/>
    </row>
    <row r="912" spans="1:17" x14ac:dyDescent="0.2">
      <c r="A912" s="316" t="s">
        <v>460</v>
      </c>
      <c r="B912" s="266"/>
      <c r="C912" s="266"/>
      <c r="D912" s="266"/>
      <c r="E912" s="266"/>
      <c r="F912" s="266"/>
      <c r="G912" s="495"/>
      <c r="H912" s="266"/>
      <c r="I912" s="266"/>
      <c r="J912" s="266"/>
      <c r="K912" s="266"/>
      <c r="L912" s="266"/>
      <c r="M912" s="266"/>
      <c r="N912" s="266"/>
      <c r="O912" s="285"/>
      <c r="P912" s="266"/>
      <c r="Q912" s="266"/>
    </row>
    <row r="913" spans="1:17" x14ac:dyDescent="0.2">
      <c r="A913" s="301" t="s">
        <v>238</v>
      </c>
      <c r="B913" s="266"/>
      <c r="C913" s="266"/>
      <c r="D913" s="266"/>
      <c r="E913" s="266"/>
      <c r="F913" s="266"/>
      <c r="G913" s="266"/>
      <c r="H913" s="266"/>
      <c r="I913" s="266"/>
      <c r="J913" s="266"/>
      <c r="K913" s="266"/>
      <c r="L913" s="266"/>
      <c r="M913" s="266"/>
      <c r="N913" s="266"/>
      <c r="O913" s="285"/>
      <c r="P913" s="266"/>
      <c r="Q913" s="266"/>
    </row>
    <row r="914" spans="1:17" x14ac:dyDescent="0.2">
      <c r="A914" s="301" t="s">
        <v>239</v>
      </c>
      <c r="B914" s="266"/>
      <c r="C914" s="266"/>
      <c r="D914" s="266"/>
      <c r="E914" s="266"/>
      <c r="F914" s="266"/>
      <c r="G914" s="266"/>
      <c r="H914" s="266"/>
      <c r="I914" s="266"/>
      <c r="J914" s="266"/>
      <c r="K914" s="266"/>
      <c r="L914" s="266"/>
      <c r="M914" s="266"/>
      <c r="N914" s="266"/>
      <c r="O914" s="285"/>
      <c r="P914" s="266"/>
      <c r="Q914" s="266"/>
    </row>
    <row r="915" spans="1:17" x14ac:dyDescent="0.2">
      <c r="A915" s="301" t="s">
        <v>461</v>
      </c>
      <c r="B915" s="266"/>
      <c r="C915" s="266"/>
      <c r="D915" s="266"/>
      <c r="E915" s="266"/>
      <c r="F915" s="266"/>
      <c r="G915" s="266"/>
      <c r="H915" s="266"/>
      <c r="I915" s="266"/>
      <c r="J915" s="266"/>
      <c r="K915" s="266"/>
      <c r="L915" s="266"/>
      <c r="M915" s="266"/>
      <c r="N915" s="266"/>
      <c r="O915" s="285"/>
      <c r="P915" s="266"/>
      <c r="Q915" s="266"/>
    </row>
    <row r="916" spans="1:17" x14ac:dyDescent="0.2">
      <c r="A916" s="320" t="s">
        <v>735</v>
      </c>
      <c r="B916" s="289"/>
      <c r="C916" s="289"/>
      <c r="D916" s="289"/>
      <c r="E916" s="289"/>
      <c r="F916" s="289"/>
      <c r="G916" s="289"/>
      <c r="H916" s="289"/>
      <c r="I916" s="289"/>
      <c r="J916" s="289"/>
      <c r="K916" s="289"/>
      <c r="L916" s="289"/>
      <c r="M916" s="289"/>
      <c r="N916" s="289"/>
      <c r="O916" s="290"/>
      <c r="P916" s="266"/>
      <c r="Q916" s="266"/>
    </row>
    <row r="917" spans="1:17" x14ac:dyDescent="0.2">
      <c r="A917" s="258"/>
      <c r="C917" s="271"/>
    </row>
    <row r="918" spans="1:17" x14ac:dyDescent="0.2">
      <c r="A918" s="274" t="s">
        <v>14</v>
      </c>
      <c r="B918" s="275" t="s">
        <v>737</v>
      </c>
      <c r="C918" s="321" t="s">
        <v>15</v>
      </c>
      <c r="D918" s="266"/>
      <c r="E918" s="266"/>
      <c r="F918" s="266"/>
      <c r="G918" s="266"/>
      <c r="H918" s="266"/>
      <c r="I918" s="266"/>
      <c r="J918" s="266"/>
      <c r="K918" s="266"/>
      <c r="L918" s="266"/>
      <c r="M918" s="266"/>
    </row>
    <row r="919" spans="1:17" customFormat="1" ht="15" x14ac:dyDescent="0.25">
      <c r="A919" s="278" t="s">
        <v>16</v>
      </c>
      <c r="B919" s="292">
        <v>2009</v>
      </c>
      <c r="C919" s="292">
        <v>2010</v>
      </c>
      <c r="D919" s="292">
        <v>2011</v>
      </c>
      <c r="E919" s="292">
        <v>2012</v>
      </c>
      <c r="F919" s="292">
        <v>2013</v>
      </c>
      <c r="G919" s="292">
        <v>2014</v>
      </c>
      <c r="H919" s="292">
        <v>2015</v>
      </c>
      <c r="I919" s="292">
        <v>2016</v>
      </c>
      <c r="J919" s="292">
        <v>2017</v>
      </c>
      <c r="K919" s="292">
        <v>2018</v>
      </c>
      <c r="L919" s="292">
        <v>2019</v>
      </c>
      <c r="M919" s="292">
        <v>2020</v>
      </c>
      <c r="N919" s="292">
        <v>2021</v>
      </c>
      <c r="O919" s="292">
        <v>2022</v>
      </c>
      <c r="P919" s="277"/>
      <c r="Q919" s="277"/>
    </row>
    <row r="920" spans="1:17" customFormat="1" ht="15" x14ac:dyDescent="0.25">
      <c r="A920" s="278" t="s">
        <v>17</v>
      </c>
      <c r="B920" s="322">
        <v>1871.44</v>
      </c>
      <c r="C920" s="322">
        <v>1148.05</v>
      </c>
      <c r="D920" s="322">
        <v>1097.03</v>
      </c>
      <c r="E920" s="322">
        <v>1097.03</v>
      </c>
      <c r="F920" s="322">
        <v>1139.55</v>
      </c>
      <c r="G920" s="322">
        <v>1139.55</v>
      </c>
      <c r="H920" s="322">
        <v>1345.44</v>
      </c>
      <c r="I920" s="322">
        <v>1608.21</v>
      </c>
      <c r="J920" s="322">
        <v>1930.88</v>
      </c>
      <c r="K920" s="322">
        <v>2279</v>
      </c>
      <c r="L920" s="322">
        <v>2544</v>
      </c>
      <c r="M920" s="322">
        <v>2819</v>
      </c>
      <c r="N920" s="293">
        <v>2819</v>
      </c>
      <c r="O920" s="293">
        <v>2819</v>
      </c>
      <c r="P920" s="277"/>
      <c r="Q920" s="277"/>
    </row>
    <row r="921" spans="1:17" customFormat="1" ht="15" x14ac:dyDescent="0.25">
      <c r="A921" s="278" t="s">
        <v>18</v>
      </c>
      <c r="B921" s="322">
        <v>1871.44</v>
      </c>
      <c r="C921" s="322">
        <v>1148.05</v>
      </c>
      <c r="D921" s="322">
        <v>1097.03</v>
      </c>
      <c r="E921" s="322">
        <v>1097.03</v>
      </c>
      <c r="F921" s="322">
        <v>1139.55</v>
      </c>
      <c r="G921" s="322">
        <v>1139.55</v>
      </c>
      <c r="H921" s="322">
        <v>1390.44</v>
      </c>
      <c r="I921" s="322">
        <v>1583.21</v>
      </c>
      <c r="J921" s="322">
        <v>1910.88</v>
      </c>
      <c r="K921" s="322">
        <v>2279</v>
      </c>
      <c r="L921" s="322">
        <v>2544</v>
      </c>
      <c r="M921" s="322">
        <v>2839.27</v>
      </c>
      <c r="N921" s="293">
        <f>N920+M924</f>
        <v>2876.6439600000003</v>
      </c>
      <c r="O921" s="293">
        <f>O920+N924</f>
        <v>2915.6539600000006</v>
      </c>
      <c r="P921" s="277"/>
      <c r="Q921" s="277"/>
    </row>
    <row r="922" spans="1:17" customFormat="1" ht="15" x14ac:dyDescent="0.25">
      <c r="A922" s="278" t="s">
        <v>19</v>
      </c>
      <c r="B922" s="293"/>
      <c r="C922" s="293"/>
      <c r="D922" s="293"/>
      <c r="E922" s="293"/>
      <c r="F922" s="293"/>
      <c r="G922" s="293"/>
      <c r="H922" s="293"/>
      <c r="I922" s="293"/>
      <c r="J922" s="293"/>
      <c r="K922" s="293"/>
      <c r="L922" s="293"/>
      <c r="M922" s="293"/>
      <c r="N922" s="293"/>
      <c r="O922" s="293"/>
      <c r="P922" s="277"/>
      <c r="Q922" s="277"/>
    </row>
    <row r="923" spans="1:17" customFormat="1" ht="15" x14ac:dyDescent="0.25">
      <c r="A923" s="278" t="s">
        <v>20</v>
      </c>
      <c r="B923" s="322">
        <v>1858.2</v>
      </c>
      <c r="C923" s="293">
        <v>1139.2777599999999</v>
      </c>
      <c r="D923" s="293">
        <v>1088.8235599999998</v>
      </c>
      <c r="E923" s="293">
        <v>1092.5993599999999</v>
      </c>
      <c r="F923" s="293">
        <v>1128.97</v>
      </c>
      <c r="G923" s="293">
        <v>1134.47</v>
      </c>
      <c r="H923" s="293">
        <v>1385.92</v>
      </c>
      <c r="I923" s="293">
        <v>1578.37</v>
      </c>
      <c r="J923" s="293">
        <v>1910.65104</v>
      </c>
      <c r="K923" s="293">
        <v>2269.7609000000002</v>
      </c>
      <c r="L923" s="293">
        <v>2523.73</v>
      </c>
      <c r="M923" s="293">
        <v>2781.6260399999996</v>
      </c>
      <c r="N923" s="293">
        <v>2779.99</v>
      </c>
      <c r="O923" s="293"/>
      <c r="P923" s="277"/>
      <c r="Q923" s="277"/>
    </row>
    <row r="924" spans="1:17" customFormat="1" ht="15" x14ac:dyDescent="0.25">
      <c r="A924" s="278" t="s">
        <v>21</v>
      </c>
      <c r="B924" s="293">
        <v>13.240000000000009</v>
      </c>
      <c r="C924" s="293">
        <v>8.7722400000000107</v>
      </c>
      <c r="D924" s="293">
        <v>8.2064400000001569</v>
      </c>
      <c r="E924" s="293">
        <v>4.4306400000000394</v>
      </c>
      <c r="F924" s="293">
        <v>10.579999999999927</v>
      </c>
      <c r="G924" s="293">
        <v>5.0799999999999272</v>
      </c>
      <c r="H924" s="293">
        <v>4.5199999999999818</v>
      </c>
      <c r="I924" s="293">
        <v>4.8400000000001455</v>
      </c>
      <c r="J924" s="293">
        <v>0.22896000000014283</v>
      </c>
      <c r="K924" s="293">
        <v>9.2390999999997803</v>
      </c>
      <c r="L924" s="293">
        <v>20.269999999999982</v>
      </c>
      <c r="M924" s="293">
        <v>57.643960000000334</v>
      </c>
      <c r="N924" s="293">
        <f>N921-N923</f>
        <v>96.653960000000552</v>
      </c>
      <c r="O924" s="293"/>
      <c r="P924" s="277"/>
      <c r="Q924" s="277"/>
    </row>
    <row r="925" spans="1:17" customFormat="1" ht="15" x14ac:dyDescent="0.25">
      <c r="A925" s="281" t="s">
        <v>22</v>
      </c>
      <c r="B925" s="294"/>
      <c r="C925" s="294"/>
      <c r="D925" s="294"/>
      <c r="E925" s="294"/>
      <c r="F925" s="294"/>
      <c r="G925" s="294"/>
      <c r="H925" s="294"/>
      <c r="I925" s="294"/>
      <c r="J925" s="294"/>
      <c r="K925" s="294"/>
      <c r="L925" s="294"/>
      <c r="M925" s="294"/>
      <c r="N925" s="315"/>
      <c r="O925" s="315"/>
      <c r="P925" s="277"/>
      <c r="Q925" s="277"/>
    </row>
    <row r="926" spans="1:17" customFormat="1" ht="15" x14ac:dyDescent="0.25">
      <c r="A926" s="278" t="s">
        <v>188</v>
      </c>
      <c r="B926" s="296"/>
      <c r="C926" s="296"/>
      <c r="D926" s="296"/>
      <c r="E926" s="296"/>
      <c r="F926" s="296"/>
      <c r="G926" s="296"/>
      <c r="H926" s="296"/>
      <c r="I926" s="296"/>
      <c r="J926" s="296"/>
      <c r="K926" s="296"/>
      <c r="L926" s="296"/>
      <c r="M926" s="296"/>
      <c r="N926" s="296"/>
      <c r="O926" s="297"/>
      <c r="P926" s="277"/>
      <c r="Q926" s="277"/>
    </row>
    <row r="927" spans="1:17" customFormat="1" ht="15" x14ac:dyDescent="0.25">
      <c r="A927" s="284" t="s">
        <v>201</v>
      </c>
      <c r="B927" s="266"/>
      <c r="C927" s="266"/>
      <c r="D927" s="266"/>
      <c r="E927" s="266"/>
      <c r="F927" s="266"/>
      <c r="G927" s="266"/>
      <c r="H927" s="266"/>
      <c r="I927" s="266"/>
      <c r="J927" s="266"/>
      <c r="K927" s="266"/>
      <c r="L927" s="266"/>
      <c r="M927" s="266"/>
      <c r="N927" s="266"/>
      <c r="O927" s="285"/>
      <c r="P927" s="277"/>
      <c r="Q927" s="277"/>
    </row>
    <row r="928" spans="1:17" customFormat="1" ht="15" x14ac:dyDescent="0.25">
      <c r="A928" s="284" t="s">
        <v>202</v>
      </c>
      <c r="B928" s="266"/>
      <c r="C928" s="266"/>
      <c r="D928" s="266"/>
      <c r="E928" s="266"/>
      <c r="F928" s="266"/>
      <c r="G928" s="266"/>
      <c r="H928" s="266"/>
      <c r="I928" s="266"/>
      <c r="J928" s="266"/>
      <c r="K928" s="266"/>
      <c r="L928" s="266"/>
      <c r="M928" s="266"/>
      <c r="N928" s="266"/>
      <c r="O928" s="285"/>
      <c r="P928" s="277"/>
      <c r="Q928" s="277"/>
    </row>
    <row r="929" spans="1:17" customFormat="1" ht="15" x14ac:dyDescent="0.25">
      <c r="A929" s="284" t="s">
        <v>203</v>
      </c>
      <c r="B929" s="266"/>
      <c r="C929" s="266"/>
      <c r="D929" s="266"/>
      <c r="E929" s="266"/>
      <c r="F929" s="266"/>
      <c r="G929" s="266"/>
      <c r="H929" s="266"/>
      <c r="I929" s="266"/>
      <c r="J929" s="266"/>
      <c r="K929" s="266"/>
      <c r="L929" s="266"/>
      <c r="M929" s="266"/>
      <c r="N929" s="266"/>
      <c r="O929" s="285"/>
      <c r="P929" s="277"/>
      <c r="Q929" s="277"/>
    </row>
    <row r="930" spans="1:17" customFormat="1" ht="15" x14ac:dyDescent="0.25">
      <c r="A930" s="284" t="s">
        <v>204</v>
      </c>
      <c r="B930" s="266"/>
      <c r="C930" s="266"/>
      <c r="D930" s="266"/>
      <c r="E930" s="266"/>
      <c r="F930" s="266"/>
      <c r="G930" s="266"/>
      <c r="H930" s="266"/>
      <c r="I930" s="266"/>
      <c r="J930" s="266"/>
      <c r="K930" s="266"/>
      <c r="L930" s="266"/>
      <c r="M930" s="266"/>
      <c r="N930" s="266"/>
      <c r="O930" s="285"/>
      <c r="P930" s="277"/>
      <c r="Q930" s="277"/>
    </row>
    <row r="931" spans="1:17" customFormat="1" ht="15" x14ac:dyDescent="0.25">
      <c r="A931" s="301" t="s">
        <v>240</v>
      </c>
      <c r="B931" s="298"/>
      <c r="C931" s="299"/>
      <c r="D931" s="300"/>
      <c r="E931" s="266"/>
      <c r="F931" s="266"/>
      <c r="G931" s="299"/>
      <c r="H931" s="266"/>
      <c r="I931" s="266"/>
      <c r="J931" s="266"/>
      <c r="K931" s="266"/>
      <c r="L931" s="266"/>
      <c r="M931" s="266"/>
      <c r="N931" s="266"/>
      <c r="O931" s="285"/>
      <c r="P931" s="277"/>
      <c r="Q931" s="277"/>
    </row>
    <row r="932" spans="1:17" customFormat="1" ht="15" x14ac:dyDescent="0.25">
      <c r="A932" s="301" t="s">
        <v>284</v>
      </c>
      <c r="B932" s="298"/>
      <c r="C932" s="299"/>
      <c r="D932" s="300"/>
      <c r="E932" s="266"/>
      <c r="F932" s="266"/>
      <c r="G932" s="299"/>
      <c r="H932" s="266"/>
      <c r="I932" s="266"/>
      <c r="J932" s="266"/>
      <c r="K932" s="266"/>
      <c r="L932" s="266"/>
      <c r="M932" s="266"/>
      <c r="N932" s="266"/>
      <c r="O932" s="285"/>
      <c r="P932" s="277"/>
      <c r="Q932" s="277"/>
    </row>
    <row r="933" spans="1:17" customFormat="1" ht="15" x14ac:dyDescent="0.25">
      <c r="A933" s="301" t="s">
        <v>504</v>
      </c>
      <c r="B933" s="298"/>
      <c r="C933" s="299"/>
      <c r="D933" s="300"/>
      <c r="E933" s="266"/>
      <c r="F933" s="266"/>
      <c r="G933" s="299"/>
      <c r="H933" s="266"/>
      <c r="I933" s="266"/>
      <c r="J933" s="266"/>
      <c r="K933" s="266"/>
      <c r="L933" s="266"/>
      <c r="M933" s="266"/>
      <c r="N933" s="266"/>
      <c r="O933" s="285"/>
      <c r="P933" s="277"/>
      <c r="Q933" s="277"/>
    </row>
    <row r="934" spans="1:17" customFormat="1" ht="15" x14ac:dyDescent="0.25">
      <c r="A934" s="301" t="s">
        <v>738</v>
      </c>
      <c r="B934" s="298"/>
      <c r="C934" s="299"/>
      <c r="D934" s="300"/>
      <c r="E934" s="266"/>
      <c r="F934" s="266"/>
      <c r="G934" s="299"/>
      <c r="H934" s="266"/>
      <c r="I934" s="266"/>
      <c r="J934" s="266"/>
      <c r="K934" s="266"/>
      <c r="L934" s="266"/>
      <c r="M934" s="266"/>
      <c r="N934" s="266"/>
      <c r="O934" s="285"/>
      <c r="P934" s="277"/>
      <c r="Q934" s="277"/>
    </row>
    <row r="935" spans="1:17" customFormat="1" ht="15" x14ac:dyDescent="0.25">
      <c r="A935" s="301" t="s">
        <v>241</v>
      </c>
      <c r="B935" s="298"/>
      <c r="C935" s="299"/>
      <c r="D935" s="300"/>
      <c r="E935" s="266"/>
      <c r="F935" s="266"/>
      <c r="G935" s="299"/>
      <c r="H935" s="266"/>
      <c r="I935" s="266"/>
      <c r="J935" s="266"/>
      <c r="K935" s="266"/>
      <c r="L935" s="266"/>
      <c r="M935" s="266"/>
      <c r="N935" s="266"/>
      <c r="O935" s="285"/>
      <c r="P935" s="277"/>
      <c r="Q935" s="277"/>
    </row>
    <row r="936" spans="1:17" customFormat="1" ht="15" x14ac:dyDescent="0.25">
      <c r="A936" s="301" t="s">
        <v>285</v>
      </c>
      <c r="B936" s="298"/>
      <c r="C936" s="299"/>
      <c r="D936" s="300"/>
      <c r="E936" s="266"/>
      <c r="F936" s="266"/>
      <c r="G936" s="299"/>
      <c r="H936" s="266"/>
      <c r="I936" s="266"/>
      <c r="J936" s="266"/>
      <c r="K936" s="266"/>
      <c r="L936" s="266"/>
      <c r="M936" s="266"/>
      <c r="N936" s="266"/>
      <c r="O936" s="285"/>
      <c r="P936" s="277"/>
      <c r="Q936" s="277"/>
    </row>
    <row r="937" spans="1:17" customFormat="1" ht="15" x14ac:dyDescent="0.25">
      <c r="A937" s="301" t="s">
        <v>505</v>
      </c>
      <c r="B937" s="298"/>
      <c r="C937" s="299"/>
      <c r="D937" s="300"/>
      <c r="E937" s="266"/>
      <c r="F937" s="266"/>
      <c r="G937" s="299"/>
      <c r="H937" s="266"/>
      <c r="I937" s="266"/>
      <c r="J937" s="266"/>
      <c r="K937" s="266"/>
      <c r="L937" s="266"/>
      <c r="M937" s="266"/>
      <c r="N937" s="266"/>
      <c r="O937" s="285"/>
      <c r="P937" s="277"/>
      <c r="Q937" s="277"/>
    </row>
    <row r="938" spans="1:17" customFormat="1" ht="15" x14ac:dyDescent="0.25">
      <c r="A938" s="320" t="s">
        <v>739</v>
      </c>
      <c r="B938" s="289"/>
      <c r="C938" s="289"/>
      <c r="D938" s="289"/>
      <c r="E938" s="289"/>
      <c r="F938" s="289"/>
      <c r="G938" s="323"/>
      <c r="H938" s="289"/>
      <c r="I938" s="289"/>
      <c r="J938" s="289"/>
      <c r="K938" s="289"/>
      <c r="L938" s="289"/>
      <c r="M938" s="289"/>
      <c r="N938" s="289"/>
      <c r="O938" s="290"/>
      <c r="P938" s="277"/>
      <c r="Q938" s="277"/>
    </row>
    <row r="939" spans="1:17" x14ac:dyDescent="0.2">
      <c r="A939" s="258"/>
      <c r="C939" s="271"/>
    </row>
    <row r="940" spans="1:17" x14ac:dyDescent="0.2">
      <c r="A940" s="324" t="s">
        <v>14</v>
      </c>
      <c r="B940" s="275" t="s">
        <v>740</v>
      </c>
      <c r="C940" s="321" t="s">
        <v>15</v>
      </c>
      <c r="D940" s="266"/>
      <c r="E940" s="266"/>
      <c r="F940" s="266"/>
      <c r="G940" s="266"/>
      <c r="H940" s="266"/>
      <c r="I940" s="266"/>
      <c r="J940" s="266"/>
      <c r="K940" s="266"/>
      <c r="L940" s="266"/>
      <c r="M940" s="266"/>
    </row>
    <row r="941" spans="1:17" x14ac:dyDescent="0.2">
      <c r="A941" s="288" t="s">
        <v>16</v>
      </c>
      <c r="B941" s="325">
        <v>2009</v>
      </c>
      <c r="C941" s="326">
        <v>2010</v>
      </c>
      <c r="D941" s="326">
        <v>2011</v>
      </c>
      <c r="E941" s="326">
        <v>2012</v>
      </c>
      <c r="F941" s="326">
        <v>2013</v>
      </c>
      <c r="G941" s="326">
        <v>2014</v>
      </c>
      <c r="H941" s="325">
        <v>2015</v>
      </c>
      <c r="I941" s="325">
        <v>2016</v>
      </c>
      <c r="J941" s="325">
        <v>2017</v>
      </c>
      <c r="K941" s="325">
        <v>2018</v>
      </c>
      <c r="L941" s="325">
        <v>2019</v>
      </c>
      <c r="M941" s="325">
        <v>2020</v>
      </c>
      <c r="N941" s="325">
        <v>2021</v>
      </c>
      <c r="O941" s="325">
        <v>2022</v>
      </c>
      <c r="P941" s="266"/>
      <c r="Q941" s="266"/>
    </row>
    <row r="942" spans="1:17" x14ac:dyDescent="0.2">
      <c r="A942" s="276" t="s">
        <v>17</v>
      </c>
      <c r="B942" s="279">
        <v>329.79</v>
      </c>
      <c r="C942" s="293">
        <v>311.02</v>
      </c>
      <c r="D942" s="293">
        <v>301.64</v>
      </c>
      <c r="E942" s="293">
        <v>301.64</v>
      </c>
      <c r="F942" s="293">
        <v>301.64</v>
      </c>
      <c r="G942" s="293">
        <v>301.64</v>
      </c>
      <c r="H942" s="293">
        <v>345.74</v>
      </c>
      <c r="I942" s="293">
        <v>345.74</v>
      </c>
      <c r="J942" s="322">
        <v>345.74</v>
      </c>
      <c r="K942" s="322">
        <v>407.48</v>
      </c>
      <c r="L942" s="322">
        <v>407.48</v>
      </c>
      <c r="M942" s="327">
        <v>407.48</v>
      </c>
      <c r="N942" s="328">
        <v>407.48</v>
      </c>
      <c r="O942" s="328">
        <v>664.52</v>
      </c>
      <c r="P942" s="266"/>
      <c r="Q942" s="266"/>
    </row>
    <row r="943" spans="1:17" x14ac:dyDescent="0.2">
      <c r="A943" s="278" t="s">
        <v>18</v>
      </c>
      <c r="B943" s="279">
        <v>402.56000000000006</v>
      </c>
      <c r="C943" s="293">
        <v>431.91</v>
      </c>
      <c r="D943" s="293">
        <v>308.37</v>
      </c>
      <c r="E943" s="293">
        <v>306.06</v>
      </c>
      <c r="F943" s="293">
        <v>304.12</v>
      </c>
      <c r="G943" s="293">
        <v>303.5</v>
      </c>
      <c r="H943" s="293">
        <v>346.61</v>
      </c>
      <c r="I943" s="293">
        <v>346.83000000000004</v>
      </c>
      <c r="J943" s="322">
        <v>347.08035600000011</v>
      </c>
      <c r="K943" s="322">
        <v>408.73035600000014</v>
      </c>
      <c r="L943" s="322">
        <v>409.20815600000014</v>
      </c>
      <c r="M943" s="327">
        <v>410.39696779704036</v>
      </c>
      <c r="N943" s="328">
        <v>410.3</v>
      </c>
      <c r="O943" s="328">
        <f>O942+N946</f>
        <v>665.25</v>
      </c>
      <c r="P943" s="266"/>
      <c r="Q943" s="266"/>
    </row>
    <row r="944" spans="1:17" x14ac:dyDescent="0.2">
      <c r="A944" s="278" t="s">
        <v>19</v>
      </c>
      <c r="B944" s="279"/>
      <c r="C944" s="293"/>
      <c r="D944" s="293"/>
      <c r="E944" s="293"/>
      <c r="F944" s="293"/>
      <c r="G944" s="293"/>
      <c r="H944" s="293"/>
      <c r="I944" s="293"/>
      <c r="J944" s="293"/>
      <c r="K944" s="293"/>
      <c r="L944" s="293"/>
      <c r="M944" s="328"/>
      <c r="N944" s="328"/>
      <c r="O944" s="328"/>
      <c r="P944" s="266"/>
      <c r="Q944" s="266"/>
    </row>
    <row r="945" spans="1:17" x14ac:dyDescent="0.2">
      <c r="A945" s="278" t="s">
        <v>20</v>
      </c>
      <c r="B945" s="279">
        <v>281.67</v>
      </c>
      <c r="C945" s="293">
        <v>425.18</v>
      </c>
      <c r="D945" s="293">
        <v>303.95</v>
      </c>
      <c r="E945" s="293">
        <v>303.58</v>
      </c>
      <c r="F945" s="293">
        <v>302.26</v>
      </c>
      <c r="G945" s="293">
        <v>302.63</v>
      </c>
      <c r="H945" s="293">
        <v>345.52</v>
      </c>
      <c r="I945" s="293">
        <v>345.48964399999994</v>
      </c>
      <c r="J945" s="293">
        <v>345.83</v>
      </c>
      <c r="K945" s="293">
        <v>407.00220000000002</v>
      </c>
      <c r="L945" s="293">
        <v>406.2911882029598</v>
      </c>
      <c r="M945" s="328">
        <v>407.58140000000009</v>
      </c>
      <c r="N945" s="328">
        <v>409.57</v>
      </c>
      <c r="O945" s="328"/>
      <c r="P945" s="266"/>
      <c r="Q945" s="266"/>
    </row>
    <row r="946" spans="1:17" x14ac:dyDescent="0.2">
      <c r="A946" s="278" t="s">
        <v>21</v>
      </c>
      <c r="B946" s="279">
        <v>120.89000000000004</v>
      </c>
      <c r="C946" s="293">
        <v>6.7300000000000182</v>
      </c>
      <c r="D946" s="293">
        <v>4.4200000000000159</v>
      </c>
      <c r="E946" s="293">
        <v>2.4800000000000182</v>
      </c>
      <c r="F946" s="293">
        <v>1.8600000000000136</v>
      </c>
      <c r="G946" s="293">
        <v>0.87000000000000455</v>
      </c>
      <c r="H946" s="293">
        <v>1.0900000000000318</v>
      </c>
      <c r="I946" s="293">
        <v>1.3403560000000994</v>
      </c>
      <c r="J946" s="293">
        <v>1.2503560000001244</v>
      </c>
      <c r="K946" s="293">
        <v>1.7281560000001264</v>
      </c>
      <c r="L946" s="293">
        <v>2.9169677970403427</v>
      </c>
      <c r="M946" s="328">
        <v>2.8155677970402735</v>
      </c>
      <c r="N946" s="328">
        <f>N943-N945</f>
        <v>0.73000000000001819</v>
      </c>
      <c r="O946" s="328"/>
      <c r="P946" s="266"/>
      <c r="Q946" s="266"/>
    </row>
    <row r="947" spans="1:17" x14ac:dyDescent="0.2">
      <c r="A947" s="281" t="s">
        <v>22</v>
      </c>
      <c r="B947" s="294"/>
      <c r="C947" s="294"/>
      <c r="D947" s="294"/>
      <c r="E947" s="294"/>
      <c r="F947" s="294"/>
      <c r="G947" s="294"/>
      <c r="H947" s="294"/>
      <c r="I947" s="294"/>
      <c r="J947" s="294"/>
      <c r="K947" s="294"/>
      <c r="L947" s="294"/>
      <c r="M947" s="283"/>
      <c r="N947" s="332"/>
      <c r="O947" s="332"/>
      <c r="P947" s="266"/>
      <c r="Q947" s="266"/>
    </row>
    <row r="948" spans="1:17" x14ac:dyDescent="0.2">
      <c r="A948" s="278" t="s">
        <v>188</v>
      </c>
      <c r="B948" s="296"/>
      <c r="C948" s="296"/>
      <c r="D948" s="296"/>
      <c r="E948" s="296"/>
      <c r="F948" s="296"/>
      <c r="G948" s="296"/>
      <c r="H948" s="296"/>
      <c r="I948" s="296"/>
      <c r="J948" s="296"/>
      <c r="K948" s="296"/>
      <c r="L948" s="296"/>
      <c r="M948" s="296"/>
      <c r="N948" s="296"/>
      <c r="O948" s="297"/>
      <c r="P948" s="266"/>
      <c r="Q948" s="266"/>
    </row>
    <row r="949" spans="1:17" x14ac:dyDescent="0.2">
      <c r="A949" s="281" t="s">
        <v>220</v>
      </c>
      <c r="B949" s="282"/>
      <c r="C949" s="282"/>
      <c r="D949" s="282"/>
      <c r="E949" s="282"/>
      <c r="F949" s="282"/>
      <c r="G949" s="282"/>
      <c r="H949" s="282"/>
      <c r="I949" s="282"/>
      <c r="J949" s="282"/>
      <c r="K949" s="282"/>
      <c r="L949" s="282"/>
      <c r="M949" s="282"/>
      <c r="N949" s="282"/>
      <c r="O949" s="283"/>
      <c r="P949" s="266"/>
      <c r="Q949" s="266"/>
    </row>
    <row r="950" spans="1:17" x14ac:dyDescent="0.2">
      <c r="A950" s="301" t="s">
        <v>242</v>
      </c>
      <c r="B950" s="266"/>
      <c r="C950" s="266"/>
      <c r="D950" s="266"/>
      <c r="E950" s="266"/>
      <c r="F950" s="266"/>
      <c r="G950" s="266"/>
      <c r="H950" s="266"/>
      <c r="I950" s="266"/>
      <c r="J950" s="266"/>
      <c r="K950" s="266"/>
      <c r="L950" s="266"/>
      <c r="M950" s="266"/>
      <c r="N950" s="266"/>
      <c r="O950" s="285"/>
      <c r="P950" s="266"/>
      <c r="Q950" s="266"/>
    </row>
    <row r="951" spans="1:17" x14ac:dyDescent="0.2">
      <c r="A951" s="301" t="s">
        <v>286</v>
      </c>
      <c r="B951" s="266"/>
      <c r="C951" s="266"/>
      <c r="D951" s="266"/>
      <c r="E951" s="266"/>
      <c r="F951" s="266"/>
      <c r="G951" s="266"/>
      <c r="H951" s="266"/>
      <c r="I951" s="266"/>
      <c r="J951" s="266"/>
      <c r="K951" s="266"/>
      <c r="L951" s="266"/>
      <c r="M951" s="266"/>
      <c r="N951" s="266"/>
      <c r="O951" s="285"/>
      <c r="P951" s="266"/>
      <c r="Q951" s="266"/>
    </row>
    <row r="952" spans="1:17" x14ac:dyDescent="0.2">
      <c r="A952" s="301" t="s">
        <v>287</v>
      </c>
      <c r="B952" s="266"/>
      <c r="C952" s="266"/>
      <c r="D952" s="266"/>
      <c r="E952" s="266"/>
      <c r="F952" s="266"/>
      <c r="G952" s="266"/>
      <c r="H952" s="266"/>
      <c r="I952" s="266"/>
      <c r="J952" s="266"/>
      <c r="K952" s="266"/>
      <c r="L952" s="266"/>
      <c r="M952" s="266"/>
      <c r="N952" s="266"/>
      <c r="O952" s="285"/>
      <c r="P952" s="266"/>
      <c r="Q952" s="266"/>
    </row>
    <row r="953" spans="1:17" x14ac:dyDescent="0.2">
      <c r="A953" s="301" t="s">
        <v>288</v>
      </c>
      <c r="B953" s="266"/>
      <c r="C953" s="266"/>
      <c r="D953" s="266"/>
      <c r="E953" s="266"/>
      <c r="F953" s="266"/>
      <c r="G953" s="266"/>
      <c r="H953" s="266"/>
      <c r="I953" s="266"/>
      <c r="J953" s="266"/>
      <c r="K953" s="266"/>
      <c r="L953" s="266"/>
      <c r="M953" s="266"/>
      <c r="N953" s="266"/>
      <c r="O953" s="285"/>
      <c r="P953" s="266"/>
      <c r="Q953" s="266"/>
    </row>
    <row r="954" spans="1:17" x14ac:dyDescent="0.2">
      <c r="A954" s="301" t="s">
        <v>506</v>
      </c>
      <c r="B954" s="266"/>
      <c r="C954" s="266"/>
      <c r="D954" s="266"/>
      <c r="E954" s="266"/>
      <c r="F954" s="266"/>
      <c r="G954" s="266"/>
      <c r="H954" s="266"/>
      <c r="I954" s="266"/>
      <c r="J954" s="266"/>
      <c r="K954" s="266"/>
      <c r="L954" s="266"/>
      <c r="M954" s="266"/>
      <c r="N954" s="266"/>
      <c r="O954" s="285"/>
      <c r="P954" s="266"/>
      <c r="Q954" s="266"/>
    </row>
    <row r="955" spans="1:17" x14ac:dyDescent="0.2">
      <c r="A955" s="301" t="s">
        <v>507</v>
      </c>
      <c r="B955" s="266"/>
      <c r="C955" s="266"/>
      <c r="D955" s="266"/>
      <c r="E955" s="266"/>
      <c r="F955" s="266"/>
      <c r="G955" s="266"/>
      <c r="H955" s="266"/>
      <c r="I955" s="266"/>
      <c r="J955" s="266"/>
      <c r="K955" s="266"/>
      <c r="L955" s="266"/>
      <c r="M955" s="266"/>
      <c r="N955" s="266"/>
      <c r="O955" s="285"/>
      <c r="P955" s="266"/>
      <c r="Q955" s="266"/>
    </row>
    <row r="956" spans="1:17" x14ac:dyDescent="0.2">
      <c r="A956" s="301" t="s">
        <v>741</v>
      </c>
      <c r="B956" s="266"/>
      <c r="C956" s="266"/>
      <c r="D956" s="266"/>
      <c r="E956" s="266"/>
      <c r="F956" s="266"/>
      <c r="G956" s="266"/>
      <c r="H956" s="266"/>
      <c r="I956" s="266"/>
      <c r="J956" s="266"/>
      <c r="K956" s="266"/>
      <c r="L956" s="266"/>
      <c r="M956" s="266"/>
      <c r="N956" s="266"/>
      <c r="O956" s="285"/>
      <c r="P956" s="266"/>
      <c r="Q956" s="266"/>
    </row>
    <row r="957" spans="1:17" x14ac:dyDescent="0.2">
      <c r="A957" s="320" t="s">
        <v>742</v>
      </c>
      <c r="B957" s="289"/>
      <c r="C957" s="289"/>
      <c r="D957" s="289"/>
      <c r="E957" s="289"/>
      <c r="F957" s="289"/>
      <c r="G957" s="289"/>
      <c r="H957" s="289"/>
      <c r="I957" s="289"/>
      <c r="J957" s="289"/>
      <c r="K957" s="289"/>
      <c r="L957" s="289"/>
      <c r="M957" s="289"/>
      <c r="N957" s="289"/>
      <c r="O957" s="290"/>
      <c r="P957" s="266"/>
      <c r="Q957" s="266"/>
    </row>
    <row r="958" spans="1:17" x14ac:dyDescent="0.2">
      <c r="A958" s="258"/>
      <c r="C958" s="271"/>
    </row>
    <row r="959" spans="1:17" x14ac:dyDescent="0.2">
      <c r="A959" s="274" t="s">
        <v>14</v>
      </c>
      <c r="B959" s="275" t="s">
        <v>74</v>
      </c>
      <c r="C959" s="321" t="s">
        <v>15</v>
      </c>
      <c r="D959" s="266"/>
      <c r="E959" s="266"/>
      <c r="F959" s="266"/>
      <c r="G959" s="266"/>
      <c r="H959" s="266"/>
      <c r="I959" s="266"/>
      <c r="J959" s="266"/>
      <c r="K959" s="266"/>
      <c r="L959" s="266"/>
      <c r="M959" s="266"/>
      <c r="N959" s="266"/>
      <c r="O959" s="266"/>
      <c r="P959" s="266"/>
    </row>
    <row r="960" spans="1:17" x14ac:dyDescent="0.2">
      <c r="A960" s="278" t="s">
        <v>16</v>
      </c>
      <c r="B960" s="292">
        <v>2009</v>
      </c>
      <c r="C960" s="292">
        <v>2010</v>
      </c>
      <c r="D960" s="292">
        <v>2011</v>
      </c>
      <c r="E960" s="292">
        <v>2012</v>
      </c>
      <c r="F960" s="292">
        <v>2013</v>
      </c>
      <c r="G960" s="292">
        <v>2014</v>
      </c>
      <c r="H960" s="292">
        <v>2015</v>
      </c>
      <c r="I960" s="292">
        <v>2016</v>
      </c>
      <c r="J960" s="292">
        <v>2017</v>
      </c>
      <c r="K960" s="292">
        <v>2018</v>
      </c>
      <c r="L960" s="292">
        <v>2019</v>
      </c>
      <c r="M960" s="292">
        <v>2020</v>
      </c>
      <c r="N960" s="395">
        <v>2021</v>
      </c>
      <c r="O960" s="395">
        <v>2022</v>
      </c>
      <c r="P960" s="266"/>
      <c r="Q960" s="266"/>
    </row>
    <row r="961" spans="1:17" x14ac:dyDescent="0.2">
      <c r="A961" s="278" t="s">
        <v>17</v>
      </c>
      <c r="B961" s="293">
        <v>25000</v>
      </c>
      <c r="C961" s="293">
        <v>25000</v>
      </c>
      <c r="D961" s="293">
        <v>23611</v>
      </c>
      <c r="E961" s="293">
        <v>23611</v>
      </c>
      <c r="F961" s="293">
        <v>23611</v>
      </c>
      <c r="G961" s="293">
        <v>23611</v>
      </c>
      <c r="H961" s="293">
        <v>23611</v>
      </c>
      <c r="I961" s="293">
        <v>17696</v>
      </c>
      <c r="J961" s="322">
        <v>17696</v>
      </c>
      <c r="K961" s="322">
        <v>17696</v>
      </c>
      <c r="L961" s="322">
        <v>17696</v>
      </c>
      <c r="M961" s="322">
        <v>13979.84</v>
      </c>
      <c r="N961" s="396">
        <v>13756.162560000001</v>
      </c>
      <c r="O961" s="396">
        <v>13868.00128</v>
      </c>
      <c r="P961" s="266"/>
      <c r="Q961" s="266"/>
    </row>
    <row r="962" spans="1:17" x14ac:dyDescent="0.2">
      <c r="A962" s="278" t="s">
        <v>18</v>
      </c>
      <c r="B962" s="293">
        <v>30500</v>
      </c>
      <c r="C962" s="293">
        <v>29700</v>
      </c>
      <c r="D962" s="293">
        <v>26894.3</v>
      </c>
      <c r="E962" s="293">
        <v>27624.3</v>
      </c>
      <c r="F962" s="293">
        <v>27624.3</v>
      </c>
      <c r="G962" s="293">
        <v>27624.3</v>
      </c>
      <c r="H962" s="293">
        <v>27624.3</v>
      </c>
      <c r="I962" s="293">
        <v>20167.650000000001</v>
      </c>
      <c r="J962" s="322">
        <v>19280.400000000001</v>
      </c>
      <c r="K962" s="322">
        <v>15415.88</v>
      </c>
      <c r="L962" s="322">
        <v>19280.400000000001</v>
      </c>
      <c r="M962" s="322">
        <v>13079.84</v>
      </c>
      <c r="N962" s="396">
        <f>N961+0.1*L961-600-300</f>
        <v>14625.762560000001</v>
      </c>
      <c r="O962" s="396">
        <f>O961+0.1*M961-600-300</f>
        <v>14365.985280000001</v>
      </c>
      <c r="P962" s="266"/>
      <c r="Q962" s="266"/>
    </row>
    <row r="963" spans="1:17" x14ac:dyDescent="0.2">
      <c r="A963" s="278" t="s">
        <v>19</v>
      </c>
      <c r="B963" s="293"/>
      <c r="C963" s="293"/>
      <c r="D963" s="293"/>
      <c r="E963" s="293"/>
      <c r="F963" s="293"/>
      <c r="G963" s="293"/>
      <c r="H963" s="293"/>
      <c r="I963" s="293"/>
      <c r="J963" s="293"/>
      <c r="K963" s="293"/>
      <c r="L963" s="293"/>
      <c r="M963" s="293"/>
      <c r="N963" s="397"/>
      <c r="O963" s="397"/>
      <c r="P963" s="266"/>
      <c r="Q963" s="266"/>
    </row>
    <row r="964" spans="1:17" x14ac:dyDescent="0.2">
      <c r="A964" s="278" t="s">
        <v>20</v>
      </c>
      <c r="B964" s="293">
        <v>13127.78969</v>
      </c>
      <c r="C964" s="293">
        <v>12919.833529999998</v>
      </c>
      <c r="D964" s="293">
        <v>11930</v>
      </c>
      <c r="E964" s="293">
        <v>15971.9</v>
      </c>
      <c r="F964" s="293">
        <v>14342</v>
      </c>
      <c r="G964" s="293">
        <v>12595.2</v>
      </c>
      <c r="H964" s="293">
        <v>10179.799999999999</v>
      </c>
      <c r="I964" s="293">
        <v>11238</v>
      </c>
      <c r="J964" s="293">
        <v>9872.2000000000007</v>
      </c>
      <c r="K964" s="293">
        <v>9849.5910000000003</v>
      </c>
      <c r="L964" s="293">
        <v>9933.1844890000011</v>
      </c>
      <c r="M964" s="293">
        <v>9294.3000000000011</v>
      </c>
      <c r="N964" s="498">
        <v>4637.8</v>
      </c>
      <c r="O964" s="397"/>
      <c r="P964" s="266"/>
      <c r="Q964" s="266"/>
    </row>
    <row r="965" spans="1:17" x14ac:dyDescent="0.2">
      <c r="A965" s="278" t="s">
        <v>21</v>
      </c>
      <c r="B965" s="293">
        <v>17372.210310000002</v>
      </c>
      <c r="C965" s="293">
        <v>16780.166470000004</v>
      </c>
      <c r="D965" s="293">
        <v>14964.3</v>
      </c>
      <c r="E965" s="293">
        <v>11652.4</v>
      </c>
      <c r="F965" s="293">
        <v>13282.3</v>
      </c>
      <c r="G965" s="293">
        <v>15029.099999999999</v>
      </c>
      <c r="H965" s="293">
        <v>17444.5</v>
      </c>
      <c r="I965" s="293">
        <v>8929.6500000000015</v>
      </c>
      <c r="J965" s="293">
        <v>9408.2000000000007</v>
      </c>
      <c r="K965" s="293">
        <v>5566.2889999999989</v>
      </c>
      <c r="L965" s="293">
        <v>9347.2155110000003</v>
      </c>
      <c r="M965" s="293">
        <f>M962-M964</f>
        <v>3785.5399999999991</v>
      </c>
      <c r="N965" s="498">
        <f>N962-N964</f>
        <v>9987.9625599999999</v>
      </c>
      <c r="O965" s="397"/>
      <c r="P965" s="266"/>
      <c r="Q965" s="266"/>
    </row>
    <row r="966" spans="1:17" x14ac:dyDescent="0.2">
      <c r="A966" s="281" t="s">
        <v>22</v>
      </c>
      <c r="B966" s="294"/>
      <c r="C966" s="294"/>
      <c r="D966" s="294"/>
      <c r="E966" s="294"/>
      <c r="F966" s="294"/>
      <c r="G966" s="294"/>
      <c r="H966" s="294"/>
      <c r="I966" s="294"/>
      <c r="J966" s="294"/>
      <c r="K966" s="294"/>
      <c r="L966" s="294"/>
      <c r="M966" s="294"/>
      <c r="N966" s="499"/>
      <c r="O966" s="499"/>
      <c r="P966" s="266"/>
      <c r="Q966" s="266"/>
    </row>
    <row r="967" spans="1:17" x14ac:dyDescent="0.2">
      <c r="A967" s="278" t="s">
        <v>188</v>
      </c>
      <c r="B967" s="296"/>
      <c r="C967" s="296"/>
      <c r="D967" s="296"/>
      <c r="E967" s="296"/>
      <c r="F967" s="296"/>
      <c r="G967" s="296"/>
      <c r="H967" s="296"/>
      <c r="I967" s="296"/>
      <c r="J967" s="296"/>
      <c r="K967" s="296"/>
      <c r="L967" s="296"/>
      <c r="M967" s="296"/>
      <c r="N967" s="296"/>
      <c r="O967" s="297"/>
      <c r="P967" s="266"/>
      <c r="Q967" s="266"/>
    </row>
    <row r="968" spans="1:17" x14ac:dyDescent="0.2">
      <c r="A968" s="284" t="s">
        <v>205</v>
      </c>
      <c r="B968" s="266"/>
      <c r="C968" s="266"/>
      <c r="D968" s="266"/>
      <c r="E968" s="266"/>
      <c r="F968" s="266"/>
      <c r="G968" s="266"/>
      <c r="H968" s="266"/>
      <c r="I968" s="266"/>
      <c r="J968" s="266"/>
      <c r="K968" s="266"/>
      <c r="L968" s="266"/>
      <c r="M968" s="266"/>
      <c r="N968" s="266"/>
      <c r="O968" s="285"/>
      <c r="P968" s="266"/>
      <c r="Q968" s="266"/>
    </row>
    <row r="969" spans="1:17" x14ac:dyDescent="0.2">
      <c r="A969" s="284" t="s">
        <v>206</v>
      </c>
      <c r="B969" s="266"/>
      <c r="C969" s="266"/>
      <c r="D969" s="266"/>
      <c r="E969" s="266"/>
      <c r="F969" s="266"/>
      <c r="G969" s="266"/>
      <c r="H969" s="266"/>
      <c r="I969" s="266"/>
      <c r="J969" s="266"/>
      <c r="K969" s="266"/>
      <c r="L969" s="266"/>
      <c r="M969" s="266"/>
      <c r="N969" s="266"/>
      <c r="O969" s="285"/>
      <c r="P969" s="266"/>
      <c r="Q969" s="266"/>
    </row>
    <row r="970" spans="1:17" x14ac:dyDescent="0.2">
      <c r="A970" s="284" t="s">
        <v>245</v>
      </c>
      <c r="B970" s="266"/>
      <c r="C970" s="266"/>
      <c r="D970" s="266"/>
      <c r="E970" s="266"/>
      <c r="F970" s="266"/>
      <c r="G970" s="266"/>
      <c r="H970" s="266"/>
      <c r="I970" s="266"/>
      <c r="J970" s="266"/>
      <c r="K970" s="266"/>
      <c r="L970" s="266"/>
      <c r="M970" s="266"/>
      <c r="N970" s="266"/>
      <c r="O970" s="285"/>
      <c r="P970" s="266"/>
      <c r="Q970" s="266"/>
    </row>
    <row r="971" spans="1:17" x14ac:dyDescent="0.2">
      <c r="A971" s="284" t="s">
        <v>246</v>
      </c>
      <c r="B971" s="298"/>
      <c r="C971" s="299"/>
      <c r="D971" s="300"/>
      <c r="E971" s="266"/>
      <c r="F971" s="266"/>
      <c r="G971" s="299"/>
      <c r="H971" s="266"/>
      <c r="I971" s="266"/>
      <c r="J971" s="266"/>
      <c r="K971" s="266"/>
      <c r="L971" s="266"/>
      <c r="M971" s="266"/>
      <c r="N971" s="266"/>
      <c r="O971" s="285"/>
      <c r="P971" s="266"/>
      <c r="Q971" s="266"/>
    </row>
    <row r="972" spans="1:17" x14ac:dyDescent="0.2">
      <c r="A972" s="284" t="s">
        <v>247</v>
      </c>
      <c r="B972" s="266"/>
      <c r="C972" s="266"/>
      <c r="D972" s="266"/>
      <c r="E972" s="266"/>
      <c r="F972" s="266"/>
      <c r="G972" s="495"/>
      <c r="H972" s="266"/>
      <c r="I972" s="266"/>
      <c r="J972" s="266"/>
      <c r="K972" s="266"/>
      <c r="L972" s="266"/>
      <c r="M972" s="266"/>
      <c r="N972" s="266"/>
      <c r="O972" s="285"/>
      <c r="P972" s="266"/>
      <c r="Q972" s="266"/>
    </row>
    <row r="973" spans="1:17" x14ac:dyDescent="0.2">
      <c r="A973" s="284" t="s">
        <v>290</v>
      </c>
      <c r="B973" s="266"/>
      <c r="C973" s="266"/>
      <c r="D973" s="266"/>
      <c r="E973" s="266"/>
      <c r="F973" s="266"/>
      <c r="G973" s="266"/>
      <c r="H973" s="266"/>
      <c r="I973" s="266"/>
      <c r="J973" s="266"/>
      <c r="K973" s="266"/>
      <c r="L973" s="266"/>
      <c r="M973" s="266"/>
      <c r="N973" s="266"/>
      <c r="O973" s="285"/>
      <c r="P973" s="266"/>
      <c r="Q973" s="266"/>
    </row>
    <row r="974" spans="1:17" x14ac:dyDescent="0.2">
      <c r="A974" s="284" t="s">
        <v>248</v>
      </c>
      <c r="B974" s="266"/>
      <c r="C974" s="266"/>
      <c r="D974" s="266"/>
      <c r="E974" s="266"/>
      <c r="F974" s="266"/>
      <c r="G974" s="495"/>
      <c r="H974" s="266"/>
      <c r="I974" s="266"/>
      <c r="J974" s="266"/>
      <c r="K974" s="266"/>
      <c r="L974" s="266"/>
      <c r="M974" s="266"/>
      <c r="N974" s="266"/>
      <c r="O974" s="285"/>
      <c r="P974" s="266"/>
      <c r="Q974" s="266"/>
    </row>
    <row r="975" spans="1:17" x14ac:dyDescent="0.2">
      <c r="A975" s="284" t="s">
        <v>243</v>
      </c>
      <c r="B975" s="266"/>
      <c r="C975" s="266"/>
      <c r="D975" s="266"/>
      <c r="E975" s="266"/>
      <c r="F975" s="266"/>
      <c r="G975" s="495"/>
      <c r="H975" s="266"/>
      <c r="I975" s="266"/>
      <c r="J975" s="266"/>
      <c r="K975" s="266"/>
      <c r="L975" s="266"/>
      <c r="M975" s="266"/>
      <c r="N975" s="266"/>
      <c r="O975" s="285"/>
      <c r="P975" s="266"/>
      <c r="Q975" s="266"/>
    </row>
    <row r="976" spans="1:17" x14ac:dyDescent="0.2">
      <c r="A976" s="301" t="s">
        <v>244</v>
      </c>
      <c r="B976" s="266"/>
      <c r="C976" s="266"/>
      <c r="D976" s="266"/>
      <c r="E976" s="266"/>
      <c r="F976" s="266"/>
      <c r="G976" s="266"/>
      <c r="H976" s="266"/>
      <c r="I976" s="266"/>
      <c r="J976" s="266"/>
      <c r="K976" s="266"/>
      <c r="L976" s="266"/>
      <c r="M976" s="266"/>
      <c r="N976" s="266"/>
      <c r="O976" s="285"/>
      <c r="P976" s="266"/>
      <c r="Q976" s="266"/>
    </row>
    <row r="977" spans="1:17" x14ac:dyDescent="0.2">
      <c r="A977" s="301" t="s">
        <v>221</v>
      </c>
      <c r="B977" s="266"/>
      <c r="C977" s="266"/>
      <c r="D977" s="266"/>
      <c r="E977" s="266"/>
      <c r="F977" s="266"/>
      <c r="G977" s="266"/>
      <c r="H977" s="266"/>
      <c r="I977" s="266"/>
      <c r="J977" s="266"/>
      <c r="K977" s="266"/>
      <c r="L977" s="266"/>
      <c r="M977" s="266"/>
      <c r="N977" s="266"/>
      <c r="O977" s="285"/>
      <c r="P977" s="266"/>
      <c r="Q977" s="266"/>
    </row>
    <row r="978" spans="1:17" x14ac:dyDescent="0.2">
      <c r="A978" s="301" t="s">
        <v>289</v>
      </c>
      <c r="B978" s="266"/>
      <c r="C978" s="266"/>
      <c r="D978" s="266"/>
      <c r="E978" s="266"/>
      <c r="F978" s="266"/>
      <c r="G978" s="266"/>
      <c r="H978" s="266"/>
      <c r="I978" s="266"/>
      <c r="J978" s="266"/>
      <c r="K978" s="266"/>
      <c r="L978" s="266"/>
      <c r="M978" s="266"/>
      <c r="N978" s="266"/>
      <c r="O978" s="285"/>
      <c r="P978" s="266"/>
      <c r="Q978" s="266"/>
    </row>
    <row r="979" spans="1:17" ht="13.15" customHeight="1" x14ac:dyDescent="0.2">
      <c r="A979" s="301" t="s">
        <v>401</v>
      </c>
      <c r="B979" s="266"/>
      <c r="C979" s="266"/>
      <c r="D979" s="266"/>
      <c r="E979" s="266"/>
      <c r="F979" s="266"/>
      <c r="G979" s="266"/>
      <c r="H979" s="266"/>
      <c r="I979" s="266"/>
      <c r="J979" s="266"/>
      <c r="K979" s="266"/>
      <c r="L979" s="266"/>
      <c r="M979" s="266"/>
      <c r="N979" s="266"/>
      <c r="O979" s="285"/>
      <c r="P979" s="266"/>
      <c r="Q979" s="266"/>
    </row>
    <row r="980" spans="1:17" ht="13.15" customHeight="1" x14ac:dyDescent="0.2">
      <c r="A980" s="301" t="s">
        <v>621</v>
      </c>
      <c r="B980" s="266"/>
      <c r="C980" s="266"/>
      <c r="D980" s="266"/>
      <c r="E980" s="266"/>
      <c r="F980" s="266"/>
      <c r="G980" s="266"/>
      <c r="H980" s="266"/>
      <c r="I980" s="266"/>
      <c r="J980" s="266"/>
      <c r="K980" s="266"/>
      <c r="L980" s="266"/>
      <c r="M980" s="266"/>
      <c r="N980" s="266"/>
      <c r="O980" s="285"/>
      <c r="P980" s="266"/>
      <c r="Q980" s="266"/>
    </row>
    <row r="981" spans="1:17" ht="13.15" customHeight="1" x14ac:dyDescent="0.2">
      <c r="A981" s="301" t="s">
        <v>743</v>
      </c>
      <c r="B981" s="266"/>
      <c r="C981" s="266"/>
      <c r="D981" s="266"/>
      <c r="E981" s="266"/>
      <c r="F981" s="266"/>
      <c r="G981" s="266"/>
      <c r="H981" s="266"/>
      <c r="I981" s="266"/>
      <c r="J981" s="266"/>
      <c r="K981" s="266"/>
      <c r="L981" s="266"/>
      <c r="M981" s="266"/>
      <c r="N981" s="266"/>
      <c r="O981" s="285"/>
      <c r="P981" s="266"/>
      <c r="Q981" s="266"/>
    </row>
    <row r="982" spans="1:17" ht="13.15" customHeight="1" x14ac:dyDescent="0.2">
      <c r="A982" s="497" t="s">
        <v>662</v>
      </c>
      <c r="B982" s="266"/>
      <c r="C982" s="266"/>
      <c r="D982" s="266"/>
      <c r="E982" s="266"/>
      <c r="F982" s="266"/>
      <c r="G982" s="266"/>
      <c r="H982" s="266"/>
      <c r="I982" s="266"/>
      <c r="J982" s="266"/>
      <c r="K982" s="266"/>
      <c r="L982" s="266"/>
      <c r="M982" s="266"/>
      <c r="N982" s="266"/>
      <c r="O982" s="285"/>
      <c r="P982" s="266"/>
      <c r="Q982" s="266"/>
    </row>
    <row r="983" spans="1:17" ht="13.15" customHeight="1" x14ac:dyDescent="0.2">
      <c r="A983" s="398" t="s">
        <v>744</v>
      </c>
      <c r="B983" s="329"/>
      <c r="C983" s="329"/>
      <c r="D983" s="329"/>
      <c r="E983" s="329"/>
      <c r="F983" s="329"/>
      <c r="G983" s="329"/>
      <c r="H983" s="329"/>
      <c r="I983" s="329"/>
      <c r="J983" s="329"/>
      <c r="K983" s="329"/>
      <c r="L983" s="329"/>
      <c r="M983" s="329"/>
      <c r="N983" s="329"/>
      <c r="O983" s="330"/>
      <c r="P983" s="266"/>
      <c r="Q983" s="266"/>
    </row>
    <row r="984" spans="1:17" x14ac:dyDescent="0.2">
      <c r="A984" s="258"/>
      <c r="C984" s="271"/>
    </row>
    <row r="985" spans="1:17" x14ac:dyDescent="0.2">
      <c r="A985" s="324" t="s">
        <v>14</v>
      </c>
      <c r="B985" s="275" t="s">
        <v>82</v>
      </c>
      <c r="C985" s="321" t="s">
        <v>15</v>
      </c>
      <c r="D985" s="266"/>
      <c r="E985" s="266"/>
      <c r="F985" s="266"/>
      <c r="G985" s="266"/>
      <c r="H985" s="266"/>
      <c r="I985" s="266"/>
      <c r="J985" s="266"/>
      <c r="K985" s="266"/>
      <c r="L985" s="266"/>
      <c r="M985" s="266"/>
      <c r="N985" s="266"/>
    </row>
    <row r="986" spans="1:17" x14ac:dyDescent="0.2">
      <c r="A986" s="288" t="s">
        <v>16</v>
      </c>
      <c r="B986" s="325">
        <v>2008</v>
      </c>
      <c r="C986" s="326">
        <v>2009</v>
      </c>
      <c r="D986" s="326">
        <v>2010</v>
      </c>
      <c r="E986" s="326">
        <v>2011</v>
      </c>
      <c r="F986" s="325">
        <v>2012</v>
      </c>
      <c r="G986" s="325">
        <v>2013</v>
      </c>
      <c r="H986" s="325">
        <v>2014</v>
      </c>
      <c r="I986" s="325">
        <v>2015</v>
      </c>
      <c r="J986" s="325">
        <v>2016</v>
      </c>
      <c r="K986" s="325">
        <v>2017</v>
      </c>
      <c r="L986" s="325">
        <v>2018</v>
      </c>
      <c r="M986" s="325">
        <v>2019</v>
      </c>
      <c r="N986" s="325">
        <v>2020</v>
      </c>
      <c r="O986" s="325">
        <v>2021</v>
      </c>
      <c r="P986" s="57">
        <v>2022</v>
      </c>
    </row>
    <row r="987" spans="1:17" x14ac:dyDescent="0.2">
      <c r="A987" s="276" t="s">
        <v>17</v>
      </c>
      <c r="B987" s="293">
        <v>839.5</v>
      </c>
      <c r="C987" s="293">
        <v>839.5</v>
      </c>
      <c r="D987" s="293">
        <v>839.5</v>
      </c>
      <c r="E987" s="293">
        <v>839.5</v>
      </c>
      <c r="F987" s="328">
        <v>503.7</v>
      </c>
      <c r="G987" s="328">
        <v>390</v>
      </c>
      <c r="H987" s="328">
        <v>390</v>
      </c>
      <c r="I987" s="328">
        <v>390</v>
      </c>
      <c r="J987" s="328">
        <v>390</v>
      </c>
      <c r="K987" s="328">
        <v>390</v>
      </c>
      <c r="L987" s="328">
        <v>390</v>
      </c>
      <c r="M987" s="328">
        <v>390</v>
      </c>
      <c r="N987" s="328">
        <v>328.1</v>
      </c>
      <c r="O987" s="328">
        <v>328.1</v>
      </c>
      <c r="P987" s="23">
        <v>328.1</v>
      </c>
    </row>
    <row r="988" spans="1:17" x14ac:dyDescent="0.2">
      <c r="A988" s="278" t="s">
        <v>18</v>
      </c>
      <c r="B988" s="293">
        <v>839.5</v>
      </c>
      <c r="C988" s="293">
        <v>839.5</v>
      </c>
      <c r="D988" s="293">
        <v>839.5</v>
      </c>
      <c r="E988" s="293">
        <v>839.5</v>
      </c>
      <c r="F988" s="293">
        <v>503.7</v>
      </c>
      <c r="G988" s="328">
        <v>390</v>
      </c>
      <c r="H988" s="328">
        <v>390</v>
      </c>
      <c r="I988" s="328">
        <v>429</v>
      </c>
      <c r="J988" s="328">
        <v>429</v>
      </c>
      <c r="K988" s="328">
        <v>429</v>
      </c>
      <c r="L988" s="328">
        <v>406.6</v>
      </c>
      <c r="M988" s="328">
        <v>429</v>
      </c>
      <c r="N988" s="328">
        <v>367.1</v>
      </c>
      <c r="O988" s="328">
        <v>367.1</v>
      </c>
      <c r="P988" s="23"/>
    </row>
    <row r="989" spans="1:17" x14ac:dyDescent="0.2">
      <c r="A989" s="278" t="s">
        <v>19</v>
      </c>
      <c r="B989" s="293"/>
      <c r="C989" s="331"/>
      <c r="D989" s="293"/>
      <c r="E989" s="328"/>
      <c r="F989" s="328"/>
      <c r="G989" s="328"/>
      <c r="H989" s="328"/>
      <c r="I989" s="328"/>
      <c r="J989" s="328"/>
      <c r="K989" s="328"/>
      <c r="L989" s="328"/>
      <c r="M989" s="328"/>
      <c r="N989" s="328"/>
      <c r="O989" s="328"/>
      <c r="P989" s="23"/>
    </row>
    <row r="990" spans="1:17" x14ac:dyDescent="0.2">
      <c r="A990" s="278" t="s">
        <v>20</v>
      </c>
      <c r="B990" s="293">
        <v>704.14</v>
      </c>
      <c r="C990" s="293">
        <v>553.45920000000001</v>
      </c>
      <c r="D990" s="293">
        <v>425.98559999999998</v>
      </c>
      <c r="E990" s="293">
        <v>478</v>
      </c>
      <c r="F990" s="328">
        <v>305.5</v>
      </c>
      <c r="G990" s="328">
        <v>231.5</v>
      </c>
      <c r="H990" s="328">
        <v>288.8</v>
      </c>
      <c r="I990" s="328">
        <v>261.5</v>
      </c>
      <c r="J990" s="328">
        <v>412.4</v>
      </c>
      <c r="K990" s="328">
        <v>308.10000000000002</v>
      </c>
      <c r="L990" s="328">
        <v>352.2</v>
      </c>
      <c r="M990" s="328">
        <v>336.88949500000001</v>
      </c>
      <c r="N990" s="328">
        <v>285.10000000000002</v>
      </c>
      <c r="O990" s="328">
        <v>144.5</v>
      </c>
      <c r="P990" s="23"/>
    </row>
    <row r="991" spans="1:17" x14ac:dyDescent="0.2">
      <c r="A991" s="278" t="s">
        <v>21</v>
      </c>
      <c r="B991" s="293">
        <v>135.36000000000001</v>
      </c>
      <c r="C991" s="293">
        <v>286.04079999999999</v>
      </c>
      <c r="D991" s="293">
        <v>413.51440000000002</v>
      </c>
      <c r="E991" s="293">
        <v>361.5</v>
      </c>
      <c r="F991" s="293">
        <v>198.2</v>
      </c>
      <c r="G991" s="328">
        <v>158.5</v>
      </c>
      <c r="H991" s="328">
        <v>101.19999999999999</v>
      </c>
      <c r="I991" s="328">
        <v>167.5</v>
      </c>
      <c r="J991" s="328">
        <v>16.600000000000023</v>
      </c>
      <c r="K991" s="328">
        <v>120.89999999999998</v>
      </c>
      <c r="L991" s="328">
        <v>54.400000000000034</v>
      </c>
      <c r="M991" s="328">
        <v>92.110504999999989</v>
      </c>
      <c r="N991" s="328">
        <f>N988-N990</f>
        <v>82</v>
      </c>
      <c r="O991" s="328">
        <f>O988-O990</f>
        <v>222.60000000000002</v>
      </c>
      <c r="P991" s="23"/>
    </row>
    <row r="992" spans="1:17" x14ac:dyDescent="0.2">
      <c r="A992" s="281" t="s">
        <v>22</v>
      </c>
      <c r="B992" s="294"/>
      <c r="C992" s="282"/>
      <c r="D992" s="294"/>
      <c r="E992" s="283"/>
      <c r="F992" s="283"/>
      <c r="G992" s="283"/>
      <c r="H992" s="283"/>
      <c r="I992" s="283"/>
      <c r="J992" s="283"/>
      <c r="K992" s="283"/>
      <c r="L992" s="283"/>
      <c r="M992" s="332"/>
      <c r="N992" s="332"/>
      <c r="O992" s="332"/>
      <c r="P992" s="36"/>
    </row>
    <row r="993" spans="1:16" x14ac:dyDescent="0.2">
      <c r="A993" s="278" t="s">
        <v>188</v>
      </c>
      <c r="B993" s="296"/>
      <c r="C993" s="296"/>
      <c r="D993" s="296"/>
      <c r="E993" s="296"/>
      <c r="F993" s="296"/>
      <c r="G993" s="296"/>
      <c r="H993" s="296"/>
      <c r="I993" s="296"/>
      <c r="J993" s="296"/>
      <c r="K993" s="296"/>
      <c r="L993" s="296"/>
      <c r="M993" s="296"/>
      <c r="N993" s="296"/>
      <c r="O993" s="296"/>
      <c r="P993" s="62"/>
    </row>
    <row r="994" spans="1:16" x14ac:dyDescent="0.2">
      <c r="A994" s="284" t="s">
        <v>207</v>
      </c>
      <c r="B994" s="266"/>
      <c r="C994" s="266"/>
      <c r="D994" s="266"/>
      <c r="E994" s="266"/>
      <c r="F994" s="266"/>
      <c r="G994" s="266"/>
      <c r="H994" s="266"/>
      <c r="I994" s="266"/>
      <c r="J994" s="266"/>
      <c r="K994" s="266"/>
      <c r="L994" s="266"/>
      <c r="M994" s="266"/>
      <c r="N994" s="266"/>
      <c r="O994" s="266"/>
      <c r="P994" s="21"/>
    </row>
    <row r="995" spans="1:16" x14ac:dyDescent="0.2">
      <c r="A995" s="284" t="s">
        <v>208</v>
      </c>
      <c r="B995" s="266"/>
      <c r="C995" s="266"/>
      <c r="D995" s="266"/>
      <c r="E995" s="266"/>
      <c r="F995" s="266"/>
      <c r="G995" s="266"/>
      <c r="H995" s="266"/>
      <c r="I995" s="266"/>
      <c r="J995" s="266"/>
      <c r="K995" s="266"/>
      <c r="L995" s="266"/>
      <c r="M995" s="266"/>
      <c r="N995" s="266"/>
      <c r="O995" s="266"/>
      <c r="P995" s="21"/>
    </row>
    <row r="996" spans="1:16" x14ac:dyDescent="0.2">
      <c r="A996" s="284" t="s">
        <v>249</v>
      </c>
      <c r="B996" s="266"/>
      <c r="C996" s="266"/>
      <c r="D996" s="266"/>
      <c r="E996" s="266"/>
      <c r="F996" s="266"/>
      <c r="G996" s="266"/>
      <c r="H996" s="266"/>
      <c r="I996" s="266"/>
      <c r="J996" s="266"/>
      <c r="K996" s="266"/>
      <c r="L996" s="266"/>
      <c r="M996" s="266"/>
      <c r="N996" s="266"/>
      <c r="O996" s="266"/>
      <c r="P996" s="21"/>
    </row>
    <row r="997" spans="1:16" x14ac:dyDescent="0.2">
      <c r="A997" s="284" t="s">
        <v>250</v>
      </c>
      <c r="B997" s="266"/>
      <c r="C997" s="266"/>
      <c r="D997" s="266"/>
      <c r="E997" s="266"/>
      <c r="F997" s="266"/>
      <c r="G997" s="266"/>
      <c r="H997" s="299"/>
      <c r="I997" s="266"/>
      <c r="J997" s="266"/>
      <c r="K997" s="266"/>
      <c r="L997" s="266"/>
      <c r="M997" s="266"/>
      <c r="N997" s="266"/>
      <c r="O997" s="266"/>
      <c r="P997" s="21"/>
    </row>
    <row r="998" spans="1:16" x14ac:dyDescent="0.2">
      <c r="A998" s="284" t="s">
        <v>291</v>
      </c>
      <c r="B998" s="266"/>
      <c r="C998" s="266"/>
      <c r="D998" s="266"/>
      <c r="E998" s="266"/>
      <c r="F998" s="266"/>
      <c r="G998" s="266"/>
      <c r="H998" s="299"/>
      <c r="I998" s="266"/>
      <c r="J998" s="266"/>
      <c r="K998" s="266"/>
      <c r="L998" s="266"/>
      <c r="M998" s="266"/>
      <c r="N998" s="266"/>
      <c r="O998" s="266"/>
      <c r="P998" s="21"/>
    </row>
    <row r="999" spans="1:16" x14ac:dyDescent="0.2">
      <c r="A999" s="284" t="s">
        <v>292</v>
      </c>
      <c r="B999" s="266"/>
      <c r="C999" s="266"/>
      <c r="D999" s="266"/>
      <c r="E999" s="266"/>
      <c r="F999" s="266"/>
      <c r="G999" s="266"/>
      <c r="H999" s="299"/>
      <c r="I999" s="266"/>
      <c r="J999" s="266"/>
      <c r="K999" s="266"/>
      <c r="L999" s="266"/>
      <c r="M999" s="266"/>
      <c r="N999" s="266"/>
      <c r="O999" s="266"/>
      <c r="P999" s="21"/>
    </row>
    <row r="1000" spans="1:16" x14ac:dyDescent="0.2">
      <c r="A1000" s="284" t="s">
        <v>293</v>
      </c>
      <c r="B1000" s="266"/>
      <c r="C1000" s="266"/>
      <c r="D1000" s="266"/>
      <c r="E1000" s="266"/>
      <c r="F1000" s="266"/>
      <c r="G1000" s="266"/>
      <c r="H1000" s="299"/>
      <c r="I1000" s="266"/>
      <c r="J1000" s="266"/>
      <c r="K1000" s="266"/>
      <c r="L1000" s="266"/>
      <c r="M1000" s="266"/>
      <c r="N1000" s="266"/>
      <c r="O1000" s="266"/>
      <c r="P1000" s="21"/>
    </row>
    <row r="1001" spans="1:16" x14ac:dyDescent="0.2">
      <c r="A1001" s="284" t="s">
        <v>508</v>
      </c>
      <c r="B1001" s="266"/>
      <c r="C1001" s="266"/>
      <c r="D1001" s="266"/>
      <c r="E1001" s="266"/>
      <c r="F1001" s="266"/>
      <c r="G1001" s="266"/>
      <c r="H1001" s="299"/>
      <c r="I1001" s="266"/>
      <c r="J1001" s="266"/>
      <c r="K1001" s="266"/>
      <c r="L1001" s="266"/>
      <c r="M1001" s="266"/>
      <c r="N1001" s="266"/>
      <c r="O1001" s="266"/>
      <c r="P1001" s="21"/>
    </row>
    <row r="1002" spans="1:16" x14ac:dyDescent="0.2">
      <c r="A1002" s="276" t="s">
        <v>745</v>
      </c>
      <c r="B1002" s="289"/>
      <c r="C1002" s="289"/>
      <c r="D1002" s="289"/>
      <c r="E1002" s="289"/>
      <c r="F1002" s="289"/>
      <c r="G1002" s="289"/>
      <c r="H1002" s="333"/>
      <c r="I1002" s="289"/>
      <c r="J1002" s="289"/>
      <c r="K1002" s="289"/>
      <c r="L1002" s="289"/>
      <c r="M1002" s="289"/>
      <c r="N1002" s="289"/>
      <c r="O1002" s="289"/>
      <c r="P1002" s="34"/>
    </row>
    <row r="1003" spans="1:16" x14ac:dyDescent="0.2">
      <c r="A1003" s="258"/>
      <c r="C1003" s="271"/>
    </row>
    <row r="1004" spans="1:16" x14ac:dyDescent="0.2">
      <c r="A1004" s="274" t="s">
        <v>14</v>
      </c>
      <c r="B1004" s="275" t="s">
        <v>87</v>
      </c>
      <c r="C1004" s="321" t="s">
        <v>15</v>
      </c>
      <c r="D1004" s="266"/>
      <c r="E1004" s="266"/>
      <c r="F1004" s="266"/>
      <c r="G1004" s="266"/>
      <c r="H1004" s="266"/>
      <c r="I1004" s="266"/>
      <c r="J1004" s="266"/>
      <c r="K1004" s="266"/>
      <c r="L1004" s="266"/>
      <c r="M1004" s="266"/>
      <c r="N1004" s="266"/>
    </row>
    <row r="1005" spans="1:16" x14ac:dyDescent="0.2">
      <c r="A1005" s="278" t="s">
        <v>16</v>
      </c>
      <c r="B1005" s="292">
        <v>2008</v>
      </c>
      <c r="C1005" s="292">
        <v>2009</v>
      </c>
      <c r="D1005" s="292">
        <v>2010</v>
      </c>
      <c r="E1005" s="292">
        <v>2011</v>
      </c>
      <c r="F1005" s="292">
        <v>2012</v>
      </c>
      <c r="G1005" s="292">
        <v>2013</v>
      </c>
      <c r="H1005" s="292">
        <v>2014</v>
      </c>
      <c r="I1005" s="292">
        <v>2015</v>
      </c>
      <c r="J1005" s="292">
        <v>2016</v>
      </c>
      <c r="K1005" s="292">
        <v>2017</v>
      </c>
      <c r="L1005" s="292">
        <v>2018</v>
      </c>
      <c r="M1005" s="292">
        <v>2019</v>
      </c>
      <c r="N1005" s="292">
        <v>2020</v>
      </c>
      <c r="O1005" s="292">
        <v>2021</v>
      </c>
      <c r="P1005" s="57">
        <v>2022</v>
      </c>
    </row>
    <row r="1006" spans="1:16" x14ac:dyDescent="0.2">
      <c r="A1006" s="278" t="s">
        <v>17</v>
      </c>
      <c r="B1006" s="293">
        <v>37</v>
      </c>
      <c r="C1006" s="293">
        <v>37</v>
      </c>
      <c r="D1006" s="293">
        <v>37</v>
      </c>
      <c r="E1006" s="293">
        <v>37</v>
      </c>
      <c r="F1006" s="293">
        <v>33.6</v>
      </c>
      <c r="G1006" s="293">
        <v>35</v>
      </c>
      <c r="H1006" s="293">
        <v>35</v>
      </c>
      <c r="I1006" s="293">
        <v>35</v>
      </c>
      <c r="J1006" s="293">
        <v>35</v>
      </c>
      <c r="K1006" s="293">
        <v>35</v>
      </c>
      <c r="L1006" s="293">
        <v>35</v>
      </c>
      <c r="M1006" s="293">
        <v>35</v>
      </c>
      <c r="N1006" s="293">
        <v>35</v>
      </c>
      <c r="O1006" s="293">
        <v>35</v>
      </c>
      <c r="P1006" s="23">
        <v>35</v>
      </c>
    </row>
    <row r="1007" spans="1:16" x14ac:dyDescent="0.2">
      <c r="A1007" s="278" t="s">
        <v>18</v>
      </c>
      <c r="B1007" s="293">
        <v>37</v>
      </c>
      <c r="C1007" s="293">
        <v>37</v>
      </c>
      <c r="D1007" s="293">
        <v>37</v>
      </c>
      <c r="E1007" s="293">
        <v>37</v>
      </c>
      <c r="F1007" s="293">
        <v>33.6</v>
      </c>
      <c r="G1007" s="293">
        <v>35</v>
      </c>
      <c r="H1007" s="293">
        <v>35</v>
      </c>
      <c r="I1007" s="293">
        <v>42</v>
      </c>
      <c r="J1007" s="293">
        <v>42</v>
      </c>
      <c r="K1007" s="293">
        <v>42</v>
      </c>
      <c r="L1007" s="293">
        <v>42</v>
      </c>
      <c r="M1007" s="293">
        <v>42</v>
      </c>
      <c r="N1007" s="293">
        <v>42</v>
      </c>
      <c r="O1007" s="293">
        <v>42</v>
      </c>
      <c r="P1007" s="23"/>
    </row>
    <row r="1008" spans="1:16" x14ac:dyDescent="0.2">
      <c r="A1008" s="278" t="s">
        <v>19</v>
      </c>
      <c r="B1008" s="293"/>
      <c r="C1008" s="293"/>
      <c r="D1008" s="293"/>
      <c r="E1008" s="293"/>
      <c r="F1008" s="293"/>
      <c r="G1008" s="293"/>
      <c r="H1008" s="293"/>
      <c r="I1008" s="293"/>
      <c r="J1008" s="293"/>
      <c r="K1008" s="293"/>
      <c r="L1008" s="293"/>
      <c r="M1008" s="293"/>
      <c r="N1008" s="293"/>
      <c r="O1008" s="293"/>
      <c r="P1008" s="23"/>
    </row>
    <row r="1009" spans="1:16" x14ac:dyDescent="0.2">
      <c r="A1009" s="278" t="s">
        <v>20</v>
      </c>
      <c r="B1009" s="293">
        <v>28.84</v>
      </c>
      <c r="C1009" s="293">
        <v>28.802399999999999</v>
      </c>
      <c r="D1009" s="293">
        <v>40.781999999999996</v>
      </c>
      <c r="E1009" s="293">
        <v>27.9</v>
      </c>
      <c r="F1009" s="293">
        <v>49.6</v>
      </c>
      <c r="G1009" s="293">
        <v>16.899999999999999</v>
      </c>
      <c r="H1009" s="293">
        <v>5.7</v>
      </c>
      <c r="I1009" s="293">
        <v>9.9</v>
      </c>
      <c r="J1009" s="293">
        <v>12.6</v>
      </c>
      <c r="K1009" s="293">
        <v>9.1999999999999993</v>
      </c>
      <c r="L1009" s="293">
        <v>14.4</v>
      </c>
      <c r="M1009" s="293">
        <v>10.852466</v>
      </c>
      <c r="N1009" s="293">
        <v>7.9</v>
      </c>
      <c r="O1009" s="293">
        <v>2.1</v>
      </c>
      <c r="P1009" s="23"/>
    </row>
    <row r="1010" spans="1:16" x14ac:dyDescent="0.2">
      <c r="A1010" s="278" t="s">
        <v>21</v>
      </c>
      <c r="B1010" s="293">
        <v>8.16</v>
      </c>
      <c r="C1010" s="293">
        <v>8.1976000000000013</v>
      </c>
      <c r="D1010" s="293">
        <v>3.782</v>
      </c>
      <c r="E1010" s="293">
        <v>9.1000000000000014</v>
      </c>
      <c r="F1010" s="293">
        <v>16</v>
      </c>
      <c r="G1010" s="293">
        <v>18.100000000000001</v>
      </c>
      <c r="H1010" s="293">
        <v>29.3</v>
      </c>
      <c r="I1010" s="293">
        <v>32.1</v>
      </c>
      <c r="J1010" s="293">
        <v>29.4</v>
      </c>
      <c r="K1010" s="293">
        <v>32.799999999999997</v>
      </c>
      <c r="L1010" s="293">
        <v>27.6</v>
      </c>
      <c r="M1010" s="293">
        <v>31.147534</v>
      </c>
      <c r="N1010" s="293">
        <f>N1007-N1009</f>
        <v>34.1</v>
      </c>
      <c r="O1010" s="293">
        <f>O1007-O1009</f>
        <v>39.9</v>
      </c>
      <c r="P1010" s="23"/>
    </row>
    <row r="1011" spans="1:16" x14ac:dyDescent="0.2">
      <c r="A1011" s="281" t="s">
        <v>22</v>
      </c>
      <c r="B1011" s="315"/>
      <c r="C1011" s="334"/>
      <c r="D1011" s="315"/>
      <c r="E1011" s="332"/>
      <c r="F1011" s="315"/>
      <c r="G1011" s="315"/>
      <c r="H1011" s="332"/>
      <c r="I1011" s="332"/>
      <c r="J1011" s="332"/>
      <c r="K1011" s="332"/>
      <c r="L1011" s="332"/>
      <c r="M1011" s="332"/>
      <c r="N1011" s="332"/>
      <c r="O1011" s="332"/>
      <c r="P1011" s="36"/>
    </row>
    <row r="1012" spans="1:16" x14ac:dyDescent="0.2">
      <c r="A1012" s="281" t="s">
        <v>188</v>
      </c>
      <c r="B1012" s="282"/>
      <c r="C1012" s="282"/>
      <c r="D1012" s="282"/>
      <c r="E1012" s="282"/>
      <c r="F1012" s="282"/>
      <c r="G1012" s="282"/>
      <c r="H1012" s="282"/>
      <c r="I1012" s="282"/>
      <c r="J1012" s="282"/>
      <c r="K1012" s="282"/>
      <c r="L1012" s="282"/>
      <c r="M1012" s="282"/>
      <c r="N1012" s="282"/>
      <c r="O1012" s="282"/>
      <c r="P1012" s="31"/>
    </row>
    <row r="1013" spans="1:16" x14ac:dyDescent="0.2">
      <c r="A1013" s="284" t="s">
        <v>209</v>
      </c>
      <c r="B1013" s="266"/>
      <c r="C1013" s="266"/>
      <c r="D1013" s="266"/>
      <c r="E1013" s="266"/>
      <c r="F1013" s="266"/>
      <c r="G1013" s="266"/>
      <c r="H1013" s="266"/>
      <c r="I1013" s="266"/>
      <c r="J1013" s="266"/>
      <c r="K1013" s="266"/>
      <c r="L1013" s="266"/>
      <c r="M1013" s="266"/>
      <c r="N1013" s="266"/>
      <c r="O1013" s="266"/>
      <c r="P1013" s="21"/>
    </row>
    <row r="1014" spans="1:16" x14ac:dyDescent="0.2">
      <c r="A1014" s="284" t="s">
        <v>210</v>
      </c>
      <c r="B1014" s="266"/>
      <c r="C1014" s="266"/>
      <c r="D1014" s="266"/>
      <c r="E1014" s="266"/>
      <c r="F1014" s="266"/>
      <c r="G1014" s="266"/>
      <c r="H1014" s="266"/>
      <c r="I1014" s="266"/>
      <c r="J1014" s="266"/>
      <c r="K1014" s="266"/>
      <c r="L1014" s="266"/>
      <c r="M1014" s="266"/>
      <c r="N1014" s="266"/>
      <c r="O1014" s="266"/>
      <c r="P1014" s="21"/>
    </row>
    <row r="1015" spans="1:16" x14ac:dyDescent="0.2">
      <c r="A1015" s="284" t="s">
        <v>222</v>
      </c>
      <c r="B1015" s="266"/>
      <c r="C1015" s="266"/>
      <c r="D1015" s="266"/>
      <c r="E1015" s="266"/>
      <c r="F1015" s="266"/>
      <c r="G1015" s="266"/>
      <c r="H1015" s="266"/>
      <c r="I1015" s="266"/>
      <c r="J1015" s="266"/>
      <c r="K1015" s="266"/>
      <c r="L1015" s="266"/>
      <c r="M1015" s="266"/>
      <c r="N1015" s="266"/>
      <c r="O1015" s="266"/>
      <c r="P1015" s="21"/>
    </row>
    <row r="1016" spans="1:16" x14ac:dyDescent="0.2">
      <c r="A1016" s="284" t="s">
        <v>223</v>
      </c>
      <c r="B1016" s="266"/>
      <c r="C1016" s="266"/>
      <c r="D1016" s="266"/>
      <c r="E1016" s="266"/>
      <c r="F1016" s="266"/>
      <c r="G1016" s="266"/>
      <c r="H1016" s="266"/>
      <c r="I1016" s="266"/>
      <c r="J1016" s="266"/>
      <c r="K1016" s="266"/>
      <c r="L1016" s="266"/>
      <c r="M1016" s="266"/>
      <c r="N1016" s="266"/>
      <c r="O1016" s="266"/>
      <c r="P1016" s="21"/>
    </row>
    <row r="1017" spans="1:16" x14ac:dyDescent="0.2">
      <c r="A1017" s="284" t="s">
        <v>224</v>
      </c>
      <c r="B1017" s="266"/>
      <c r="C1017" s="298"/>
      <c r="D1017" s="299"/>
      <c r="E1017" s="300"/>
      <c r="F1017" s="266"/>
      <c r="G1017" s="266"/>
      <c r="H1017" s="299"/>
      <c r="I1017" s="266"/>
      <c r="J1017" s="266"/>
      <c r="K1017" s="266"/>
      <c r="L1017" s="266"/>
      <c r="M1017" s="266"/>
      <c r="N1017" s="266"/>
      <c r="O1017" s="266"/>
      <c r="P1017" s="21"/>
    </row>
    <row r="1018" spans="1:16" x14ac:dyDescent="0.2">
      <c r="A1018" s="284" t="s">
        <v>251</v>
      </c>
      <c r="B1018" s="266"/>
      <c r="C1018" s="266"/>
      <c r="D1018" s="266"/>
      <c r="E1018" s="266"/>
      <c r="F1018" s="266"/>
      <c r="G1018" s="266"/>
      <c r="H1018" s="299"/>
      <c r="I1018" s="266"/>
      <c r="J1018" s="266"/>
      <c r="K1018" s="266"/>
      <c r="L1018" s="266"/>
      <c r="M1018" s="266"/>
      <c r="N1018" s="266"/>
      <c r="O1018" s="266"/>
      <c r="P1018" s="21"/>
    </row>
    <row r="1019" spans="1:16" x14ac:dyDescent="0.2">
      <c r="A1019" s="284" t="s">
        <v>294</v>
      </c>
      <c r="B1019" s="266"/>
      <c r="C1019" s="266"/>
      <c r="D1019" s="266"/>
      <c r="E1019" s="266"/>
      <c r="F1019" s="266"/>
      <c r="G1019" s="266"/>
      <c r="H1019" s="299"/>
      <c r="I1019" s="266"/>
      <c r="J1019" s="266"/>
      <c r="K1019" s="266"/>
      <c r="L1019" s="266"/>
      <c r="M1019" s="266"/>
      <c r="N1019" s="266"/>
      <c r="O1019" s="266"/>
      <c r="P1019" s="21"/>
    </row>
    <row r="1020" spans="1:16" x14ac:dyDescent="0.2">
      <c r="A1020" s="284" t="s">
        <v>295</v>
      </c>
      <c r="B1020" s="266"/>
      <c r="C1020" s="266"/>
      <c r="D1020" s="266"/>
      <c r="E1020" s="266"/>
      <c r="F1020" s="266"/>
      <c r="G1020" s="266"/>
      <c r="H1020" s="299"/>
      <c r="I1020" s="266"/>
      <c r="J1020" s="266"/>
      <c r="K1020" s="266"/>
      <c r="L1020" s="266"/>
      <c r="M1020" s="266"/>
      <c r="N1020" s="266"/>
      <c r="O1020" s="266"/>
      <c r="P1020" s="21"/>
    </row>
    <row r="1021" spans="1:16" x14ac:dyDescent="0.2">
      <c r="A1021" s="284" t="s">
        <v>296</v>
      </c>
      <c r="B1021" s="266"/>
      <c r="C1021" s="266"/>
      <c r="D1021" s="266"/>
      <c r="E1021" s="266"/>
      <c r="F1021" s="266"/>
      <c r="G1021" s="266"/>
      <c r="H1021" s="299"/>
      <c r="I1021" s="266"/>
      <c r="J1021" s="266"/>
      <c r="K1021" s="266"/>
      <c r="L1021" s="266"/>
      <c r="M1021" s="266"/>
      <c r="N1021" s="266"/>
      <c r="O1021" s="266"/>
      <c r="P1021" s="21"/>
    </row>
    <row r="1022" spans="1:16" x14ac:dyDescent="0.2">
      <c r="A1022" s="276" t="s">
        <v>746</v>
      </c>
      <c r="B1022" s="289"/>
      <c r="C1022" s="289"/>
      <c r="D1022" s="289"/>
      <c r="E1022" s="289"/>
      <c r="F1022" s="289"/>
      <c r="G1022" s="289"/>
      <c r="H1022" s="289"/>
      <c r="I1022" s="289"/>
      <c r="J1022" s="289"/>
      <c r="K1022" s="289"/>
      <c r="L1022" s="289"/>
      <c r="M1022" s="289"/>
      <c r="N1022" s="289"/>
      <c r="O1022" s="289"/>
      <c r="P1022" s="34"/>
    </row>
    <row r="1023" spans="1:16" x14ac:dyDescent="0.2">
      <c r="A1023" s="258"/>
      <c r="C1023" s="271"/>
    </row>
    <row r="1024" spans="1:16" s="335" customFormat="1" x14ac:dyDescent="0.2">
      <c r="A1024" s="274" t="s">
        <v>14</v>
      </c>
      <c r="B1024" s="275" t="s">
        <v>622</v>
      </c>
      <c r="C1024" s="275" t="s">
        <v>15</v>
      </c>
      <c r="D1024" s="266"/>
    </row>
    <row r="1025" spans="1:10" s="335" customFormat="1" x14ac:dyDescent="0.2">
      <c r="A1025" s="276" t="s">
        <v>16</v>
      </c>
      <c r="B1025" s="291">
        <v>2020</v>
      </c>
      <c r="C1025" s="292">
        <v>2021</v>
      </c>
      <c r="D1025" s="292">
        <v>2022</v>
      </c>
    </row>
    <row r="1026" spans="1:10" s="335" customFormat="1" x14ac:dyDescent="0.2">
      <c r="A1026" s="278" t="s">
        <v>17</v>
      </c>
      <c r="B1026" s="293">
        <v>4010</v>
      </c>
      <c r="C1026" s="293">
        <v>4010</v>
      </c>
      <c r="D1026" s="293">
        <v>4010</v>
      </c>
    </row>
    <row r="1027" spans="1:10" s="335" customFormat="1" x14ac:dyDescent="0.2">
      <c r="A1027" s="278" t="s">
        <v>18</v>
      </c>
      <c r="B1027" s="293">
        <v>4010</v>
      </c>
      <c r="C1027" s="293"/>
      <c r="D1027" s="293"/>
    </row>
    <row r="1028" spans="1:10" s="335" customFormat="1" x14ac:dyDescent="0.2">
      <c r="A1028" s="278" t="s">
        <v>19</v>
      </c>
      <c r="B1028" s="293"/>
      <c r="C1028" s="293"/>
      <c r="D1028" s="293"/>
    </row>
    <row r="1029" spans="1:10" s="335" customFormat="1" x14ac:dyDescent="0.2">
      <c r="A1029" s="278" t="s">
        <v>20</v>
      </c>
      <c r="B1029" s="293">
        <v>1896.6</v>
      </c>
      <c r="C1029" s="293">
        <v>847.5</v>
      </c>
      <c r="D1029" s="293"/>
    </row>
    <row r="1030" spans="1:10" s="335" customFormat="1" x14ac:dyDescent="0.2">
      <c r="A1030" s="278" t="s">
        <v>21</v>
      </c>
      <c r="B1030" s="293">
        <v>2113.4</v>
      </c>
      <c r="C1030" s="293">
        <f>C1026-C1029</f>
        <v>3162.5</v>
      </c>
      <c r="D1030" s="293"/>
    </row>
    <row r="1031" spans="1:10" s="335" customFormat="1" x14ac:dyDescent="0.2">
      <c r="A1031" s="281" t="s">
        <v>22</v>
      </c>
      <c r="B1031" s="315"/>
      <c r="C1031" s="315"/>
      <c r="D1031" s="315"/>
    </row>
    <row r="1032" spans="1:10" s="335" customFormat="1" x14ac:dyDescent="0.2">
      <c r="A1032" s="278" t="s">
        <v>23</v>
      </c>
      <c r="B1032" s="296"/>
      <c r="C1032" s="296"/>
      <c r="D1032" s="297"/>
    </row>
    <row r="1033" spans="1:10" s="335" customFormat="1" x14ac:dyDescent="0.2">
      <c r="A1033" s="284" t="s">
        <v>747</v>
      </c>
      <c r="B1033" s="266"/>
      <c r="C1033" s="266"/>
      <c r="D1033" s="285"/>
    </row>
    <row r="1034" spans="1:10" s="335" customFormat="1" x14ac:dyDescent="0.2">
      <c r="A1034" s="276" t="s">
        <v>748</v>
      </c>
      <c r="B1034" s="289"/>
      <c r="C1034" s="289"/>
      <c r="D1034" s="290"/>
    </row>
    <row r="1035" spans="1:10" x14ac:dyDescent="0.2">
      <c r="A1035" s="258"/>
      <c r="C1035" s="271"/>
    </row>
    <row r="1036" spans="1:10" x14ac:dyDescent="0.2">
      <c r="A1036" s="258"/>
      <c r="C1036" s="271"/>
    </row>
    <row r="1037" spans="1:10" x14ac:dyDescent="0.2">
      <c r="A1037" s="199" t="s">
        <v>783</v>
      </c>
      <c r="B1037" s="630" t="s">
        <v>782</v>
      </c>
      <c r="C1037" s="7"/>
      <c r="D1037" s="7"/>
      <c r="E1037" s="7"/>
      <c r="F1037" s="7"/>
      <c r="G1037" s="7"/>
    </row>
    <row r="1038" spans="1:10" x14ac:dyDescent="0.2">
      <c r="A1038" s="16" t="s">
        <v>14</v>
      </c>
      <c r="B1038" s="13" t="s">
        <v>709</v>
      </c>
      <c r="C1038" s="13" t="s">
        <v>15</v>
      </c>
      <c r="D1038" s="7"/>
      <c r="E1038" s="7"/>
      <c r="F1038" s="7"/>
      <c r="G1038" s="7"/>
    </row>
    <row r="1039" spans="1:10" x14ac:dyDescent="0.2">
      <c r="A1039" s="14" t="s">
        <v>16</v>
      </c>
      <c r="B1039" s="143">
        <v>2014</v>
      </c>
      <c r="C1039" s="88">
        <v>2015</v>
      </c>
      <c r="D1039" s="88">
        <v>2016</v>
      </c>
      <c r="E1039" s="88">
        <v>2017</v>
      </c>
      <c r="F1039" s="89">
        <v>2018</v>
      </c>
      <c r="G1039" s="89">
        <v>2019</v>
      </c>
      <c r="H1039" s="57">
        <v>2020</v>
      </c>
      <c r="I1039" s="57">
        <v>2021</v>
      </c>
      <c r="J1039" s="57">
        <v>2022</v>
      </c>
    </row>
    <row r="1040" spans="1:10" x14ac:dyDescent="0.2">
      <c r="A1040" s="8" t="s">
        <v>17</v>
      </c>
      <c r="B1040" s="29">
        <v>200</v>
      </c>
      <c r="C1040" s="29">
        <v>200</v>
      </c>
      <c r="D1040" s="29">
        <v>200</v>
      </c>
      <c r="E1040" s="29">
        <v>200</v>
      </c>
      <c r="F1040" s="48">
        <v>200</v>
      </c>
      <c r="G1040" s="48">
        <v>215</v>
      </c>
      <c r="H1040" s="48">
        <v>215</v>
      </c>
      <c r="I1040" s="48">
        <v>242</v>
      </c>
      <c r="J1040" s="48">
        <v>242</v>
      </c>
    </row>
    <row r="1041" spans="1:10" x14ac:dyDescent="0.2">
      <c r="A1041" s="8" t="s">
        <v>18</v>
      </c>
      <c r="B1041" s="29">
        <v>250</v>
      </c>
      <c r="C1041" s="29">
        <v>215.6</v>
      </c>
      <c r="D1041" s="29">
        <v>250</v>
      </c>
      <c r="E1041" s="29">
        <v>250</v>
      </c>
      <c r="F1041" s="48">
        <v>250</v>
      </c>
      <c r="G1041" s="48">
        <v>265</v>
      </c>
      <c r="H1041" s="48">
        <v>265</v>
      </c>
      <c r="I1041" s="48">
        <f>I1040+0.25*G1040</f>
        <v>295.75</v>
      </c>
      <c r="J1041" s="48">
        <f>J1040+0.25*H1040</f>
        <v>295.75</v>
      </c>
    </row>
    <row r="1042" spans="1:10" x14ac:dyDescent="0.2">
      <c r="A1042" s="8" t="s">
        <v>19</v>
      </c>
      <c r="B1042" s="11" t="s">
        <v>140</v>
      </c>
      <c r="C1042" s="12" t="s">
        <v>141</v>
      </c>
      <c r="D1042" s="12" t="s">
        <v>142</v>
      </c>
      <c r="E1042" s="12" t="s">
        <v>142</v>
      </c>
      <c r="F1042" s="12" t="s">
        <v>142</v>
      </c>
      <c r="G1042" s="12" t="s">
        <v>546</v>
      </c>
      <c r="H1042" s="12" t="s">
        <v>546</v>
      </c>
      <c r="I1042" s="12" t="s">
        <v>547</v>
      </c>
      <c r="J1042" s="12" t="s">
        <v>547</v>
      </c>
    </row>
    <row r="1043" spans="1:10" x14ac:dyDescent="0.2">
      <c r="A1043" s="8" t="s">
        <v>20</v>
      </c>
      <c r="B1043" s="29">
        <v>63.87</v>
      </c>
      <c r="C1043" s="29">
        <v>4.54</v>
      </c>
      <c r="D1043" s="29">
        <v>13.18</v>
      </c>
      <c r="E1043" s="29">
        <v>7.9</v>
      </c>
      <c r="F1043" s="48">
        <v>27.27</v>
      </c>
      <c r="G1043" s="48">
        <v>48.48</v>
      </c>
      <c r="H1043" s="23">
        <v>115.9</v>
      </c>
      <c r="I1043" s="23">
        <v>114.61</v>
      </c>
      <c r="J1043" s="23"/>
    </row>
    <row r="1044" spans="1:10" x14ac:dyDescent="0.2">
      <c r="A1044" s="8" t="s">
        <v>21</v>
      </c>
      <c r="B1044" s="29">
        <v>186.13</v>
      </c>
      <c r="C1044" s="29">
        <v>211.06</v>
      </c>
      <c r="D1044" s="29">
        <v>236.82</v>
      </c>
      <c r="E1044" s="29">
        <v>242.1</v>
      </c>
      <c r="F1044" s="48">
        <v>222.73</v>
      </c>
      <c r="G1044" s="48">
        <f>G1041-G1043</f>
        <v>216.52</v>
      </c>
      <c r="H1044" s="23">
        <f>H1041-H1043</f>
        <v>149.1</v>
      </c>
      <c r="I1044" s="23">
        <f>I1041-I1043</f>
        <v>181.14</v>
      </c>
      <c r="J1044" s="23"/>
    </row>
    <row r="1045" spans="1:10" x14ac:dyDescent="0.2">
      <c r="A1045" s="8" t="s">
        <v>22</v>
      </c>
      <c r="B1045" s="74">
        <v>2016</v>
      </c>
      <c r="C1045" s="74">
        <v>2017</v>
      </c>
      <c r="D1045" s="74">
        <v>2018</v>
      </c>
      <c r="E1045" s="74">
        <v>2019</v>
      </c>
      <c r="F1045" s="76">
        <v>2020</v>
      </c>
      <c r="G1045" s="76">
        <v>2021</v>
      </c>
      <c r="H1045" s="63">
        <v>2022</v>
      </c>
      <c r="I1045" s="63">
        <v>2023</v>
      </c>
      <c r="J1045" s="63">
        <v>2024</v>
      </c>
    </row>
    <row r="1046" spans="1:10" x14ac:dyDescent="0.2">
      <c r="A1046" s="202" t="s">
        <v>143</v>
      </c>
      <c r="B1046" s="202"/>
      <c r="C1046" s="203"/>
      <c r="D1046" s="203"/>
      <c r="E1046" s="203"/>
      <c r="F1046" s="203"/>
      <c r="G1046" s="203"/>
      <c r="H1046" s="203"/>
      <c r="I1046" s="203"/>
      <c r="J1046" s="62"/>
    </row>
    <row r="1047" spans="1:10" x14ac:dyDescent="0.2">
      <c r="A1047" s="258"/>
      <c r="C1047" s="271"/>
    </row>
    <row r="1048" spans="1:10" x14ac:dyDescent="0.2">
      <c r="A1048" s="16" t="s">
        <v>14</v>
      </c>
      <c r="B1048" s="13" t="s">
        <v>732</v>
      </c>
      <c r="C1048" s="13" t="s">
        <v>15</v>
      </c>
      <c r="D1048" s="7"/>
      <c r="E1048" s="7"/>
      <c r="F1048" s="7"/>
      <c r="G1048" s="7"/>
    </row>
    <row r="1049" spans="1:10" x14ac:dyDescent="0.2">
      <c r="A1049" s="14" t="s">
        <v>16</v>
      </c>
      <c r="B1049" s="143">
        <v>2014</v>
      </c>
      <c r="C1049" s="88">
        <v>2015</v>
      </c>
      <c r="D1049" s="88">
        <v>2016</v>
      </c>
      <c r="E1049" s="88">
        <v>2017</v>
      </c>
      <c r="F1049" s="89">
        <v>2018</v>
      </c>
      <c r="G1049" s="89">
        <v>2019</v>
      </c>
      <c r="H1049" s="57">
        <v>2020</v>
      </c>
      <c r="I1049" s="57">
        <v>2021</v>
      </c>
      <c r="J1049" s="57">
        <v>2022</v>
      </c>
    </row>
    <row r="1050" spans="1:10" x14ac:dyDescent="0.2">
      <c r="A1050" s="8" t="s">
        <v>17</v>
      </c>
      <c r="B1050" s="29">
        <v>140</v>
      </c>
      <c r="C1050" s="29">
        <v>140</v>
      </c>
      <c r="D1050" s="29">
        <v>140</v>
      </c>
      <c r="E1050" s="29">
        <v>140</v>
      </c>
      <c r="F1050" s="48">
        <v>140</v>
      </c>
      <c r="G1050" s="48">
        <v>140</v>
      </c>
      <c r="H1050" s="48">
        <v>140</v>
      </c>
      <c r="I1050" s="48">
        <v>140</v>
      </c>
      <c r="J1050" s="48">
        <v>140</v>
      </c>
    </row>
    <row r="1051" spans="1:10" x14ac:dyDescent="0.2">
      <c r="A1051" s="8" t="s">
        <v>18</v>
      </c>
      <c r="B1051" s="29">
        <v>140</v>
      </c>
      <c r="C1051" s="29">
        <v>177.5</v>
      </c>
      <c r="D1051" s="29">
        <v>175</v>
      </c>
      <c r="E1051" s="29">
        <v>175</v>
      </c>
      <c r="F1051" s="48">
        <v>175</v>
      </c>
      <c r="G1051" s="48">
        <v>175</v>
      </c>
      <c r="H1051" s="48">
        <v>148.36000000000001</v>
      </c>
      <c r="I1051" s="48">
        <v>144.99</v>
      </c>
      <c r="J1051" s="48">
        <f>J1050+H1054</f>
        <v>156.91000000000003</v>
      </c>
    </row>
    <row r="1052" spans="1:10" x14ac:dyDescent="0.2">
      <c r="A1052" s="8" t="s">
        <v>19</v>
      </c>
      <c r="B1052" s="12" t="s">
        <v>144</v>
      </c>
      <c r="C1052" s="12" t="s">
        <v>145</v>
      </c>
      <c r="D1052" s="12" t="s">
        <v>146</v>
      </c>
      <c r="E1052" s="12" t="s">
        <v>146</v>
      </c>
      <c r="F1052" s="12" t="s">
        <v>146</v>
      </c>
      <c r="G1052" s="12" t="s">
        <v>146</v>
      </c>
      <c r="H1052" s="12" t="s">
        <v>297</v>
      </c>
      <c r="I1052" s="12" t="s">
        <v>548</v>
      </c>
      <c r="J1052" s="12" t="s">
        <v>549</v>
      </c>
    </row>
    <row r="1053" spans="1:10" x14ac:dyDescent="0.2">
      <c r="A1053" s="8" t="s">
        <v>20</v>
      </c>
      <c r="B1053" s="29">
        <v>3.42</v>
      </c>
      <c r="C1053" s="29">
        <v>3.47</v>
      </c>
      <c r="D1053" s="29">
        <v>48.27</v>
      </c>
      <c r="E1053" s="29">
        <v>85.96</v>
      </c>
      <c r="F1053" s="48">
        <v>166.64</v>
      </c>
      <c r="G1053" s="48">
        <v>170.01</v>
      </c>
      <c r="H1053" s="23">
        <v>131.44999999999999</v>
      </c>
      <c r="I1053" s="23">
        <v>131.02000000000001</v>
      </c>
      <c r="J1053" s="23"/>
    </row>
    <row r="1054" spans="1:10" x14ac:dyDescent="0.2">
      <c r="A1054" s="8" t="s">
        <v>21</v>
      </c>
      <c r="B1054" s="336">
        <v>136.58000000000001</v>
      </c>
      <c r="C1054" s="29">
        <v>174.03</v>
      </c>
      <c r="D1054" s="29">
        <v>126.73</v>
      </c>
      <c r="E1054" s="29">
        <v>89.04</v>
      </c>
      <c r="F1054" s="48">
        <v>8.36</v>
      </c>
      <c r="G1054" s="48">
        <f>G1051-G1053</f>
        <v>4.9900000000000091</v>
      </c>
      <c r="H1054" s="23">
        <f>H1051-H1053</f>
        <v>16.910000000000025</v>
      </c>
      <c r="I1054" s="23">
        <f>I1051-I1053</f>
        <v>13.969999999999999</v>
      </c>
      <c r="J1054" s="23"/>
    </row>
    <row r="1055" spans="1:10" x14ac:dyDescent="0.2">
      <c r="A1055" s="37" t="s">
        <v>22</v>
      </c>
      <c r="B1055" s="74">
        <v>2016</v>
      </c>
      <c r="C1055" s="74">
        <v>2017</v>
      </c>
      <c r="D1055" s="74">
        <v>2018</v>
      </c>
      <c r="E1055" s="74">
        <v>2019</v>
      </c>
      <c r="F1055" s="76">
        <v>2020</v>
      </c>
      <c r="G1055" s="76">
        <v>2021</v>
      </c>
      <c r="H1055" s="63">
        <v>2022</v>
      </c>
      <c r="I1055" s="63">
        <v>2023</v>
      </c>
      <c r="J1055" s="63">
        <v>2024</v>
      </c>
    </row>
    <row r="1056" spans="1:10" x14ac:dyDescent="0.2">
      <c r="A1056" s="202" t="s">
        <v>143</v>
      </c>
      <c r="B1056" s="203"/>
      <c r="C1056" s="203"/>
      <c r="D1056" s="203"/>
      <c r="E1056" s="203"/>
      <c r="F1056" s="203"/>
      <c r="G1056" s="203"/>
      <c r="H1056" s="203"/>
      <c r="I1056" s="133"/>
      <c r="J1056" s="132"/>
    </row>
    <row r="1057" spans="1:10" x14ac:dyDescent="0.2">
      <c r="A1057" s="258"/>
      <c r="C1057" s="271"/>
    </row>
    <row r="1058" spans="1:10" x14ac:dyDescent="0.2">
      <c r="A1058" s="16" t="s">
        <v>14</v>
      </c>
      <c r="B1058" s="13" t="s">
        <v>708</v>
      </c>
      <c r="C1058" s="13" t="s">
        <v>160</v>
      </c>
      <c r="D1058" s="7"/>
      <c r="E1058" s="7"/>
      <c r="F1058" s="7"/>
      <c r="G1058" s="7"/>
    </row>
    <row r="1059" spans="1:10" x14ac:dyDescent="0.2">
      <c r="A1059" s="14" t="s">
        <v>16</v>
      </c>
      <c r="B1059" s="143">
        <v>2014</v>
      </c>
      <c r="C1059" s="88">
        <v>2015</v>
      </c>
      <c r="D1059" s="88">
        <v>2016</v>
      </c>
      <c r="E1059" s="88" t="s">
        <v>252</v>
      </c>
      <c r="F1059" s="88" t="s">
        <v>253</v>
      </c>
      <c r="G1059" s="88" t="s">
        <v>254</v>
      </c>
      <c r="H1059" s="88" t="s">
        <v>298</v>
      </c>
      <c r="I1059" s="88" t="s">
        <v>553</v>
      </c>
      <c r="J1059" s="88" t="s">
        <v>784</v>
      </c>
    </row>
    <row r="1060" spans="1:10" x14ac:dyDescent="0.2">
      <c r="A1060" s="8" t="s">
        <v>17</v>
      </c>
      <c r="B1060" s="29">
        <v>50</v>
      </c>
      <c r="C1060" s="29">
        <v>50</v>
      </c>
      <c r="D1060" s="29">
        <v>50</v>
      </c>
      <c r="E1060" s="29">
        <v>50</v>
      </c>
      <c r="F1060" s="29">
        <v>50</v>
      </c>
      <c r="G1060" s="29">
        <v>50</v>
      </c>
      <c r="H1060" s="23">
        <v>50</v>
      </c>
      <c r="I1060" s="23">
        <v>50</v>
      </c>
      <c r="J1060" s="23">
        <v>50</v>
      </c>
    </row>
    <row r="1061" spans="1:10" x14ac:dyDescent="0.2">
      <c r="A1061" s="8" t="s">
        <v>18</v>
      </c>
      <c r="B1061" s="29">
        <v>45.6</v>
      </c>
      <c r="C1061" s="29">
        <v>45.6</v>
      </c>
      <c r="D1061" s="29">
        <v>65.34</v>
      </c>
      <c r="E1061" s="29">
        <v>75</v>
      </c>
      <c r="F1061" s="29">
        <v>70</v>
      </c>
      <c r="G1061" s="29">
        <v>70</v>
      </c>
      <c r="H1061" s="23">
        <v>70</v>
      </c>
      <c r="I1061" s="23">
        <v>70</v>
      </c>
      <c r="J1061" s="23">
        <v>70</v>
      </c>
    </row>
    <row r="1062" spans="1:10" x14ac:dyDescent="0.2">
      <c r="A1062" s="8" t="s">
        <v>19</v>
      </c>
      <c r="B1062" s="49" t="s">
        <v>147</v>
      </c>
      <c r="C1062" s="12" t="s">
        <v>147</v>
      </c>
      <c r="D1062" s="12" t="s">
        <v>148</v>
      </c>
      <c r="E1062" s="12" t="s">
        <v>149</v>
      </c>
      <c r="F1062" s="12" t="s">
        <v>255</v>
      </c>
      <c r="G1062" s="12" t="s">
        <v>255</v>
      </c>
      <c r="H1062" s="22" t="s">
        <v>255</v>
      </c>
      <c r="I1062" s="22" t="s">
        <v>255</v>
      </c>
      <c r="J1062" s="22" t="s">
        <v>255</v>
      </c>
    </row>
    <row r="1063" spans="1:10" x14ac:dyDescent="0.2">
      <c r="A1063" s="8" t="s">
        <v>20</v>
      </c>
      <c r="B1063" s="29">
        <v>34.659999999999997</v>
      </c>
      <c r="C1063" s="29">
        <v>0</v>
      </c>
      <c r="D1063" s="29">
        <v>9.14</v>
      </c>
      <c r="E1063" s="29">
        <v>18.559999999999999</v>
      </c>
      <c r="F1063" s="29">
        <v>8.7899999999999991</v>
      </c>
      <c r="G1063" s="29">
        <v>9.3699999999999992</v>
      </c>
      <c r="H1063" s="23">
        <v>13.7</v>
      </c>
      <c r="I1063" s="23">
        <v>13.48</v>
      </c>
      <c r="J1063" s="23"/>
    </row>
    <row r="1064" spans="1:10" x14ac:dyDescent="0.2">
      <c r="A1064" s="8" t="s">
        <v>21</v>
      </c>
      <c r="B1064" s="29">
        <v>10.94</v>
      </c>
      <c r="C1064" s="29">
        <v>45.6</v>
      </c>
      <c r="D1064" s="29">
        <v>56.2</v>
      </c>
      <c r="E1064" s="29">
        <v>56.44</v>
      </c>
      <c r="F1064" s="29">
        <v>61.21</v>
      </c>
      <c r="G1064" s="29">
        <f>G1061-G1063</f>
        <v>60.63</v>
      </c>
      <c r="H1064" s="29">
        <f>H1061-H1063</f>
        <v>56.3</v>
      </c>
      <c r="I1064" s="29">
        <f>I1061-I1063</f>
        <v>56.519999999999996</v>
      </c>
      <c r="J1064" s="23"/>
    </row>
    <row r="1065" spans="1:10" x14ac:dyDescent="0.2">
      <c r="A1065" s="37" t="s">
        <v>22</v>
      </c>
      <c r="B1065" s="74">
        <v>2016</v>
      </c>
      <c r="C1065" s="74">
        <v>2017</v>
      </c>
      <c r="D1065" s="74">
        <v>2018</v>
      </c>
      <c r="E1065" s="74">
        <v>2019</v>
      </c>
      <c r="F1065" s="74">
        <v>2020</v>
      </c>
      <c r="G1065" s="74">
        <v>2021</v>
      </c>
      <c r="H1065" s="63">
        <v>2022</v>
      </c>
      <c r="I1065" s="63">
        <v>2023</v>
      </c>
      <c r="J1065" s="63">
        <v>2024</v>
      </c>
    </row>
    <row r="1066" spans="1:10" x14ac:dyDescent="0.2">
      <c r="A1066" s="37" t="s">
        <v>634</v>
      </c>
      <c r="B1066" s="134"/>
      <c r="C1066" s="134"/>
      <c r="D1066" s="134"/>
      <c r="E1066" s="134"/>
      <c r="F1066" s="134"/>
      <c r="G1066" s="134"/>
      <c r="H1066" s="94"/>
      <c r="I1066" s="94"/>
      <c r="J1066" s="95"/>
    </row>
    <row r="1067" spans="1:10" x14ac:dyDescent="0.2">
      <c r="A1067" s="17" t="s">
        <v>551</v>
      </c>
      <c r="B1067" s="200"/>
      <c r="C1067" s="200"/>
      <c r="D1067" s="200"/>
      <c r="E1067" s="200"/>
      <c r="F1067" s="200"/>
      <c r="G1067" s="200"/>
      <c r="H1067" s="191"/>
      <c r="J1067" s="21"/>
    </row>
    <row r="1068" spans="1:10" x14ac:dyDescent="0.2">
      <c r="A1068" s="14" t="s">
        <v>552</v>
      </c>
      <c r="B1068" s="15"/>
      <c r="C1068" s="15"/>
      <c r="D1068" s="15"/>
      <c r="E1068" s="15"/>
      <c r="F1068" s="15"/>
      <c r="G1068" s="15"/>
      <c r="H1068" s="15"/>
      <c r="I1068" s="33"/>
      <c r="J1068" s="34"/>
    </row>
    <row r="1069" spans="1:10" ht="15.6" customHeight="1" x14ac:dyDescent="0.2">
      <c r="A1069" s="28"/>
      <c r="B1069" s="7"/>
      <c r="C1069" s="7"/>
      <c r="D1069" s="7"/>
      <c r="E1069" s="7"/>
      <c r="F1069" s="7"/>
      <c r="G1069" s="7"/>
    </row>
    <row r="1070" spans="1:10" x14ac:dyDescent="0.2">
      <c r="A1070" s="16" t="s">
        <v>14</v>
      </c>
      <c r="B1070" s="13" t="s">
        <v>736</v>
      </c>
      <c r="C1070" s="10" t="s">
        <v>160</v>
      </c>
      <c r="D1070" s="7"/>
      <c r="E1070" s="7"/>
      <c r="F1070" s="7"/>
      <c r="G1070" s="7"/>
    </row>
    <row r="1071" spans="1:10" x14ac:dyDescent="0.2">
      <c r="A1071" s="14" t="s">
        <v>16</v>
      </c>
      <c r="B1071" s="143">
        <v>2014</v>
      </c>
      <c r="C1071" s="88">
        <v>2015</v>
      </c>
      <c r="D1071" s="88">
        <v>2016</v>
      </c>
      <c r="E1071" s="88">
        <v>2017</v>
      </c>
      <c r="F1071" s="88" t="s">
        <v>253</v>
      </c>
      <c r="G1071" s="88" t="s">
        <v>254</v>
      </c>
      <c r="H1071" s="57" t="s">
        <v>298</v>
      </c>
      <c r="I1071" s="57" t="s">
        <v>553</v>
      </c>
      <c r="J1071" s="57" t="s">
        <v>784</v>
      </c>
    </row>
    <row r="1072" spans="1:10" x14ac:dyDescent="0.2">
      <c r="A1072" s="8" t="s">
        <v>17</v>
      </c>
      <c r="B1072" s="29">
        <v>50</v>
      </c>
      <c r="C1072" s="29">
        <v>50</v>
      </c>
      <c r="D1072" s="29">
        <v>50</v>
      </c>
      <c r="E1072" s="29">
        <v>50</v>
      </c>
      <c r="F1072" s="29">
        <v>50</v>
      </c>
      <c r="G1072" s="29">
        <v>50</v>
      </c>
      <c r="H1072" s="23">
        <v>50</v>
      </c>
      <c r="I1072" s="23">
        <v>50</v>
      </c>
      <c r="J1072" s="23">
        <v>50</v>
      </c>
    </row>
    <row r="1073" spans="1:10" x14ac:dyDescent="0.2">
      <c r="A1073" s="8" t="s">
        <v>18</v>
      </c>
      <c r="B1073" s="29">
        <v>50</v>
      </c>
      <c r="C1073" s="29">
        <v>60.7</v>
      </c>
      <c r="D1073" s="29">
        <v>47.37</v>
      </c>
      <c r="E1073" s="29">
        <v>65</v>
      </c>
      <c r="F1073" s="29">
        <v>60</v>
      </c>
      <c r="G1073" s="29">
        <v>60</v>
      </c>
      <c r="H1073" s="23">
        <f>H1072*1.2</f>
        <v>60</v>
      </c>
      <c r="I1073" s="23">
        <f>I1072*1.2</f>
        <v>60</v>
      </c>
      <c r="J1073" s="23">
        <f>J1072*1.2</f>
        <v>60</v>
      </c>
    </row>
    <row r="1074" spans="1:10" x14ac:dyDescent="0.2">
      <c r="A1074" s="8" t="s">
        <v>19</v>
      </c>
      <c r="B1074" s="12"/>
      <c r="C1074" s="12" t="s">
        <v>150</v>
      </c>
      <c r="D1074" s="12" t="s">
        <v>151</v>
      </c>
      <c r="E1074" s="12" t="s">
        <v>152</v>
      </c>
      <c r="F1074" s="12" t="s">
        <v>299</v>
      </c>
      <c r="G1074" s="12" t="s">
        <v>299</v>
      </c>
      <c r="H1074" s="12" t="s">
        <v>299</v>
      </c>
      <c r="I1074" s="12" t="s">
        <v>299</v>
      </c>
      <c r="J1074" s="12" t="s">
        <v>299</v>
      </c>
    </row>
    <row r="1075" spans="1:10" x14ac:dyDescent="0.2">
      <c r="A1075" s="8" t="s">
        <v>20</v>
      </c>
      <c r="B1075" s="29">
        <v>52.63</v>
      </c>
      <c r="C1075" s="29">
        <v>5.45</v>
      </c>
      <c r="D1075" s="29">
        <v>19.25</v>
      </c>
      <c r="E1075" s="29">
        <v>10.92</v>
      </c>
      <c r="F1075" s="29">
        <v>17.18</v>
      </c>
      <c r="G1075" s="29">
        <v>8.6999999999999993</v>
      </c>
      <c r="H1075" s="23">
        <v>15.41</v>
      </c>
      <c r="I1075" s="23">
        <v>5.56</v>
      </c>
      <c r="J1075" s="23"/>
    </row>
    <row r="1076" spans="1:10" x14ac:dyDescent="0.2">
      <c r="A1076" s="8" t="s">
        <v>21</v>
      </c>
      <c r="B1076" s="29">
        <v>-2.63</v>
      </c>
      <c r="C1076" s="29">
        <v>55.25</v>
      </c>
      <c r="D1076" s="29">
        <v>28.12</v>
      </c>
      <c r="E1076" s="29">
        <v>54.08</v>
      </c>
      <c r="F1076" s="29">
        <f>F1073-F1075</f>
        <v>42.82</v>
      </c>
      <c r="G1076" s="29">
        <f>G1073-G1075</f>
        <v>51.3</v>
      </c>
      <c r="H1076" s="23">
        <f>H1073-H1075</f>
        <v>44.59</v>
      </c>
      <c r="I1076" s="23">
        <f>I1073-I1075</f>
        <v>54.44</v>
      </c>
      <c r="J1076" s="23"/>
    </row>
    <row r="1077" spans="1:10" x14ac:dyDescent="0.2">
      <c r="A1077" s="37" t="s">
        <v>22</v>
      </c>
      <c r="B1077" s="74">
        <v>2016</v>
      </c>
      <c r="C1077" s="74">
        <v>2017</v>
      </c>
      <c r="D1077" s="74">
        <v>2018</v>
      </c>
      <c r="E1077" s="74">
        <v>2019</v>
      </c>
      <c r="F1077" s="74">
        <v>2020</v>
      </c>
      <c r="G1077" s="74">
        <v>2021</v>
      </c>
      <c r="H1077" s="63">
        <v>2022</v>
      </c>
      <c r="I1077" s="63">
        <v>2023</v>
      </c>
      <c r="J1077" s="63">
        <v>2024</v>
      </c>
    </row>
    <row r="1078" spans="1:10" x14ac:dyDescent="0.2">
      <c r="A1078" s="37" t="s">
        <v>498</v>
      </c>
      <c r="B1078" s="134"/>
      <c r="C1078" s="134"/>
      <c r="D1078" s="134"/>
      <c r="E1078" s="134"/>
      <c r="F1078" s="134"/>
      <c r="G1078" s="134"/>
      <c r="H1078" s="94"/>
      <c r="I1078" s="30"/>
      <c r="J1078" s="31"/>
    </row>
    <row r="1079" spans="1:10" x14ac:dyDescent="0.2">
      <c r="A1079" s="14" t="s">
        <v>348</v>
      </c>
      <c r="B1079" s="15"/>
      <c r="C1079" s="15"/>
      <c r="D1079" s="15"/>
      <c r="E1079" s="15"/>
      <c r="F1079" s="15"/>
      <c r="G1079" s="15"/>
      <c r="H1079" s="15"/>
      <c r="I1079" s="33"/>
      <c r="J1079" s="34"/>
    </row>
    <row r="1080" spans="1:10" ht="14.45" customHeight="1" x14ac:dyDescent="0.2">
      <c r="A1080" s="35"/>
      <c r="B1080" s="35"/>
      <c r="C1080" s="35"/>
      <c r="D1080" s="35"/>
      <c r="E1080" s="35"/>
      <c r="F1080" s="35"/>
      <c r="G1080" s="35"/>
      <c r="H1080" s="35"/>
    </row>
    <row r="1081" spans="1:10" ht="14.45" customHeight="1" x14ac:dyDescent="0.2">
      <c r="A1081" s="16" t="s">
        <v>212</v>
      </c>
      <c r="B1081" s="13" t="s">
        <v>737</v>
      </c>
      <c r="C1081" s="13" t="s">
        <v>160</v>
      </c>
      <c r="D1081" s="7"/>
      <c r="E1081" s="7"/>
      <c r="F1081" s="7"/>
      <c r="G1081" s="7"/>
    </row>
    <row r="1082" spans="1:10" ht="14.45" customHeight="1" x14ac:dyDescent="0.2">
      <c r="A1082" s="14" t="s">
        <v>16</v>
      </c>
      <c r="B1082" s="140"/>
      <c r="C1082" s="9"/>
      <c r="D1082" s="88">
        <v>2016</v>
      </c>
      <c r="E1082" s="88">
        <v>2017</v>
      </c>
      <c r="F1082" s="88">
        <v>2018</v>
      </c>
      <c r="G1082" s="88">
        <v>2019</v>
      </c>
      <c r="H1082" s="57">
        <v>2020</v>
      </c>
      <c r="I1082" s="57">
        <v>2021</v>
      </c>
      <c r="J1082" s="57">
        <v>2021</v>
      </c>
    </row>
    <row r="1083" spans="1:10" ht="14.45" customHeight="1" x14ac:dyDescent="0.2">
      <c r="A1083" s="8" t="s">
        <v>17</v>
      </c>
      <c r="B1083" s="29"/>
      <c r="C1083" s="29"/>
      <c r="D1083" s="29">
        <v>113.66</v>
      </c>
      <c r="E1083" s="29">
        <v>136.46</v>
      </c>
      <c r="F1083" s="29">
        <v>160</v>
      </c>
      <c r="G1083" s="29">
        <v>184</v>
      </c>
      <c r="H1083" s="23">
        <v>200</v>
      </c>
      <c r="I1083" s="23">
        <v>200</v>
      </c>
      <c r="J1083" s="23">
        <v>200</v>
      </c>
    </row>
    <row r="1084" spans="1:10" ht="14.45" customHeight="1" x14ac:dyDescent="0.2">
      <c r="A1084" s="8" t="s">
        <v>18</v>
      </c>
      <c r="B1084" s="29"/>
      <c r="C1084" s="29"/>
      <c r="D1084" s="29">
        <v>163.66</v>
      </c>
      <c r="E1084" s="29">
        <v>181.46</v>
      </c>
      <c r="F1084" s="29">
        <v>210</v>
      </c>
      <c r="G1084" s="29">
        <v>234</v>
      </c>
      <c r="H1084" s="23">
        <v>251.57</v>
      </c>
      <c r="I1084" s="23">
        <f>I1083+50+H1087</f>
        <v>254.29999999999998</v>
      </c>
      <c r="J1084" s="23">
        <f>J1083+50+10</f>
        <v>260</v>
      </c>
    </row>
    <row r="1085" spans="1:10" ht="14.45" customHeight="1" x14ac:dyDescent="0.2">
      <c r="A1085" s="8" t="s">
        <v>19</v>
      </c>
      <c r="B1085" s="27"/>
      <c r="C1085" s="27"/>
      <c r="D1085" s="12" t="s">
        <v>302</v>
      </c>
      <c r="E1085" s="12" t="s">
        <v>303</v>
      </c>
      <c r="F1085" s="12" t="s">
        <v>304</v>
      </c>
      <c r="G1085" s="12" t="s">
        <v>305</v>
      </c>
      <c r="H1085" s="22" t="s">
        <v>306</v>
      </c>
      <c r="I1085" s="22" t="s">
        <v>555</v>
      </c>
      <c r="J1085" s="22" t="s">
        <v>786</v>
      </c>
    </row>
    <row r="1086" spans="1:10" ht="14.45" customHeight="1" x14ac:dyDescent="0.2">
      <c r="A1086" s="8" t="s">
        <v>20</v>
      </c>
      <c r="B1086" s="29"/>
      <c r="C1086" s="29"/>
      <c r="D1086" s="29">
        <v>161.08000000000001</v>
      </c>
      <c r="E1086" s="29">
        <v>181.19</v>
      </c>
      <c r="F1086" s="29">
        <v>207.97</v>
      </c>
      <c r="G1086" s="29">
        <v>232.43299999999999</v>
      </c>
      <c r="H1086" s="23">
        <v>247.27</v>
      </c>
      <c r="I1086" s="23">
        <v>242.24</v>
      </c>
      <c r="J1086" s="23"/>
    </row>
    <row r="1087" spans="1:10" ht="14.45" customHeight="1" x14ac:dyDescent="0.2">
      <c r="A1087" s="8" t="s">
        <v>21</v>
      </c>
      <c r="B1087" s="29"/>
      <c r="C1087" s="29"/>
      <c r="D1087" s="29">
        <v>2.58</v>
      </c>
      <c r="E1087" s="29">
        <v>0.27</v>
      </c>
      <c r="F1087" s="29">
        <v>2.0299999999999998</v>
      </c>
      <c r="G1087" s="29">
        <v>1.5670000000000073</v>
      </c>
      <c r="H1087" s="23">
        <f>H1084-H1086</f>
        <v>4.2999999999999829</v>
      </c>
      <c r="I1087" s="23">
        <f>I1084-I1086</f>
        <v>12.059999999999974</v>
      </c>
      <c r="J1087" s="23"/>
    </row>
    <row r="1088" spans="1:10" ht="14.45" customHeight="1" x14ac:dyDescent="0.2">
      <c r="A1088" s="37" t="s">
        <v>22</v>
      </c>
      <c r="B1088" s="38"/>
      <c r="C1088" s="38"/>
      <c r="D1088" s="38"/>
      <c r="E1088" s="38"/>
      <c r="F1088" s="38"/>
      <c r="G1088" s="74">
        <v>2020</v>
      </c>
      <c r="H1088" s="63">
        <v>2021</v>
      </c>
      <c r="I1088" s="36">
        <v>2022</v>
      </c>
      <c r="J1088" s="36"/>
    </row>
    <row r="1089" spans="1:10" ht="14.45" customHeight="1" x14ac:dyDescent="0.2">
      <c r="A1089" s="37" t="s">
        <v>307</v>
      </c>
      <c r="B1089" s="50"/>
      <c r="C1089" s="50"/>
      <c r="D1089" s="50"/>
      <c r="E1089" s="50"/>
      <c r="F1089" s="50"/>
      <c r="G1089" s="50"/>
      <c r="H1089" s="30"/>
      <c r="I1089" s="30"/>
      <c r="J1089" s="31"/>
    </row>
    <row r="1090" spans="1:10" ht="14.45" customHeight="1" x14ac:dyDescent="0.2">
      <c r="A1090" s="17" t="s">
        <v>308</v>
      </c>
      <c r="B1090" s="7"/>
      <c r="C1090" s="7"/>
      <c r="D1090" s="7"/>
      <c r="E1090" s="7"/>
      <c r="F1090" s="7"/>
      <c r="G1090" s="7"/>
      <c r="J1090" s="21"/>
    </row>
    <row r="1091" spans="1:10" ht="14.45" customHeight="1" x14ac:dyDescent="0.2">
      <c r="A1091" s="17" t="s">
        <v>309</v>
      </c>
      <c r="B1091" s="7"/>
      <c r="C1091" s="7"/>
      <c r="D1091" s="7"/>
      <c r="E1091" s="7"/>
      <c r="F1091" s="7"/>
      <c r="G1091" s="7"/>
      <c r="J1091" s="21"/>
    </row>
    <row r="1092" spans="1:10" ht="14.45" customHeight="1" x14ac:dyDescent="0.2">
      <c r="A1092" s="17" t="s">
        <v>310</v>
      </c>
      <c r="B1092" s="7"/>
      <c r="C1092" s="7"/>
      <c r="D1092" s="7"/>
      <c r="E1092" s="7"/>
      <c r="F1092" s="7"/>
      <c r="G1092" s="7"/>
      <c r="J1092" s="21"/>
    </row>
    <row r="1093" spans="1:10" ht="14.45" customHeight="1" x14ac:dyDescent="0.2">
      <c r="A1093" s="17" t="s">
        <v>554</v>
      </c>
      <c r="B1093" s="7"/>
      <c r="C1093" s="7"/>
      <c r="D1093" s="7"/>
      <c r="E1093" s="7"/>
      <c r="F1093" s="7"/>
      <c r="G1093" s="7"/>
      <c r="J1093" s="21"/>
    </row>
    <row r="1094" spans="1:10" ht="14.45" customHeight="1" x14ac:dyDescent="0.2">
      <c r="A1094" s="14" t="s">
        <v>785</v>
      </c>
      <c r="B1094" s="15"/>
      <c r="C1094" s="15"/>
      <c r="D1094" s="15"/>
      <c r="E1094" s="15"/>
      <c r="F1094" s="15"/>
      <c r="G1094" s="15"/>
      <c r="H1094" s="33"/>
      <c r="I1094" s="33"/>
      <c r="J1094" s="34"/>
    </row>
    <row r="1095" spans="1:10" ht="14.45" customHeight="1" x14ac:dyDescent="0.2">
      <c r="A1095" s="35"/>
      <c r="B1095" s="35"/>
      <c r="C1095" s="35"/>
      <c r="D1095" s="35"/>
      <c r="E1095" s="35"/>
      <c r="F1095" s="35"/>
      <c r="G1095" s="35"/>
      <c r="H1095" s="35"/>
    </row>
    <row r="1096" spans="1:10" x14ac:dyDescent="0.2">
      <c r="A1096" s="16" t="s">
        <v>212</v>
      </c>
      <c r="B1096" s="13" t="s">
        <v>74</v>
      </c>
      <c r="C1096" s="13" t="s">
        <v>160</v>
      </c>
      <c r="D1096" s="7"/>
      <c r="E1096" s="7"/>
      <c r="F1096" s="7"/>
      <c r="G1096" s="7"/>
    </row>
    <row r="1097" spans="1:10" x14ac:dyDescent="0.2">
      <c r="A1097" s="14" t="s">
        <v>16</v>
      </c>
      <c r="B1097" s="143">
        <v>2014</v>
      </c>
      <c r="C1097" s="88">
        <v>2015</v>
      </c>
      <c r="D1097" s="88">
        <v>2016</v>
      </c>
      <c r="E1097" s="88">
        <v>2017</v>
      </c>
      <c r="F1097" s="88">
        <v>2018</v>
      </c>
      <c r="G1097" s="88">
        <v>2019</v>
      </c>
      <c r="H1097" s="57">
        <v>2020</v>
      </c>
      <c r="I1097" s="379">
        <v>2021</v>
      </c>
      <c r="J1097" s="425">
        <v>2022</v>
      </c>
    </row>
    <row r="1098" spans="1:10" x14ac:dyDescent="0.2">
      <c r="A1098" s="8" t="s">
        <v>17</v>
      </c>
      <c r="B1098" s="29">
        <v>1983</v>
      </c>
      <c r="C1098" s="29">
        <v>1983</v>
      </c>
      <c r="D1098" s="29">
        <v>1486</v>
      </c>
      <c r="E1098" s="29">
        <v>1486</v>
      </c>
      <c r="F1098" s="29">
        <v>1486</v>
      </c>
      <c r="G1098" s="29">
        <v>1486</v>
      </c>
      <c r="H1098" s="23">
        <v>1000</v>
      </c>
      <c r="I1098" s="51">
        <v>984</v>
      </c>
      <c r="J1098" s="428">
        <v>992</v>
      </c>
    </row>
    <row r="1099" spans="1:10" x14ac:dyDescent="0.2">
      <c r="A1099" s="8" t="s">
        <v>18</v>
      </c>
      <c r="B1099" s="29">
        <v>2557.9</v>
      </c>
      <c r="C1099" s="29">
        <v>2557.9</v>
      </c>
      <c r="D1099" s="29">
        <v>2080.9</v>
      </c>
      <c r="E1099" s="29">
        <v>1708.9</v>
      </c>
      <c r="F1099" s="29">
        <v>1485.9</v>
      </c>
      <c r="G1099" s="29">
        <v>1485.9</v>
      </c>
      <c r="H1099" s="23">
        <f>H1098+F1098*0.15-223</f>
        <v>999.90000000000009</v>
      </c>
      <c r="I1099" s="51">
        <f>I1098-223+G1098*0.1</f>
        <v>909.6</v>
      </c>
      <c r="J1099" s="428">
        <f>J1098-223+H1098*0.1</f>
        <v>869</v>
      </c>
    </row>
    <row r="1100" spans="1:10" ht="28.9" customHeight="1" x14ac:dyDescent="0.2">
      <c r="A1100" s="8" t="s">
        <v>19</v>
      </c>
      <c r="B1100" s="27" t="s">
        <v>153</v>
      </c>
      <c r="C1100" s="27" t="s">
        <v>153</v>
      </c>
      <c r="D1100" s="27" t="s">
        <v>154</v>
      </c>
      <c r="E1100" s="27" t="s">
        <v>155</v>
      </c>
      <c r="F1100" s="27" t="s">
        <v>225</v>
      </c>
      <c r="G1100" s="27" t="s">
        <v>226</v>
      </c>
      <c r="H1100" s="41" t="s">
        <v>557</v>
      </c>
      <c r="I1100" s="79" t="s">
        <v>787</v>
      </c>
      <c r="J1100" s="546" t="s">
        <v>788</v>
      </c>
    </row>
    <row r="1101" spans="1:10" x14ac:dyDescent="0.2">
      <c r="A1101" s="8" t="s">
        <v>20</v>
      </c>
      <c r="B1101" s="29">
        <v>1038.83</v>
      </c>
      <c r="C1101" s="29">
        <v>670.7</v>
      </c>
      <c r="D1101" s="29">
        <v>561.97</v>
      </c>
      <c r="E1101" s="29">
        <v>432.09</v>
      </c>
      <c r="F1101" s="29">
        <v>662.7</v>
      </c>
      <c r="G1101" s="29">
        <v>539.84</v>
      </c>
      <c r="H1101" s="23">
        <v>587.15</v>
      </c>
      <c r="I1101" s="51">
        <v>674.38</v>
      </c>
      <c r="J1101" s="428"/>
    </row>
    <row r="1102" spans="1:10" x14ac:dyDescent="0.2">
      <c r="A1102" s="8" t="s">
        <v>21</v>
      </c>
      <c r="B1102" s="29">
        <v>1519.07</v>
      </c>
      <c r="C1102" s="29">
        <v>1887.2</v>
      </c>
      <c r="D1102" s="29">
        <v>1518.93</v>
      </c>
      <c r="E1102" s="29">
        <v>1276.8100000000002</v>
      </c>
      <c r="F1102" s="29">
        <v>823.2</v>
      </c>
      <c r="G1102" s="29">
        <f>G1099-G1101</f>
        <v>946.06000000000006</v>
      </c>
      <c r="H1102" s="23">
        <f>H1099-H1101</f>
        <v>412.75000000000011</v>
      </c>
      <c r="I1102" s="51">
        <f>I1099-I1101</f>
        <v>235.22000000000003</v>
      </c>
      <c r="J1102" s="428"/>
    </row>
    <row r="1103" spans="1:10" x14ac:dyDescent="0.2">
      <c r="A1103" s="37" t="s">
        <v>22</v>
      </c>
      <c r="B1103" s="74">
        <v>2016</v>
      </c>
      <c r="C1103" s="74">
        <v>2017</v>
      </c>
      <c r="D1103" s="74">
        <v>2018</v>
      </c>
      <c r="E1103" s="74">
        <v>2019</v>
      </c>
      <c r="F1103" s="74">
        <v>2020</v>
      </c>
      <c r="G1103" s="74">
        <v>2021</v>
      </c>
      <c r="H1103" s="63">
        <v>2022</v>
      </c>
      <c r="I1103" s="383">
        <v>2023</v>
      </c>
      <c r="J1103" s="547"/>
    </row>
    <row r="1104" spans="1:10" x14ac:dyDescent="0.2">
      <c r="A1104" s="37" t="s">
        <v>635</v>
      </c>
      <c r="B1104" s="134"/>
      <c r="C1104" s="134"/>
      <c r="D1104" s="134"/>
      <c r="E1104" s="134"/>
      <c r="F1104" s="134"/>
      <c r="G1104" s="134"/>
      <c r="H1104" s="94"/>
      <c r="I1104" s="94"/>
      <c r="J1104" s="548"/>
    </row>
    <row r="1105" spans="1:10" x14ac:dyDescent="0.2">
      <c r="A1105" s="17" t="s">
        <v>300</v>
      </c>
      <c r="B1105" s="7"/>
      <c r="C1105" s="7"/>
      <c r="D1105" s="7"/>
      <c r="E1105" s="7"/>
      <c r="F1105" s="7"/>
      <c r="G1105" s="7"/>
      <c r="J1105" s="435"/>
    </row>
    <row r="1106" spans="1:10" x14ac:dyDescent="0.2">
      <c r="A1106" s="17" t="s">
        <v>301</v>
      </c>
      <c r="B1106" s="7"/>
      <c r="C1106" s="7"/>
      <c r="D1106" s="7"/>
      <c r="E1106" s="7"/>
      <c r="F1106" s="7"/>
      <c r="G1106" s="7"/>
      <c r="J1106" s="435"/>
    </row>
    <row r="1107" spans="1:10" x14ac:dyDescent="0.2">
      <c r="A1107" s="17" t="s">
        <v>558</v>
      </c>
      <c r="B1107" s="7"/>
      <c r="C1107" s="7"/>
      <c r="D1107" s="7"/>
      <c r="E1107" s="7"/>
      <c r="F1107" s="7"/>
      <c r="G1107" s="7"/>
      <c r="J1107" s="435"/>
    </row>
    <row r="1108" spans="1:10" x14ac:dyDescent="0.2">
      <c r="A1108" s="17" t="s">
        <v>156</v>
      </c>
      <c r="B1108" s="7"/>
      <c r="C1108" s="7"/>
      <c r="D1108" s="7"/>
      <c r="E1108" s="7"/>
      <c r="F1108" s="7"/>
      <c r="G1108" s="7"/>
      <c r="J1108" s="435"/>
    </row>
    <row r="1109" spans="1:10" x14ac:dyDescent="0.2">
      <c r="A1109" s="17" t="s">
        <v>556</v>
      </c>
      <c r="B1109" s="7"/>
      <c r="C1109" s="7"/>
      <c r="D1109" s="7"/>
      <c r="E1109" s="7"/>
      <c r="F1109" s="7"/>
      <c r="G1109" s="7"/>
      <c r="J1109" s="435"/>
    </row>
    <row r="1110" spans="1:10" x14ac:dyDescent="0.2">
      <c r="A1110" s="14" t="s">
        <v>789</v>
      </c>
      <c r="B1110" s="15"/>
      <c r="C1110" s="15"/>
      <c r="D1110" s="15"/>
      <c r="E1110" s="15"/>
      <c r="F1110" s="15"/>
      <c r="G1110" s="15"/>
      <c r="H1110" s="33"/>
      <c r="I1110" s="33"/>
      <c r="J1110" s="437"/>
    </row>
    <row r="1111" spans="1:10" x14ac:dyDescent="0.2">
      <c r="A1111" s="7"/>
      <c r="B1111" s="7"/>
      <c r="C1111" s="7"/>
      <c r="D1111" s="7"/>
      <c r="E1111" s="7"/>
      <c r="F1111" s="7"/>
      <c r="G1111" s="7"/>
    </row>
    <row r="1112" spans="1:10" x14ac:dyDescent="0.2">
      <c r="A1112" s="258"/>
      <c r="C1112" s="271"/>
    </row>
    <row r="1113" spans="1:10" x14ac:dyDescent="0.2">
      <c r="A1113" s="16" t="s">
        <v>212</v>
      </c>
      <c r="B1113" s="13" t="s">
        <v>82</v>
      </c>
      <c r="C1113" s="13" t="s">
        <v>160</v>
      </c>
      <c r="D1113" s="7"/>
      <c r="E1113" s="7"/>
      <c r="F1113" s="7"/>
      <c r="G1113" s="7"/>
    </row>
    <row r="1114" spans="1:10" x14ac:dyDescent="0.2">
      <c r="A1114" s="14" t="s">
        <v>16</v>
      </c>
      <c r="B1114" s="143">
        <v>2014</v>
      </c>
      <c r="C1114" s="88">
        <v>2015</v>
      </c>
      <c r="D1114" s="88">
        <v>2016</v>
      </c>
      <c r="E1114" s="88">
        <v>2017</v>
      </c>
      <c r="F1114" s="88">
        <v>2018</v>
      </c>
      <c r="G1114" s="88">
        <v>2019</v>
      </c>
      <c r="H1114" s="57">
        <v>2020</v>
      </c>
      <c r="I1114" s="57">
        <v>2021</v>
      </c>
      <c r="J1114" s="57">
        <v>2022</v>
      </c>
    </row>
    <row r="1115" spans="1:10" x14ac:dyDescent="0.2">
      <c r="A1115" s="8" t="s">
        <v>17</v>
      </c>
      <c r="B1115" s="29">
        <v>35</v>
      </c>
      <c r="C1115" s="29">
        <v>35</v>
      </c>
      <c r="D1115" s="29">
        <v>35</v>
      </c>
      <c r="E1115" s="29">
        <v>35</v>
      </c>
      <c r="F1115" s="29">
        <v>35</v>
      </c>
      <c r="G1115" s="29">
        <v>35</v>
      </c>
      <c r="H1115" s="23">
        <v>29.4</v>
      </c>
      <c r="I1115" s="23">
        <v>29.4</v>
      </c>
      <c r="J1115" s="23">
        <v>29.4</v>
      </c>
    </row>
    <row r="1116" spans="1:10" x14ac:dyDescent="0.2">
      <c r="A1116" s="8" t="s">
        <v>18</v>
      </c>
      <c r="B1116" s="29">
        <v>35</v>
      </c>
      <c r="C1116" s="29">
        <v>42</v>
      </c>
      <c r="D1116" s="29">
        <v>42</v>
      </c>
      <c r="E1116" s="29">
        <v>42</v>
      </c>
      <c r="F1116" s="29">
        <v>42</v>
      </c>
      <c r="G1116" s="29">
        <v>42</v>
      </c>
      <c r="H1116" s="23">
        <v>36.4</v>
      </c>
      <c r="I1116" s="23">
        <v>36.4</v>
      </c>
      <c r="J1116" s="23"/>
    </row>
    <row r="1117" spans="1:10" x14ac:dyDescent="0.2">
      <c r="A1117" s="8" t="s">
        <v>19</v>
      </c>
      <c r="B1117" s="135" t="s">
        <v>144</v>
      </c>
      <c r="C1117" s="136" t="s">
        <v>157</v>
      </c>
      <c r="D1117" s="136" t="s">
        <v>157</v>
      </c>
      <c r="E1117" s="136" t="s">
        <v>157</v>
      </c>
      <c r="F1117" s="136" t="s">
        <v>157</v>
      </c>
      <c r="G1117" s="136" t="s">
        <v>157</v>
      </c>
      <c r="H1117" s="102" t="s">
        <v>311</v>
      </c>
      <c r="I1117" s="102" t="s">
        <v>311</v>
      </c>
      <c r="J1117" s="102"/>
    </row>
    <row r="1118" spans="1:10" x14ac:dyDescent="0.2">
      <c r="A1118" s="8" t="s">
        <v>20</v>
      </c>
      <c r="B1118" s="29">
        <v>9.7799999999999994</v>
      </c>
      <c r="C1118" s="29">
        <v>3.07</v>
      </c>
      <c r="D1118" s="29">
        <v>26.19</v>
      </c>
      <c r="E1118" s="29">
        <v>25.13</v>
      </c>
      <c r="F1118" s="29">
        <v>24.55</v>
      </c>
      <c r="G1118" s="29">
        <v>12.91</v>
      </c>
      <c r="H1118" s="23">
        <v>20.36</v>
      </c>
      <c r="I1118" s="23">
        <v>11.52</v>
      </c>
      <c r="J1118" s="23"/>
    </row>
    <row r="1119" spans="1:10" x14ac:dyDescent="0.2">
      <c r="A1119" s="8" t="s">
        <v>21</v>
      </c>
      <c r="B1119" s="29">
        <v>25.22</v>
      </c>
      <c r="C1119" s="29">
        <v>38.93</v>
      </c>
      <c r="D1119" s="29">
        <v>15.81</v>
      </c>
      <c r="E1119" s="29">
        <v>16.87</v>
      </c>
      <c r="F1119" s="29">
        <v>17.45</v>
      </c>
      <c r="G1119" s="29">
        <f>G1116-G1118</f>
        <v>29.09</v>
      </c>
      <c r="H1119" s="23">
        <f>H1116-H1118</f>
        <v>16.04</v>
      </c>
      <c r="I1119" s="23">
        <f>I1116-I1118</f>
        <v>24.88</v>
      </c>
      <c r="J1119" s="23"/>
    </row>
    <row r="1120" spans="1:10" x14ac:dyDescent="0.2">
      <c r="A1120" s="37" t="s">
        <v>22</v>
      </c>
      <c r="B1120" s="74">
        <v>2016</v>
      </c>
      <c r="C1120" s="74">
        <v>2017</v>
      </c>
      <c r="D1120" s="74">
        <v>2018</v>
      </c>
      <c r="E1120" s="74">
        <v>2019</v>
      </c>
      <c r="F1120" s="74">
        <v>2020</v>
      </c>
      <c r="G1120" s="74">
        <v>2021</v>
      </c>
      <c r="H1120" s="74"/>
      <c r="I1120" s="74"/>
      <c r="J1120" s="74"/>
    </row>
    <row r="1121" spans="1:10" x14ac:dyDescent="0.2">
      <c r="A1121" s="37" t="s">
        <v>158</v>
      </c>
      <c r="B1121" s="134"/>
      <c r="C1121" s="134"/>
      <c r="D1121" s="134"/>
      <c r="E1121" s="134"/>
      <c r="F1121" s="134"/>
      <c r="G1121" s="134"/>
      <c r="H1121" s="134"/>
      <c r="I1121" s="134"/>
      <c r="J1121" s="76"/>
    </row>
    <row r="1122" spans="1:10" x14ac:dyDescent="0.2">
      <c r="A1122" s="17" t="s">
        <v>636</v>
      </c>
      <c r="B1122" s="200"/>
      <c r="C1122" s="200"/>
      <c r="D1122" s="200"/>
      <c r="E1122" s="200"/>
      <c r="F1122" s="200"/>
      <c r="G1122" s="200"/>
      <c r="H1122" s="200"/>
      <c r="I1122" s="200"/>
      <c r="J1122" s="201"/>
    </row>
    <row r="1123" spans="1:10" x14ac:dyDescent="0.2">
      <c r="A1123" s="137" t="s">
        <v>559</v>
      </c>
      <c r="B1123" s="138"/>
      <c r="C1123" s="138"/>
      <c r="D1123" s="138"/>
      <c r="E1123" s="138"/>
      <c r="F1123" s="138"/>
      <c r="G1123" s="138"/>
      <c r="H1123" s="138"/>
      <c r="I1123" s="138"/>
      <c r="J1123" s="139"/>
    </row>
    <row r="1124" spans="1:10" x14ac:dyDescent="0.2">
      <c r="A1124" s="258"/>
      <c r="C1124" s="271"/>
    </row>
    <row r="1125" spans="1:10" x14ac:dyDescent="0.2">
      <c r="A1125" s="16" t="s">
        <v>14</v>
      </c>
      <c r="B1125" s="13" t="s">
        <v>87</v>
      </c>
      <c r="C1125" s="13" t="s">
        <v>160</v>
      </c>
      <c r="D1125" s="7"/>
      <c r="E1125" s="7"/>
      <c r="F1125" s="7"/>
      <c r="G1125" s="7"/>
    </row>
    <row r="1126" spans="1:10" x14ac:dyDescent="0.2">
      <c r="A1126" s="14" t="s">
        <v>16</v>
      </c>
      <c r="B1126" s="143">
        <v>2014</v>
      </c>
      <c r="C1126" s="88">
        <v>2015</v>
      </c>
      <c r="D1126" s="88">
        <v>2016</v>
      </c>
      <c r="E1126" s="88">
        <v>2017</v>
      </c>
      <c r="F1126" s="88">
        <v>2018</v>
      </c>
      <c r="G1126" s="88">
        <v>2019</v>
      </c>
      <c r="H1126" s="57">
        <v>2020</v>
      </c>
      <c r="I1126" s="57">
        <v>2021</v>
      </c>
      <c r="J1126" s="57">
        <v>2022</v>
      </c>
    </row>
    <row r="1127" spans="1:10" x14ac:dyDescent="0.2">
      <c r="A1127" s="8" t="s">
        <v>17</v>
      </c>
      <c r="B1127" s="29">
        <v>20</v>
      </c>
      <c r="C1127" s="29">
        <v>20</v>
      </c>
      <c r="D1127" s="29">
        <v>20</v>
      </c>
      <c r="E1127" s="29">
        <v>20</v>
      </c>
      <c r="F1127" s="29">
        <v>20</v>
      </c>
      <c r="G1127" s="29">
        <v>20</v>
      </c>
      <c r="H1127" s="29">
        <v>20</v>
      </c>
      <c r="I1127" s="29">
        <v>20</v>
      </c>
      <c r="J1127" s="29">
        <v>20</v>
      </c>
    </row>
    <row r="1128" spans="1:10" x14ac:dyDescent="0.2">
      <c r="A1128" s="8" t="s">
        <v>18</v>
      </c>
      <c r="B1128" s="29">
        <v>20</v>
      </c>
      <c r="C1128" s="29">
        <v>24</v>
      </c>
      <c r="D1128" s="29">
        <v>24</v>
      </c>
      <c r="E1128" s="29">
        <v>24</v>
      </c>
      <c r="F1128" s="29">
        <v>24</v>
      </c>
      <c r="G1128" s="29">
        <v>24</v>
      </c>
      <c r="H1128" s="29">
        <v>24</v>
      </c>
      <c r="I1128" s="29">
        <v>24</v>
      </c>
      <c r="J1128" s="29"/>
    </row>
    <row r="1129" spans="1:10" x14ac:dyDescent="0.2">
      <c r="A1129" s="8" t="s">
        <v>19</v>
      </c>
      <c r="B1129" s="135" t="s">
        <v>144</v>
      </c>
      <c r="C1129" s="135" t="s">
        <v>159</v>
      </c>
      <c r="D1129" s="135" t="s">
        <v>159</v>
      </c>
      <c r="E1129" s="135" t="s">
        <v>159</v>
      </c>
      <c r="F1129" s="135" t="s">
        <v>159</v>
      </c>
      <c r="G1129" s="135" t="s">
        <v>159</v>
      </c>
      <c r="H1129" s="135" t="s">
        <v>159</v>
      </c>
      <c r="I1129" s="135" t="s">
        <v>159</v>
      </c>
      <c r="J1129" s="135"/>
    </row>
    <row r="1130" spans="1:10" x14ac:dyDescent="0.2">
      <c r="A1130" s="8" t="s">
        <v>20</v>
      </c>
      <c r="B1130" s="29">
        <v>0.15</v>
      </c>
      <c r="C1130" s="29">
        <v>0</v>
      </c>
      <c r="D1130" s="29">
        <v>0</v>
      </c>
      <c r="E1130" s="29">
        <v>0.14000000000000001</v>
      </c>
      <c r="F1130" s="29">
        <v>0</v>
      </c>
      <c r="G1130" s="29">
        <v>0</v>
      </c>
      <c r="H1130" s="23">
        <v>0</v>
      </c>
      <c r="I1130" s="23">
        <v>0</v>
      </c>
      <c r="J1130" s="23"/>
    </row>
    <row r="1131" spans="1:10" x14ac:dyDescent="0.2">
      <c r="A1131" s="8" t="s">
        <v>21</v>
      </c>
      <c r="B1131" s="29">
        <v>19.850000000000001</v>
      </c>
      <c r="C1131" s="29">
        <v>24</v>
      </c>
      <c r="D1131" s="29">
        <v>24</v>
      </c>
      <c r="E1131" s="29">
        <v>23.86</v>
      </c>
      <c r="F1131" s="29">
        <v>24</v>
      </c>
      <c r="G1131" s="29">
        <f>G1128-G1130</f>
        <v>24</v>
      </c>
      <c r="H1131" s="29">
        <f>H1128-H1130</f>
        <v>24</v>
      </c>
      <c r="I1131" s="23">
        <v>24</v>
      </c>
      <c r="J1131" s="23"/>
    </row>
    <row r="1132" spans="1:10" x14ac:dyDescent="0.2">
      <c r="A1132" s="8" t="s">
        <v>22</v>
      </c>
      <c r="B1132" s="66">
        <v>2016</v>
      </c>
      <c r="C1132" s="66">
        <v>2017</v>
      </c>
      <c r="D1132" s="66">
        <v>2018</v>
      </c>
      <c r="E1132" s="66">
        <v>2019</v>
      </c>
      <c r="F1132" s="66">
        <v>2020</v>
      </c>
      <c r="G1132" s="66">
        <v>2021</v>
      </c>
      <c r="H1132" s="66"/>
      <c r="I1132" s="66"/>
      <c r="J1132" s="66"/>
    </row>
    <row r="1133" spans="1:10" x14ac:dyDescent="0.2">
      <c r="A1133" s="37" t="s">
        <v>158</v>
      </c>
      <c r="B1133" s="134"/>
      <c r="C1133" s="134"/>
      <c r="D1133" s="134"/>
      <c r="E1133" s="134"/>
      <c r="F1133" s="134"/>
      <c r="G1133" s="134"/>
      <c r="H1133" s="134"/>
      <c r="I1133" s="134"/>
      <c r="J1133" s="76"/>
    </row>
    <row r="1134" spans="1:10" x14ac:dyDescent="0.2">
      <c r="A1134" s="137" t="s">
        <v>559</v>
      </c>
      <c r="B1134" s="138"/>
      <c r="C1134" s="138"/>
      <c r="D1134" s="138"/>
      <c r="E1134" s="138"/>
      <c r="F1134" s="138"/>
      <c r="G1134" s="138"/>
      <c r="H1134" s="138"/>
      <c r="I1134" s="138"/>
      <c r="J1134" s="139"/>
    </row>
    <row r="1135" spans="1:10" x14ac:dyDescent="0.2">
      <c r="A1135" s="258"/>
      <c r="C1135" s="271"/>
    </row>
    <row r="1136" spans="1:10" x14ac:dyDescent="0.2">
      <c r="A1136" s="258"/>
      <c r="C1136" s="271"/>
    </row>
    <row r="1137" spans="1:8" x14ac:dyDescent="0.2">
      <c r="A1137" s="337" t="s">
        <v>12</v>
      </c>
      <c r="B1137" s="631" t="s">
        <v>424</v>
      </c>
    </row>
    <row r="1138" spans="1:8" x14ac:dyDescent="0.2">
      <c r="A1138" s="117" t="s">
        <v>14</v>
      </c>
      <c r="B1138" s="61" t="s">
        <v>82</v>
      </c>
      <c r="C1138" s="61" t="s">
        <v>160</v>
      </c>
    </row>
    <row r="1139" spans="1:8" x14ac:dyDescent="0.2">
      <c r="A1139" s="32" t="s">
        <v>16</v>
      </c>
      <c r="B1139" s="141">
        <v>2016</v>
      </c>
      <c r="C1139" s="57">
        <v>2017</v>
      </c>
      <c r="D1139" s="57">
        <v>2018</v>
      </c>
      <c r="E1139" s="57">
        <v>2019</v>
      </c>
      <c r="F1139" s="57">
        <v>2020</v>
      </c>
      <c r="G1139" s="57">
        <v>2021</v>
      </c>
      <c r="H1139" s="57">
        <v>2022</v>
      </c>
    </row>
    <row r="1140" spans="1:8" x14ac:dyDescent="0.2">
      <c r="A1140" s="52" t="s">
        <v>17</v>
      </c>
      <c r="B1140" s="23">
        <v>10</v>
      </c>
      <c r="C1140" s="23">
        <v>10</v>
      </c>
      <c r="D1140" s="23">
        <v>10</v>
      </c>
      <c r="E1140" s="23">
        <v>10</v>
      </c>
      <c r="F1140" s="23">
        <v>10</v>
      </c>
      <c r="G1140" s="23">
        <v>10</v>
      </c>
      <c r="H1140" s="23">
        <v>10</v>
      </c>
    </row>
    <row r="1141" spans="1:8" x14ac:dyDescent="0.2">
      <c r="A1141" s="52" t="s">
        <v>18</v>
      </c>
      <c r="B1141" s="23">
        <v>10</v>
      </c>
      <c r="C1141" s="51">
        <f>C1140+B1144</f>
        <v>-106.85</v>
      </c>
      <c r="D1141" s="51">
        <f t="shared" ref="D1141:F1141" si="37">D1140+C1144</f>
        <v>-107.18599999999999</v>
      </c>
      <c r="E1141" s="51">
        <f t="shared" si="37"/>
        <v>-97.965349999999987</v>
      </c>
      <c r="F1141" s="51">
        <f t="shared" si="37"/>
        <v>-89.945349999999991</v>
      </c>
      <c r="G1141" s="51">
        <f>F1144+G1140</f>
        <v>-81.765349999999984</v>
      </c>
      <c r="H1141" s="51">
        <f>G1144+H1140</f>
        <v>-73.615349999999978</v>
      </c>
    </row>
    <row r="1142" spans="1:8" x14ac:dyDescent="0.2">
      <c r="A1142" s="52" t="s">
        <v>19</v>
      </c>
      <c r="B1142" s="53"/>
      <c r="C1142" s="53" t="s">
        <v>425</v>
      </c>
      <c r="D1142" s="53" t="s">
        <v>426</v>
      </c>
      <c r="E1142" s="53" t="s">
        <v>427</v>
      </c>
      <c r="F1142" s="53" t="s">
        <v>428</v>
      </c>
      <c r="G1142" s="53" t="s">
        <v>617</v>
      </c>
      <c r="H1142" s="53" t="s">
        <v>689</v>
      </c>
    </row>
    <row r="1143" spans="1:8" x14ac:dyDescent="0.2">
      <c r="A1143" s="52" t="s">
        <v>20</v>
      </c>
      <c r="B1143" s="53">
        <v>126.85</v>
      </c>
      <c r="C1143" s="53">
        <v>10.336</v>
      </c>
      <c r="D1143" s="53">
        <v>0.77934999999999999</v>
      </c>
      <c r="E1143" s="53">
        <v>1.98</v>
      </c>
      <c r="F1143" s="53">
        <v>1.82</v>
      </c>
      <c r="G1143" s="53">
        <v>1.85</v>
      </c>
      <c r="H1143" s="53"/>
    </row>
    <row r="1144" spans="1:8" x14ac:dyDescent="0.2">
      <c r="A1144" s="52" t="s">
        <v>21</v>
      </c>
      <c r="B1144" s="51">
        <f>B1141-B1143</f>
        <v>-116.85</v>
      </c>
      <c r="C1144" s="51">
        <f>C1141-C1143</f>
        <v>-117.18599999999999</v>
      </c>
      <c r="D1144" s="51">
        <f t="shared" ref="D1144:E1144" si="38">D1141-D1143</f>
        <v>-107.96534999999999</v>
      </c>
      <c r="E1144" s="51">
        <f t="shared" si="38"/>
        <v>-99.945349999999991</v>
      </c>
      <c r="F1144" s="51">
        <f>F1141-F1143</f>
        <v>-91.765349999999984</v>
      </c>
      <c r="G1144" s="51">
        <f>G1141-G1143</f>
        <v>-83.615349999999978</v>
      </c>
      <c r="H1144" s="23"/>
    </row>
    <row r="1145" spans="1:8" x14ac:dyDescent="0.2">
      <c r="A1145" s="55" t="s">
        <v>22</v>
      </c>
      <c r="B1145" s="80">
        <v>2017</v>
      </c>
      <c r="C1145" s="80">
        <v>2018</v>
      </c>
      <c r="D1145" s="80">
        <v>2019</v>
      </c>
      <c r="E1145" s="80">
        <v>2020</v>
      </c>
      <c r="F1145" s="80">
        <v>2021</v>
      </c>
      <c r="G1145" s="80">
        <v>2022</v>
      </c>
      <c r="H1145" s="80">
        <v>2023</v>
      </c>
    </row>
    <row r="1146" spans="1:8" x14ac:dyDescent="0.2">
      <c r="A1146" s="55" t="s">
        <v>188</v>
      </c>
      <c r="B1146" s="30"/>
      <c r="C1146" s="30"/>
      <c r="D1146" s="30"/>
      <c r="E1146" s="30"/>
      <c r="F1146" s="30"/>
      <c r="G1146" s="30"/>
      <c r="H1146" s="31"/>
    </row>
    <row r="1147" spans="1:8" x14ac:dyDescent="0.2">
      <c r="A1147" s="5" t="s">
        <v>429</v>
      </c>
      <c r="H1147" s="21"/>
    </row>
    <row r="1148" spans="1:8" x14ac:dyDescent="0.2">
      <c r="A1148" s="5" t="s">
        <v>430</v>
      </c>
      <c r="H1148" s="21"/>
    </row>
    <row r="1149" spans="1:8" x14ac:dyDescent="0.2">
      <c r="A1149" s="5" t="s">
        <v>431</v>
      </c>
      <c r="H1149" s="21"/>
    </row>
    <row r="1150" spans="1:8" x14ac:dyDescent="0.2">
      <c r="A1150" s="5" t="s">
        <v>616</v>
      </c>
      <c r="C1150" s="271"/>
      <c r="H1150" s="21"/>
    </row>
    <row r="1151" spans="1:8" x14ac:dyDescent="0.2">
      <c r="A1151" s="5" t="s">
        <v>618</v>
      </c>
      <c r="C1151" s="271"/>
      <c r="H1151" s="21"/>
    </row>
    <row r="1152" spans="1:8" x14ac:dyDescent="0.2">
      <c r="A1152" s="82" t="s">
        <v>690</v>
      </c>
      <c r="B1152" s="33"/>
      <c r="C1152" s="257"/>
      <c r="D1152" s="33"/>
      <c r="E1152" s="33"/>
      <c r="F1152" s="33"/>
      <c r="G1152" s="33"/>
      <c r="H1152" s="34"/>
    </row>
    <row r="1153" spans="1:8" x14ac:dyDescent="0.2">
      <c r="A1153" s="258"/>
      <c r="C1153" s="271"/>
    </row>
    <row r="1155" spans="1:8" x14ac:dyDescent="0.2">
      <c r="A1155" s="205" t="s">
        <v>11</v>
      </c>
      <c r="B1155" s="206" t="s">
        <v>0</v>
      </c>
    </row>
    <row r="1156" spans="1:8" s="335" customFormat="1" x14ac:dyDescent="0.2">
      <c r="A1156" s="117" t="s">
        <v>1</v>
      </c>
      <c r="B1156" s="61" t="s">
        <v>709</v>
      </c>
      <c r="C1156" s="42" t="s">
        <v>2</v>
      </c>
      <c r="D1156" s="19"/>
      <c r="E1156" s="19"/>
      <c r="F1156" s="19"/>
      <c r="G1156" s="19"/>
    </row>
    <row r="1157" spans="1:8" s="335" customFormat="1" x14ac:dyDescent="0.2">
      <c r="A1157" s="52" t="s">
        <v>3</v>
      </c>
      <c r="B1157" s="57">
        <v>2017</v>
      </c>
      <c r="C1157" s="57">
        <v>2018</v>
      </c>
      <c r="D1157" s="105">
        <v>2019</v>
      </c>
      <c r="E1157" s="57">
        <v>2020</v>
      </c>
      <c r="F1157" s="57">
        <v>2021</v>
      </c>
      <c r="G1157" s="57">
        <v>2022</v>
      </c>
      <c r="H1157" s="57">
        <v>2023</v>
      </c>
    </row>
    <row r="1158" spans="1:8" s="335" customFormat="1" x14ac:dyDescent="0.2">
      <c r="A1158" s="52" t="s">
        <v>4</v>
      </c>
      <c r="B1158" s="53">
        <v>200</v>
      </c>
      <c r="C1158" s="53">
        <v>200</v>
      </c>
      <c r="D1158" s="106">
        <v>215</v>
      </c>
      <c r="E1158" s="53">
        <v>215</v>
      </c>
      <c r="F1158" s="107">
        <v>242</v>
      </c>
      <c r="G1158" s="107">
        <v>242</v>
      </c>
      <c r="H1158" s="107">
        <v>242</v>
      </c>
    </row>
    <row r="1159" spans="1:8" s="335" customFormat="1" x14ac:dyDescent="0.2">
      <c r="A1159" s="52" t="s">
        <v>5</v>
      </c>
      <c r="B1159" s="53">
        <v>250</v>
      </c>
      <c r="C1159" s="53">
        <v>250</v>
      </c>
      <c r="D1159" s="106">
        <v>265</v>
      </c>
      <c r="E1159" s="53">
        <v>265</v>
      </c>
      <c r="F1159" s="107">
        <f>F1158+0.25*D1158</f>
        <v>295.75</v>
      </c>
      <c r="G1159" s="107">
        <f>G1158+0.25*E1158</f>
        <v>295.75</v>
      </c>
      <c r="H1159" s="107">
        <f>H1158+0.25*F1158</f>
        <v>302.5</v>
      </c>
    </row>
    <row r="1160" spans="1:8" s="335" customFormat="1" x14ac:dyDescent="0.2">
      <c r="A1160" s="52" t="s">
        <v>6</v>
      </c>
      <c r="B1160" s="53"/>
      <c r="C1160" s="53"/>
      <c r="D1160" s="53"/>
      <c r="E1160" s="53"/>
      <c r="F1160" s="107"/>
      <c r="G1160" s="107"/>
      <c r="H1160" s="107"/>
    </row>
    <row r="1161" spans="1:8" s="335" customFormat="1" x14ac:dyDescent="0.2">
      <c r="A1161" s="52" t="s">
        <v>7</v>
      </c>
      <c r="B1161" s="53">
        <v>20</v>
      </c>
      <c r="C1161" s="53">
        <v>20</v>
      </c>
      <c r="D1161" s="53">
        <v>25</v>
      </c>
      <c r="E1161" s="53">
        <v>29</v>
      </c>
      <c r="F1161" s="107">
        <v>40</v>
      </c>
      <c r="G1161" s="107"/>
      <c r="H1161" s="107"/>
    </row>
    <row r="1162" spans="1:8" s="335" customFormat="1" x14ac:dyDescent="0.2">
      <c r="A1162" s="52" t="s">
        <v>8</v>
      </c>
      <c r="B1162" s="53">
        <v>230</v>
      </c>
      <c r="C1162" s="53">
        <v>230</v>
      </c>
      <c r="D1162" s="53">
        <v>240</v>
      </c>
      <c r="E1162" s="53">
        <v>236</v>
      </c>
      <c r="F1162" s="107">
        <f>F1159-F1161</f>
        <v>255.75</v>
      </c>
      <c r="G1162" s="107"/>
      <c r="H1162" s="107"/>
    </row>
    <row r="1163" spans="1:8" s="335" customFormat="1" x14ac:dyDescent="0.2">
      <c r="A1163" s="55" t="s">
        <v>9</v>
      </c>
      <c r="B1163" s="63">
        <v>2019</v>
      </c>
      <c r="C1163" s="63">
        <v>2020</v>
      </c>
      <c r="D1163" s="94">
        <v>2021</v>
      </c>
      <c r="E1163" s="63">
        <v>2022</v>
      </c>
      <c r="F1163" s="95">
        <v>2023</v>
      </c>
      <c r="G1163" s="95">
        <v>2024</v>
      </c>
      <c r="H1163" s="95">
        <v>2025</v>
      </c>
    </row>
    <row r="1164" spans="1:8" s="335" customFormat="1" x14ac:dyDescent="0.2">
      <c r="A1164" s="52" t="s">
        <v>10</v>
      </c>
      <c r="B1164" s="64"/>
      <c r="C1164" s="64"/>
      <c r="D1164" s="64"/>
      <c r="E1164" s="64"/>
      <c r="F1164" s="64"/>
      <c r="G1164" s="64"/>
      <c r="H1164" s="421"/>
    </row>
    <row r="1165" spans="1:8" s="335" customFormat="1" x14ac:dyDescent="0.2">
      <c r="A1165" s="600" t="s">
        <v>639</v>
      </c>
      <c r="B1165" s="601"/>
      <c r="C1165" s="601"/>
      <c r="D1165" s="601"/>
      <c r="E1165" s="601"/>
      <c r="F1165" s="601"/>
      <c r="G1165" s="601"/>
      <c r="H1165" s="420"/>
    </row>
    <row r="1166" spans="1:8" s="335" customFormat="1" x14ac:dyDescent="0.2">
      <c r="A1166" s="606" t="s">
        <v>640</v>
      </c>
      <c r="B1166" s="601"/>
      <c r="C1166" s="601"/>
      <c r="D1166" s="601"/>
      <c r="E1166" s="601"/>
      <c r="F1166" s="601"/>
      <c r="G1166" s="601"/>
      <c r="H1166" s="420"/>
    </row>
    <row r="1167" spans="1:8" s="335" customFormat="1" x14ac:dyDescent="0.2">
      <c r="A1167" s="606" t="s">
        <v>641</v>
      </c>
      <c r="B1167" s="601"/>
      <c r="C1167" s="601"/>
      <c r="D1167" s="601"/>
      <c r="E1167" s="601"/>
      <c r="F1167" s="601"/>
      <c r="G1167" s="601"/>
      <c r="H1167" s="420"/>
    </row>
    <row r="1168" spans="1:8" x14ac:dyDescent="0.2">
      <c r="A1168" s="614" t="s">
        <v>669</v>
      </c>
      <c r="B1168" s="615"/>
      <c r="C1168" s="615"/>
      <c r="D1168" s="615"/>
      <c r="E1168" s="615"/>
      <c r="F1168" s="615"/>
      <c r="G1168" s="615"/>
      <c r="H1168" s="34"/>
    </row>
    <row r="1169" spans="1:8" x14ac:dyDescent="0.2">
      <c r="A1169" s="18"/>
      <c r="B1169" s="18"/>
    </row>
    <row r="1170" spans="1:8" x14ac:dyDescent="0.2">
      <c r="A1170" s="117" t="s">
        <v>1</v>
      </c>
      <c r="B1170" s="61" t="s">
        <v>708</v>
      </c>
      <c r="C1170" s="42" t="s">
        <v>2</v>
      </c>
    </row>
    <row r="1171" spans="1:8" x14ac:dyDescent="0.2">
      <c r="A1171" s="52" t="s">
        <v>3</v>
      </c>
      <c r="B1171" s="57">
        <v>2017</v>
      </c>
      <c r="C1171" s="57">
        <v>2018</v>
      </c>
      <c r="D1171" s="105">
        <v>2019</v>
      </c>
      <c r="E1171" s="57">
        <v>2020</v>
      </c>
      <c r="F1171" s="57">
        <v>2021</v>
      </c>
      <c r="G1171" s="57">
        <v>2022</v>
      </c>
      <c r="H1171" s="57">
        <v>2023</v>
      </c>
    </row>
    <row r="1172" spans="1:8" x14ac:dyDescent="0.2">
      <c r="A1172" s="52" t="s">
        <v>4</v>
      </c>
      <c r="B1172" s="53">
        <v>850</v>
      </c>
      <c r="C1172" s="53">
        <v>850</v>
      </c>
      <c r="D1172" s="106">
        <v>850</v>
      </c>
      <c r="E1172" s="53">
        <v>850</v>
      </c>
      <c r="F1172" s="107">
        <v>850</v>
      </c>
      <c r="G1172" s="107">
        <v>850</v>
      </c>
      <c r="H1172" s="107">
        <v>850</v>
      </c>
    </row>
    <row r="1173" spans="1:8" x14ac:dyDescent="0.2">
      <c r="A1173" s="52" t="s">
        <v>5</v>
      </c>
      <c r="B1173" s="53">
        <v>950</v>
      </c>
      <c r="C1173" s="53">
        <v>900</v>
      </c>
      <c r="D1173" s="106">
        <v>1000</v>
      </c>
      <c r="E1173" s="53">
        <v>995</v>
      </c>
      <c r="F1173" s="107">
        <v>1095</v>
      </c>
      <c r="G1173" s="381">
        <f>G1172+E1176+150+20+25</f>
        <v>1104.1799999999998</v>
      </c>
      <c r="H1173" s="107">
        <f>H1172+0.15*F1172+150+20+25</f>
        <v>1172.5</v>
      </c>
    </row>
    <row r="1174" spans="1:8" x14ac:dyDescent="0.2">
      <c r="A1174" s="52" t="s">
        <v>6</v>
      </c>
      <c r="B1174" s="53"/>
      <c r="C1174" s="53"/>
      <c r="D1174" s="106"/>
      <c r="E1174" s="53"/>
      <c r="F1174" s="107"/>
      <c r="G1174" s="107"/>
      <c r="H1174" s="107"/>
    </row>
    <row r="1175" spans="1:8" x14ac:dyDescent="0.2">
      <c r="A1175" s="52" t="s">
        <v>7</v>
      </c>
      <c r="B1175" s="53">
        <v>900</v>
      </c>
      <c r="C1175" s="53">
        <v>950</v>
      </c>
      <c r="D1175" s="106">
        <v>950</v>
      </c>
      <c r="E1175" s="53">
        <v>935.82</v>
      </c>
      <c r="F1175" s="107">
        <v>955.3</v>
      </c>
      <c r="G1175" s="107"/>
      <c r="H1175" s="107"/>
    </row>
    <row r="1176" spans="1:8" x14ac:dyDescent="0.2">
      <c r="A1176" s="52" t="s">
        <v>8</v>
      </c>
      <c r="B1176" s="53">
        <f>B1173-B1175</f>
        <v>50</v>
      </c>
      <c r="C1176" s="53">
        <f t="shared" ref="C1176:E1176" si="39">C1173-C1175</f>
        <v>-50</v>
      </c>
      <c r="D1176" s="53">
        <f t="shared" si="39"/>
        <v>50</v>
      </c>
      <c r="E1176" s="53">
        <f t="shared" si="39"/>
        <v>59.17999999999995</v>
      </c>
      <c r="F1176" s="107">
        <f>F1173-F1175</f>
        <v>139.70000000000005</v>
      </c>
      <c r="G1176" s="107"/>
      <c r="H1176" s="107"/>
    </row>
    <row r="1177" spans="1:8" ht="13.15" customHeight="1" x14ac:dyDescent="0.2">
      <c r="A1177" s="55" t="s">
        <v>9</v>
      </c>
      <c r="B1177" s="63">
        <v>2019</v>
      </c>
      <c r="C1177" s="63">
        <v>2020</v>
      </c>
      <c r="D1177" s="94">
        <v>2021</v>
      </c>
      <c r="E1177" s="63">
        <v>2022</v>
      </c>
      <c r="F1177" s="95">
        <v>2023</v>
      </c>
      <c r="G1177" s="95">
        <v>2024</v>
      </c>
      <c r="H1177" s="95">
        <v>2025</v>
      </c>
    </row>
    <row r="1178" spans="1:8" ht="13.15" customHeight="1" x14ac:dyDescent="0.2">
      <c r="A1178" s="55" t="s">
        <v>10</v>
      </c>
      <c r="B1178" s="30"/>
      <c r="C1178" s="30"/>
      <c r="D1178" s="30"/>
      <c r="E1178" s="30"/>
      <c r="F1178" s="30"/>
      <c r="G1178" s="31"/>
      <c r="H1178" s="31"/>
    </row>
    <row r="1179" spans="1:8" x14ac:dyDescent="0.2">
      <c r="A1179" s="55" t="s">
        <v>642</v>
      </c>
      <c r="B1179" s="30"/>
      <c r="C1179" s="30"/>
      <c r="D1179" s="30"/>
      <c r="E1179" s="30"/>
      <c r="F1179" s="30"/>
      <c r="G1179" s="30"/>
      <c r="H1179" s="31"/>
    </row>
    <row r="1180" spans="1:8" ht="25.9" customHeight="1" x14ac:dyDescent="0.2">
      <c r="A1180" s="20" t="s">
        <v>643</v>
      </c>
      <c r="H1180" s="21"/>
    </row>
    <row r="1181" spans="1:8" ht="33" customHeight="1" x14ac:dyDescent="0.2">
      <c r="A1181" s="600" t="s">
        <v>644</v>
      </c>
      <c r="B1181" s="601"/>
      <c r="C1181" s="601"/>
      <c r="D1181" s="601"/>
      <c r="E1181" s="601"/>
      <c r="F1181" s="601"/>
      <c r="G1181" s="601"/>
      <c r="H1181" s="602"/>
    </row>
    <row r="1182" spans="1:8" ht="25.15" customHeight="1" x14ac:dyDescent="0.2">
      <c r="A1182" s="574" t="s">
        <v>645</v>
      </c>
      <c r="B1182" s="575"/>
      <c r="C1182" s="575"/>
      <c r="D1182" s="575"/>
      <c r="E1182" s="575"/>
      <c r="F1182" s="575"/>
      <c r="G1182" s="575"/>
      <c r="H1182" s="576"/>
    </row>
    <row r="1183" spans="1:8" ht="25.15" customHeight="1" x14ac:dyDescent="0.2">
      <c r="A1183" s="589" t="s">
        <v>670</v>
      </c>
      <c r="B1183" s="590"/>
      <c r="C1183" s="590"/>
      <c r="D1183" s="590"/>
      <c r="E1183" s="590"/>
      <c r="F1183" s="590"/>
      <c r="G1183" s="590"/>
      <c r="H1183" s="603"/>
    </row>
    <row r="1184" spans="1:8" ht="40.15" customHeight="1" x14ac:dyDescent="0.2">
      <c r="A1184" s="572" t="s">
        <v>671</v>
      </c>
      <c r="B1184" s="573"/>
      <c r="C1184" s="573"/>
      <c r="D1184" s="573"/>
      <c r="E1184" s="573"/>
      <c r="F1184" s="573"/>
      <c r="G1184" s="573"/>
      <c r="H1184" s="580"/>
    </row>
    <row r="1186" spans="1:7" x14ac:dyDescent="0.2">
      <c r="A1186" s="117" t="s">
        <v>1</v>
      </c>
      <c r="B1186" s="61" t="s">
        <v>737</v>
      </c>
      <c r="C1186" s="42" t="s">
        <v>2</v>
      </c>
    </row>
    <row r="1187" spans="1:7" x14ac:dyDescent="0.2">
      <c r="A1187" s="52" t="s">
        <v>3</v>
      </c>
      <c r="B1187" s="22"/>
      <c r="C1187" s="60"/>
      <c r="D1187" s="64"/>
      <c r="E1187" s="57">
        <v>2020</v>
      </c>
      <c r="F1187" s="57">
        <v>2021</v>
      </c>
      <c r="G1187" s="57">
        <v>2022</v>
      </c>
    </row>
    <row r="1188" spans="1:7" x14ac:dyDescent="0.2">
      <c r="A1188" s="52" t="s">
        <v>4</v>
      </c>
      <c r="B1188" s="22"/>
      <c r="C1188" s="338"/>
      <c r="D1188" s="130"/>
      <c r="E1188" s="23">
        <v>3284</v>
      </c>
      <c r="F1188" s="131">
        <v>3284</v>
      </c>
      <c r="G1188" s="131">
        <v>3284</v>
      </c>
    </row>
    <row r="1189" spans="1:7" x14ac:dyDescent="0.2">
      <c r="A1189" s="52" t="s">
        <v>5</v>
      </c>
      <c r="B1189" s="22"/>
      <c r="C1189" s="338"/>
      <c r="D1189" s="130"/>
      <c r="E1189" s="23">
        <v>3488.62</v>
      </c>
      <c r="F1189" s="131">
        <v>3318.91</v>
      </c>
      <c r="G1189" s="131">
        <f>G1188+F1192+259.62</f>
        <v>3568.2699999999995</v>
      </c>
    </row>
    <row r="1190" spans="1:7" x14ac:dyDescent="0.2">
      <c r="A1190" s="52" t="s">
        <v>6</v>
      </c>
      <c r="B1190" s="22"/>
      <c r="C1190" s="338"/>
      <c r="D1190" s="130"/>
      <c r="E1190" s="23"/>
      <c r="F1190" s="131"/>
      <c r="G1190" s="131"/>
    </row>
    <row r="1191" spans="1:7" x14ac:dyDescent="0.2">
      <c r="A1191" s="52" t="s">
        <v>7</v>
      </c>
      <c r="B1191" s="22"/>
      <c r="C1191" s="338"/>
      <c r="D1191" s="130"/>
      <c r="E1191" s="23">
        <v>3453.71</v>
      </c>
      <c r="F1191" s="131">
        <v>3294.26</v>
      </c>
      <c r="G1191" s="131"/>
    </row>
    <row r="1192" spans="1:7" x14ac:dyDescent="0.2">
      <c r="A1192" s="52" t="s">
        <v>8</v>
      </c>
      <c r="B1192" s="22"/>
      <c r="C1192" s="338"/>
      <c r="D1192" s="130"/>
      <c r="E1192" s="23">
        <v>34.909999999999997</v>
      </c>
      <c r="F1192" s="131">
        <f>F1189-F1191</f>
        <v>24.649999999999636</v>
      </c>
      <c r="G1192" s="131"/>
    </row>
    <row r="1193" spans="1:7" x14ac:dyDescent="0.2">
      <c r="A1193" s="55" t="s">
        <v>9</v>
      </c>
      <c r="B1193" s="36"/>
      <c r="C1193" s="63"/>
      <c r="D1193" s="30"/>
      <c r="E1193" s="63">
        <v>2021</v>
      </c>
      <c r="F1193" s="95">
        <v>2022</v>
      </c>
      <c r="G1193" s="95">
        <v>2023</v>
      </c>
    </row>
    <row r="1194" spans="1:7" x14ac:dyDescent="0.2">
      <c r="A1194" s="52" t="s">
        <v>10</v>
      </c>
      <c r="B1194" s="64"/>
      <c r="C1194" s="64"/>
      <c r="D1194" s="64"/>
      <c r="E1194" s="64"/>
      <c r="F1194" s="64"/>
      <c r="G1194" s="62"/>
    </row>
    <row r="1195" spans="1:7" x14ac:dyDescent="0.2">
      <c r="A1195" s="1" t="s">
        <v>646</v>
      </c>
      <c r="B1195" s="30"/>
      <c r="C1195" s="30"/>
      <c r="D1195" s="30"/>
      <c r="E1195" s="30"/>
      <c r="F1195" s="30"/>
      <c r="G1195" s="31"/>
    </row>
    <row r="1196" spans="1:7" x14ac:dyDescent="0.2">
      <c r="A1196" s="422" t="s">
        <v>672</v>
      </c>
      <c r="G1196" s="21"/>
    </row>
    <row r="1197" spans="1:7" x14ac:dyDescent="0.2">
      <c r="A1197" s="422" t="s">
        <v>673</v>
      </c>
      <c r="B1197" s="339"/>
      <c r="C1197" s="339"/>
      <c r="D1197" s="339"/>
      <c r="E1197" s="339"/>
      <c r="F1197" s="339"/>
      <c r="G1197" s="423"/>
    </row>
    <row r="1198" spans="1:7" x14ac:dyDescent="0.2">
      <c r="A1198" s="32"/>
      <c r="B1198" s="33"/>
      <c r="C1198" s="33"/>
      <c r="D1198" s="33"/>
      <c r="E1198" s="33"/>
      <c r="F1198" s="33"/>
      <c r="G1198" s="34"/>
    </row>
    <row r="1199" spans="1:7" x14ac:dyDescent="0.2">
      <c r="A1199" s="32"/>
      <c r="B1199" s="33"/>
      <c r="C1199" s="33"/>
    </row>
    <row r="1200" spans="1:7" x14ac:dyDescent="0.2">
      <c r="A1200" s="83" t="s">
        <v>1</v>
      </c>
      <c r="B1200" s="81" t="s">
        <v>82</v>
      </c>
      <c r="C1200" s="350" t="s">
        <v>2</v>
      </c>
    </row>
    <row r="1201" spans="1:8" x14ac:dyDescent="0.2">
      <c r="A1201" s="52" t="s">
        <v>3</v>
      </c>
      <c r="B1201" s="57">
        <v>2017</v>
      </c>
      <c r="C1201" s="57">
        <v>2018</v>
      </c>
      <c r="D1201" s="105">
        <v>2019</v>
      </c>
      <c r="E1201" s="57">
        <v>2020</v>
      </c>
      <c r="F1201" s="57">
        <v>2021</v>
      </c>
      <c r="G1201" s="57">
        <v>2022</v>
      </c>
      <c r="H1201" s="57">
        <v>2023</v>
      </c>
    </row>
    <row r="1202" spans="1:8" x14ac:dyDescent="0.2">
      <c r="A1202" s="52" t="s">
        <v>4</v>
      </c>
      <c r="B1202" s="23">
        <v>10</v>
      </c>
      <c r="C1202" s="338">
        <v>10</v>
      </c>
      <c r="D1202" s="130">
        <v>10</v>
      </c>
      <c r="E1202" s="23">
        <v>10</v>
      </c>
      <c r="F1202" s="131">
        <v>10</v>
      </c>
      <c r="G1202" s="131">
        <v>10</v>
      </c>
      <c r="H1202" s="131">
        <v>10</v>
      </c>
    </row>
    <row r="1203" spans="1:8" x14ac:dyDescent="0.2">
      <c r="A1203" s="52" t="s">
        <v>5</v>
      </c>
      <c r="B1203" s="23">
        <v>10</v>
      </c>
      <c r="C1203" s="338">
        <v>-62</v>
      </c>
      <c r="D1203" s="130">
        <v>-52</v>
      </c>
      <c r="E1203" s="23">
        <v>-42</v>
      </c>
      <c r="F1203" s="131">
        <v>-32</v>
      </c>
      <c r="G1203" s="131">
        <v>-22</v>
      </c>
      <c r="H1203" s="131">
        <v>-12</v>
      </c>
    </row>
    <row r="1204" spans="1:8" x14ac:dyDescent="0.2">
      <c r="A1204" s="52" t="s">
        <v>6</v>
      </c>
      <c r="B1204" s="23"/>
      <c r="C1204" s="338"/>
      <c r="D1204" s="130"/>
      <c r="E1204" s="23"/>
      <c r="F1204" s="131"/>
      <c r="G1204" s="131"/>
      <c r="H1204" s="131"/>
    </row>
    <row r="1205" spans="1:8" x14ac:dyDescent="0.2">
      <c r="A1205" s="52" t="s">
        <v>7</v>
      </c>
      <c r="B1205" s="23">
        <v>82</v>
      </c>
      <c r="C1205" s="338">
        <v>0</v>
      </c>
      <c r="D1205" s="130">
        <v>0</v>
      </c>
      <c r="E1205" s="23">
        <v>0</v>
      </c>
      <c r="F1205" s="131">
        <v>0</v>
      </c>
      <c r="G1205" s="131"/>
      <c r="H1205" s="131"/>
    </row>
    <row r="1206" spans="1:8" x14ac:dyDescent="0.2">
      <c r="A1206" s="52" t="s">
        <v>8</v>
      </c>
      <c r="B1206" s="23">
        <v>-72</v>
      </c>
      <c r="C1206" s="338">
        <v>-62</v>
      </c>
      <c r="D1206" s="130">
        <v>-52</v>
      </c>
      <c r="E1206" s="23">
        <v>-42</v>
      </c>
      <c r="F1206" s="131">
        <v>-32</v>
      </c>
      <c r="G1206" s="131"/>
      <c r="H1206" s="131"/>
    </row>
    <row r="1207" spans="1:8" x14ac:dyDescent="0.2">
      <c r="A1207" s="55" t="s">
        <v>9</v>
      </c>
      <c r="B1207" s="63">
        <v>2018</v>
      </c>
      <c r="C1207" s="63">
        <v>2019</v>
      </c>
      <c r="D1207" s="63">
        <v>2020</v>
      </c>
      <c r="E1207" s="63">
        <v>2021</v>
      </c>
      <c r="F1207" s="63">
        <v>2022</v>
      </c>
      <c r="G1207" s="63">
        <v>2023</v>
      </c>
      <c r="H1207" s="63">
        <v>2024</v>
      </c>
    </row>
    <row r="1208" spans="1:8" x14ac:dyDescent="0.2">
      <c r="A1208" s="52" t="s">
        <v>10</v>
      </c>
      <c r="B1208" s="64"/>
      <c r="C1208" s="64"/>
      <c r="D1208" s="64"/>
      <c r="E1208" s="64"/>
      <c r="F1208" s="64"/>
      <c r="G1208" s="64"/>
      <c r="H1208" s="62"/>
    </row>
    <row r="1209" spans="1:8" x14ac:dyDescent="0.2">
      <c r="A1209" s="5" t="s">
        <v>647</v>
      </c>
      <c r="B1209" s="4"/>
      <c r="C1209" s="4"/>
      <c r="D1209" s="4"/>
      <c r="E1209" s="4"/>
      <c r="F1209" s="4"/>
      <c r="H1209" s="21"/>
    </row>
    <row r="1210" spans="1:8" x14ac:dyDescent="0.2">
      <c r="A1210" s="20" t="s">
        <v>674</v>
      </c>
      <c r="B1210" s="4"/>
      <c r="C1210" s="4"/>
      <c r="D1210" s="4"/>
      <c r="E1210" s="4"/>
      <c r="F1210" s="4"/>
      <c r="H1210" s="21"/>
    </row>
    <row r="1211" spans="1:8" x14ac:dyDescent="0.2">
      <c r="A1211" s="5" t="s">
        <v>675</v>
      </c>
      <c r="B1211" s="4"/>
      <c r="C1211" s="4"/>
      <c r="D1211" s="4"/>
      <c r="E1211" s="4"/>
      <c r="F1211" s="4"/>
      <c r="H1211" s="21"/>
    </row>
    <row r="1212" spans="1:8" x14ac:dyDescent="0.2">
      <c r="A1212" s="32" t="s">
        <v>676</v>
      </c>
      <c r="B1212" s="33"/>
      <c r="C1212" s="33"/>
      <c r="D1212" s="33"/>
      <c r="E1212" s="33"/>
      <c r="F1212" s="33"/>
      <c r="G1212" s="33"/>
      <c r="H1212" s="34"/>
    </row>
    <row r="1215" spans="1:8" x14ac:dyDescent="0.2">
      <c r="A1215" s="337" t="s">
        <v>24</v>
      </c>
      <c r="B1215" s="631" t="s">
        <v>25</v>
      </c>
    </row>
    <row r="1216" spans="1:8" x14ac:dyDescent="0.2">
      <c r="A1216" s="117" t="s">
        <v>14</v>
      </c>
      <c r="B1216" s="61" t="s">
        <v>709</v>
      </c>
      <c r="C1216" s="187" t="s">
        <v>26</v>
      </c>
    </row>
    <row r="1217" spans="1:11" x14ac:dyDescent="0.2">
      <c r="A1217" s="58" t="s">
        <v>27</v>
      </c>
      <c r="B1217" s="141">
        <v>2016</v>
      </c>
      <c r="C1217" s="57">
        <v>2017</v>
      </c>
      <c r="D1217" s="75">
        <v>2018</v>
      </c>
      <c r="E1217" s="57">
        <v>2019</v>
      </c>
      <c r="F1217" s="57">
        <v>2020</v>
      </c>
      <c r="G1217" s="57">
        <v>2021</v>
      </c>
      <c r="H1217" s="57">
        <v>2022</v>
      </c>
    </row>
    <row r="1218" spans="1:11" x14ac:dyDescent="0.2">
      <c r="A1218" s="22" t="s">
        <v>28</v>
      </c>
      <c r="B1218" s="29">
        <v>200</v>
      </c>
      <c r="C1218" s="29">
        <v>200</v>
      </c>
      <c r="D1218" s="29">
        <v>200</v>
      </c>
      <c r="E1218" s="29">
        <v>215</v>
      </c>
      <c r="F1218" s="23">
        <v>215</v>
      </c>
      <c r="G1218" s="22">
        <v>242</v>
      </c>
      <c r="H1218" s="22">
        <v>242</v>
      </c>
    </row>
    <row r="1219" spans="1:11" x14ac:dyDescent="0.2">
      <c r="A1219" s="22" t="s">
        <v>29</v>
      </c>
      <c r="B1219" s="29">
        <f>200+200*0.25</f>
        <v>250</v>
      </c>
      <c r="C1219" s="29">
        <f>200+200*0.25</f>
        <v>250</v>
      </c>
      <c r="D1219" s="29">
        <f>D1218+B1218*0.25</f>
        <v>250</v>
      </c>
      <c r="E1219" s="29">
        <f>E1218+C1218*0.25</f>
        <v>265</v>
      </c>
      <c r="F1219" s="29">
        <f>F1218+D1218*0.25</f>
        <v>265</v>
      </c>
      <c r="G1219" s="29">
        <f>G1218+E1218*0.25</f>
        <v>295.75</v>
      </c>
      <c r="H1219" s="29">
        <f>H1218+F1218*0.25</f>
        <v>295.75</v>
      </c>
    </row>
    <row r="1220" spans="1:11" x14ac:dyDescent="0.2">
      <c r="A1220" s="22" t="s">
        <v>30</v>
      </c>
      <c r="B1220" s="27" t="s">
        <v>437</v>
      </c>
      <c r="C1220" s="27" t="s">
        <v>437</v>
      </c>
      <c r="D1220" s="27" t="s">
        <v>437</v>
      </c>
      <c r="E1220" s="27" t="s">
        <v>438</v>
      </c>
      <c r="F1220" s="27" t="s">
        <v>438</v>
      </c>
      <c r="G1220" s="27" t="s">
        <v>473</v>
      </c>
      <c r="H1220" s="27" t="s">
        <v>473</v>
      </c>
    </row>
    <row r="1221" spans="1:11" x14ac:dyDescent="0.2">
      <c r="A1221" s="22" t="s">
        <v>31</v>
      </c>
      <c r="B1221" s="29">
        <v>2.19</v>
      </c>
      <c r="C1221" s="29">
        <v>0.38</v>
      </c>
      <c r="D1221" s="29">
        <v>7.19</v>
      </c>
      <c r="E1221" s="29">
        <v>0.28999999999999998</v>
      </c>
      <c r="F1221" s="23">
        <v>1.45</v>
      </c>
      <c r="G1221" s="22">
        <v>0.72</v>
      </c>
      <c r="H1221" s="22"/>
    </row>
    <row r="1222" spans="1:11" x14ac:dyDescent="0.2">
      <c r="A1222" s="22" t="s">
        <v>32</v>
      </c>
      <c r="B1222" s="29">
        <f t="shared" ref="B1222:D1222" si="40">B1219-B1221</f>
        <v>247.81</v>
      </c>
      <c r="C1222" s="29">
        <f t="shared" si="40"/>
        <v>249.62</v>
      </c>
      <c r="D1222" s="29">
        <f t="shared" si="40"/>
        <v>242.81</v>
      </c>
      <c r="E1222" s="29">
        <f>E1219-E1221</f>
        <v>264.70999999999998</v>
      </c>
      <c r="F1222" s="29">
        <f>F1219-F1221</f>
        <v>263.55</v>
      </c>
      <c r="G1222" s="23">
        <f>G1219-G1221</f>
        <v>295.02999999999997</v>
      </c>
      <c r="H1222" s="23"/>
    </row>
    <row r="1223" spans="1:11" x14ac:dyDescent="0.2">
      <c r="A1223" s="55" t="s">
        <v>33</v>
      </c>
      <c r="B1223" s="63">
        <v>2018</v>
      </c>
      <c r="C1223" s="63">
        <v>2019</v>
      </c>
      <c r="D1223" s="194">
        <v>2020</v>
      </c>
      <c r="E1223" s="63">
        <v>2021</v>
      </c>
      <c r="F1223" s="63">
        <v>2022</v>
      </c>
      <c r="G1223" s="36">
        <v>2023</v>
      </c>
      <c r="H1223" s="36">
        <v>2024</v>
      </c>
    </row>
    <row r="1224" spans="1:11" ht="13.15" customHeight="1" x14ac:dyDescent="0.2">
      <c r="A1224" s="52" t="s">
        <v>143</v>
      </c>
      <c r="B1224" s="64"/>
      <c r="C1224" s="64"/>
      <c r="D1224" s="64"/>
      <c r="E1224" s="64"/>
      <c r="F1224" s="64"/>
      <c r="G1224" s="64"/>
      <c r="H1224" s="62"/>
      <c r="I1224" s="77"/>
      <c r="J1224" s="77"/>
    </row>
    <row r="1225" spans="1:11" x14ac:dyDescent="0.2">
      <c r="A1225" s="18"/>
      <c r="B1225" s="18"/>
    </row>
    <row r="1226" spans="1:11" x14ac:dyDescent="0.2">
      <c r="A1226" s="117" t="s">
        <v>14</v>
      </c>
      <c r="B1226" s="61" t="s">
        <v>708</v>
      </c>
      <c r="C1226" s="187" t="s">
        <v>26</v>
      </c>
    </row>
    <row r="1227" spans="1:11" x14ac:dyDescent="0.2">
      <c r="A1227" s="58" t="s">
        <v>27</v>
      </c>
      <c r="B1227" s="141">
        <v>2013</v>
      </c>
      <c r="C1227" s="57">
        <v>2014</v>
      </c>
      <c r="D1227" s="75">
        <v>2015</v>
      </c>
      <c r="E1227" s="57">
        <v>2016</v>
      </c>
      <c r="F1227" s="57">
        <v>2017</v>
      </c>
      <c r="G1227" s="75">
        <v>2018</v>
      </c>
      <c r="H1227" s="57">
        <v>2019</v>
      </c>
      <c r="I1227" s="57">
        <v>2020</v>
      </c>
      <c r="J1227" s="57">
        <v>2021</v>
      </c>
      <c r="K1227" s="57">
        <v>2022</v>
      </c>
    </row>
    <row r="1228" spans="1:11" x14ac:dyDescent="0.2">
      <c r="A1228" s="22" t="s">
        <v>28</v>
      </c>
      <c r="B1228" s="23">
        <v>200</v>
      </c>
      <c r="C1228" s="23">
        <v>200</v>
      </c>
      <c r="D1228" s="29">
        <v>200</v>
      </c>
      <c r="E1228" s="29">
        <v>200</v>
      </c>
      <c r="F1228" s="29">
        <v>200</v>
      </c>
      <c r="G1228" s="29">
        <v>200</v>
      </c>
      <c r="H1228" s="29">
        <v>200</v>
      </c>
      <c r="I1228" s="23">
        <v>200</v>
      </c>
      <c r="J1228" s="23">
        <v>200</v>
      </c>
      <c r="K1228" s="23">
        <v>200</v>
      </c>
    </row>
    <row r="1229" spans="1:11" x14ac:dyDescent="0.2">
      <c r="A1229" s="22" t="s">
        <v>29</v>
      </c>
      <c r="B1229" s="53">
        <f t="shared" ref="B1229:C1229" si="41">(B1230)</f>
        <v>300</v>
      </c>
      <c r="C1229" s="53">
        <f t="shared" si="41"/>
        <v>300</v>
      </c>
      <c r="D1229" s="29">
        <v>300</v>
      </c>
      <c r="E1229" s="29">
        <v>300</v>
      </c>
      <c r="F1229" s="29">
        <v>300</v>
      </c>
      <c r="G1229" s="29">
        <v>280</v>
      </c>
      <c r="H1229" s="29">
        <v>280</v>
      </c>
      <c r="I1229" s="23">
        <v>280</v>
      </c>
      <c r="J1229" s="23">
        <v>280</v>
      </c>
      <c r="K1229" s="23">
        <v>280</v>
      </c>
    </row>
    <row r="1230" spans="1:11" x14ac:dyDescent="0.2">
      <c r="A1230" s="22" t="s">
        <v>30</v>
      </c>
      <c r="B1230" s="23">
        <f t="shared" ref="B1230:C1230" si="42">(B1228*50%)+B1228</f>
        <v>300</v>
      </c>
      <c r="C1230" s="23">
        <f t="shared" si="42"/>
        <v>300</v>
      </c>
      <c r="D1230" s="27" t="s">
        <v>258</v>
      </c>
      <c r="E1230" s="27" t="s">
        <v>258</v>
      </c>
      <c r="F1230" s="27" t="s">
        <v>258</v>
      </c>
      <c r="G1230" s="27" t="s">
        <v>259</v>
      </c>
      <c r="H1230" s="27" t="s">
        <v>259</v>
      </c>
      <c r="I1230" s="27" t="s">
        <v>259</v>
      </c>
      <c r="J1230" s="27" t="s">
        <v>259</v>
      </c>
      <c r="K1230" s="27" t="s">
        <v>259</v>
      </c>
    </row>
    <row r="1231" spans="1:11" x14ac:dyDescent="0.2">
      <c r="A1231" s="22" t="s">
        <v>31</v>
      </c>
      <c r="B1231" s="23">
        <v>32</v>
      </c>
      <c r="C1231" s="23">
        <v>32</v>
      </c>
      <c r="D1231" s="29">
        <v>31</v>
      </c>
      <c r="E1231" s="29">
        <v>36</v>
      </c>
      <c r="F1231" s="29">
        <v>64</v>
      </c>
      <c r="G1231" s="29">
        <v>45</v>
      </c>
      <c r="H1231" s="29">
        <v>30</v>
      </c>
      <c r="I1231" s="23">
        <v>21</v>
      </c>
      <c r="J1231" s="23">
        <v>25</v>
      </c>
      <c r="K1231" s="23"/>
    </row>
    <row r="1232" spans="1:11" x14ac:dyDescent="0.2">
      <c r="A1232" s="22" t="s">
        <v>32</v>
      </c>
      <c r="B1232" s="53">
        <f t="shared" ref="B1232:C1232" si="43">(B1229-B1231)</f>
        <v>268</v>
      </c>
      <c r="C1232" s="53">
        <f t="shared" si="43"/>
        <v>268</v>
      </c>
      <c r="D1232" s="29">
        <f>D1229-D1231</f>
        <v>269</v>
      </c>
      <c r="E1232" s="29">
        <f t="shared" ref="E1232:G1232" si="44">E1229-E1231</f>
        <v>264</v>
      </c>
      <c r="F1232" s="29">
        <f t="shared" si="44"/>
        <v>236</v>
      </c>
      <c r="G1232" s="29">
        <f t="shared" si="44"/>
        <v>235</v>
      </c>
      <c r="H1232" s="29">
        <f>H1229-H1231</f>
        <v>250</v>
      </c>
      <c r="I1232" s="29">
        <f>I1229-I1231</f>
        <v>259</v>
      </c>
      <c r="J1232" s="29">
        <f>J1229-J1231</f>
        <v>255</v>
      </c>
      <c r="K1232" s="29"/>
    </row>
    <row r="1233" spans="1:14" ht="13.15" customHeight="1" x14ac:dyDescent="0.2">
      <c r="A1233" s="55" t="s">
        <v>33</v>
      </c>
      <c r="B1233" s="63">
        <v>2015</v>
      </c>
      <c r="C1233" s="63">
        <v>2016</v>
      </c>
      <c r="D1233" s="63">
        <v>2017</v>
      </c>
      <c r="E1233" s="63">
        <v>2018</v>
      </c>
      <c r="F1233" s="63">
        <v>2019</v>
      </c>
      <c r="G1233" s="194">
        <v>2020</v>
      </c>
      <c r="H1233" s="63">
        <v>2021</v>
      </c>
      <c r="I1233" s="63">
        <v>2022</v>
      </c>
      <c r="J1233" s="63">
        <v>2023</v>
      </c>
      <c r="K1233" s="63">
        <v>2024</v>
      </c>
    </row>
    <row r="1234" spans="1:14" ht="13.15" customHeight="1" x14ac:dyDescent="0.2">
      <c r="A1234" s="55" t="s">
        <v>551</v>
      </c>
      <c r="B1234" s="94"/>
      <c r="C1234" s="94"/>
      <c r="D1234" s="94"/>
      <c r="E1234" s="94"/>
      <c r="F1234" s="94"/>
      <c r="G1234" s="94"/>
      <c r="H1234" s="94"/>
      <c r="I1234" s="94"/>
      <c r="J1234" s="94"/>
      <c r="K1234" s="95"/>
    </row>
    <row r="1235" spans="1:14" x14ac:dyDescent="0.2">
      <c r="A1235" s="32" t="s">
        <v>552</v>
      </c>
      <c r="B1235" s="256"/>
      <c r="C1235" s="256"/>
      <c r="D1235" s="256"/>
      <c r="E1235" s="256"/>
      <c r="F1235" s="256"/>
      <c r="G1235" s="256"/>
      <c r="H1235" s="256"/>
      <c r="I1235" s="256"/>
      <c r="J1235" s="256"/>
      <c r="K1235" s="438"/>
    </row>
    <row r="1237" spans="1:14" x14ac:dyDescent="0.2">
      <c r="A1237" s="117" t="s">
        <v>14</v>
      </c>
      <c r="B1237" s="61" t="s">
        <v>740</v>
      </c>
      <c r="C1237" s="61" t="s">
        <v>26</v>
      </c>
    </row>
    <row r="1238" spans="1:14" x14ac:dyDescent="0.2">
      <c r="A1238" s="32" t="s">
        <v>27</v>
      </c>
      <c r="B1238" s="141">
        <v>2010</v>
      </c>
      <c r="C1238" s="57">
        <v>2011</v>
      </c>
      <c r="D1238" s="57">
        <v>2012</v>
      </c>
      <c r="E1238" s="57">
        <v>2013</v>
      </c>
      <c r="F1238" s="57">
        <v>2014</v>
      </c>
      <c r="G1238" s="57">
        <v>2015</v>
      </c>
      <c r="H1238" s="57">
        <v>2016</v>
      </c>
      <c r="I1238" s="75">
        <v>2017</v>
      </c>
      <c r="J1238" s="57">
        <v>2018</v>
      </c>
      <c r="K1238" s="57">
        <v>2019</v>
      </c>
      <c r="L1238" s="57">
        <v>2020</v>
      </c>
      <c r="M1238" s="57">
        <v>2021</v>
      </c>
      <c r="N1238" s="57">
        <v>2022</v>
      </c>
    </row>
    <row r="1239" spans="1:14" x14ac:dyDescent="0.2">
      <c r="A1239" s="52" t="s">
        <v>28</v>
      </c>
      <c r="B1239" s="23">
        <v>95</v>
      </c>
      <c r="C1239" s="23">
        <v>95</v>
      </c>
      <c r="D1239" s="23">
        <v>95</v>
      </c>
      <c r="E1239" s="23">
        <v>95</v>
      </c>
      <c r="F1239" s="53">
        <v>95</v>
      </c>
      <c r="G1239" s="54">
        <v>108.98</v>
      </c>
      <c r="H1239" s="54">
        <v>108.98</v>
      </c>
      <c r="I1239" s="340">
        <v>108.98</v>
      </c>
      <c r="J1239" s="54">
        <v>128.44</v>
      </c>
      <c r="K1239" s="54">
        <v>128.44</v>
      </c>
      <c r="L1239" s="54">
        <v>128.44</v>
      </c>
      <c r="M1239" s="54">
        <v>128.44</v>
      </c>
      <c r="N1239" s="54">
        <v>128.44</v>
      </c>
    </row>
    <row r="1240" spans="1:14" x14ac:dyDescent="0.2">
      <c r="A1240" s="52" t="s">
        <v>29</v>
      </c>
      <c r="B1240" s="53">
        <f>(B1241)</f>
        <v>56</v>
      </c>
      <c r="C1240" s="53">
        <f t="shared" ref="C1240:J1240" si="45">(C1241)</f>
        <v>50.5</v>
      </c>
      <c r="D1240" s="53">
        <f t="shared" si="45"/>
        <v>131.5</v>
      </c>
      <c r="E1240" s="54">
        <f t="shared" si="45"/>
        <v>89.4</v>
      </c>
      <c r="F1240" s="54">
        <f t="shared" si="45"/>
        <v>75.900000000000006</v>
      </c>
      <c r="G1240" s="54">
        <f t="shared" si="45"/>
        <v>81.900000000000006</v>
      </c>
      <c r="H1240" s="54">
        <f t="shared" si="45"/>
        <v>81.900000000000006</v>
      </c>
      <c r="I1240" s="340">
        <f t="shared" si="45"/>
        <v>61.899999999999991</v>
      </c>
      <c r="J1240" s="54">
        <f t="shared" si="45"/>
        <v>95.899999999999977</v>
      </c>
      <c r="K1240" s="54">
        <f>K1241</f>
        <v>64.899999999999977</v>
      </c>
      <c r="L1240" s="23">
        <f>L1241</f>
        <v>53.899999999999977</v>
      </c>
      <c r="M1240" s="23">
        <f>M1241</f>
        <v>94.339999999999975</v>
      </c>
      <c r="N1240" s="23">
        <f>N1241</f>
        <v>160.77999999999997</v>
      </c>
    </row>
    <row r="1241" spans="1:14" x14ac:dyDescent="0.2">
      <c r="A1241" s="52" t="s">
        <v>30</v>
      </c>
      <c r="B1241" s="54">
        <f>(B1239+47.5)-86.5</f>
        <v>56</v>
      </c>
      <c r="C1241" s="54">
        <f>(C1239+B1243)-86.5</f>
        <v>50.5</v>
      </c>
      <c r="D1241" s="54">
        <f>D1239+C1243</f>
        <v>131.5</v>
      </c>
      <c r="E1241" s="54">
        <f>(E1239+D1243)-86.5</f>
        <v>89.4</v>
      </c>
      <c r="F1241" s="54">
        <f>(F1239+E1243)-86.5</f>
        <v>75.900000000000006</v>
      </c>
      <c r="G1241" s="54">
        <f>(G1239+F1243)-51.98</f>
        <v>81.900000000000006</v>
      </c>
      <c r="H1241" s="54">
        <f>(H1239+G1243)-55.98</f>
        <v>81.900000000000006</v>
      </c>
      <c r="I1241" s="340">
        <f>(I1239+H1243)-73.98</f>
        <v>61.899999999999991</v>
      </c>
      <c r="J1241" s="54">
        <f>(J1239+I1243)-60.44</f>
        <v>95.899999999999977</v>
      </c>
      <c r="K1241" s="54">
        <f>K1239+J1243-79.44</f>
        <v>64.899999999999977</v>
      </c>
      <c r="L1241" s="23">
        <f>L1239+K1243-100.44</f>
        <v>53.899999999999977</v>
      </c>
      <c r="M1241" s="23">
        <f>M1239+L1243-60</f>
        <v>94.339999999999975</v>
      </c>
      <c r="N1241" s="23">
        <f>N1239+M1243</f>
        <v>160.77999999999997</v>
      </c>
    </row>
    <row r="1242" spans="1:14" x14ac:dyDescent="0.2">
      <c r="A1242" s="52" t="s">
        <v>31</v>
      </c>
      <c r="B1242" s="53">
        <v>14</v>
      </c>
      <c r="C1242" s="53">
        <v>14</v>
      </c>
      <c r="D1242" s="53">
        <v>50.6</v>
      </c>
      <c r="E1242" s="53">
        <v>22</v>
      </c>
      <c r="F1242" s="53">
        <v>51</v>
      </c>
      <c r="G1242" s="53">
        <v>53</v>
      </c>
      <c r="H1242" s="53">
        <v>55</v>
      </c>
      <c r="I1242" s="341">
        <v>34</v>
      </c>
      <c r="J1242" s="53">
        <v>80</v>
      </c>
      <c r="K1242" s="53">
        <v>39</v>
      </c>
      <c r="L1242" s="23">
        <v>28</v>
      </c>
      <c r="M1242" s="23">
        <v>62</v>
      </c>
      <c r="N1242" s="23"/>
    </row>
    <row r="1243" spans="1:14" x14ac:dyDescent="0.2">
      <c r="A1243" s="52" t="s">
        <v>32</v>
      </c>
      <c r="B1243" s="53">
        <f>(B1240-B1242)</f>
        <v>42</v>
      </c>
      <c r="C1243" s="53">
        <f t="shared" ref="C1243:J1243" si="46">(C1240-C1242)</f>
        <v>36.5</v>
      </c>
      <c r="D1243" s="53">
        <f t="shared" si="46"/>
        <v>80.900000000000006</v>
      </c>
      <c r="E1243" s="53">
        <f t="shared" si="46"/>
        <v>67.400000000000006</v>
      </c>
      <c r="F1243" s="53">
        <f t="shared" si="46"/>
        <v>24.900000000000006</v>
      </c>
      <c r="G1243" s="53">
        <f t="shared" si="46"/>
        <v>28.900000000000006</v>
      </c>
      <c r="H1243" s="53">
        <f t="shared" si="46"/>
        <v>26.900000000000006</v>
      </c>
      <c r="I1243" s="341">
        <f t="shared" si="46"/>
        <v>27.899999999999991</v>
      </c>
      <c r="J1243" s="53">
        <f t="shared" si="46"/>
        <v>15.899999999999977</v>
      </c>
      <c r="K1243" s="53">
        <f>K1240-K1242</f>
        <v>25.899999999999977</v>
      </c>
      <c r="L1243" s="23">
        <f>L1240-L1242</f>
        <v>25.899999999999977</v>
      </c>
      <c r="M1243" s="23">
        <f>M1240-M1242</f>
        <v>32.339999999999975</v>
      </c>
      <c r="N1243" s="23"/>
    </row>
    <row r="1244" spans="1:14" x14ac:dyDescent="0.2">
      <c r="A1244" s="55" t="s">
        <v>33</v>
      </c>
      <c r="B1244" s="63">
        <v>2011</v>
      </c>
      <c r="C1244" s="63">
        <v>2012</v>
      </c>
      <c r="D1244" s="63">
        <v>2013</v>
      </c>
      <c r="E1244" s="63">
        <v>2014</v>
      </c>
      <c r="F1244" s="63">
        <v>2015</v>
      </c>
      <c r="G1244" s="63">
        <v>2016</v>
      </c>
      <c r="H1244" s="63">
        <v>2017</v>
      </c>
      <c r="I1244" s="194">
        <v>2018</v>
      </c>
      <c r="J1244" s="63">
        <v>2019</v>
      </c>
      <c r="K1244" s="63">
        <v>2020</v>
      </c>
      <c r="L1244" s="63">
        <v>2021</v>
      </c>
      <c r="M1244" s="63">
        <v>2022</v>
      </c>
      <c r="N1244" s="63">
        <v>2023</v>
      </c>
    </row>
    <row r="1245" spans="1:14" x14ac:dyDescent="0.2">
      <c r="A1245" s="55" t="s">
        <v>34</v>
      </c>
      <c r="B1245" s="30"/>
      <c r="C1245" s="30"/>
      <c r="D1245" s="30"/>
      <c r="E1245" s="30"/>
      <c r="F1245" s="30"/>
      <c r="G1245" s="30"/>
      <c r="H1245" s="30"/>
      <c r="I1245" s="30"/>
      <c r="J1245" s="30"/>
      <c r="K1245" s="30"/>
      <c r="L1245" s="30"/>
      <c r="M1245" s="30"/>
      <c r="N1245" s="31"/>
    </row>
    <row r="1246" spans="1:14" x14ac:dyDescent="0.2">
      <c r="A1246" s="5" t="s">
        <v>35</v>
      </c>
      <c r="N1246" s="21"/>
    </row>
    <row r="1247" spans="1:14" x14ac:dyDescent="0.2">
      <c r="A1247" s="5" t="s">
        <v>36</v>
      </c>
      <c r="N1247" s="21"/>
    </row>
    <row r="1248" spans="1:14" x14ac:dyDescent="0.2">
      <c r="A1248" s="5" t="s">
        <v>37</v>
      </c>
      <c r="N1248" s="21"/>
    </row>
    <row r="1249" spans="1:14" x14ac:dyDescent="0.2">
      <c r="A1249" s="5" t="s">
        <v>38</v>
      </c>
      <c r="N1249" s="21"/>
    </row>
    <row r="1250" spans="1:14" x14ac:dyDescent="0.2">
      <c r="A1250" s="5" t="s">
        <v>39</v>
      </c>
      <c r="N1250" s="21"/>
    </row>
    <row r="1251" spans="1:14" x14ac:dyDescent="0.2">
      <c r="A1251" s="20" t="s">
        <v>40</v>
      </c>
      <c r="N1251" s="21"/>
    </row>
    <row r="1252" spans="1:14" x14ac:dyDescent="0.2">
      <c r="A1252" s="20" t="s">
        <v>41</v>
      </c>
      <c r="N1252" s="21"/>
    </row>
    <row r="1253" spans="1:14" x14ac:dyDescent="0.2">
      <c r="A1253" s="20" t="s">
        <v>42</v>
      </c>
      <c r="N1253" s="21"/>
    </row>
    <row r="1254" spans="1:14" x14ac:dyDescent="0.2">
      <c r="A1254" s="20" t="s">
        <v>43</v>
      </c>
      <c r="N1254" s="21"/>
    </row>
    <row r="1255" spans="1:14" x14ac:dyDescent="0.2">
      <c r="A1255" s="20" t="s">
        <v>320</v>
      </c>
      <c r="N1255" s="21"/>
    </row>
    <row r="1256" spans="1:14" x14ac:dyDescent="0.2">
      <c r="A1256" s="20" t="s">
        <v>433</v>
      </c>
      <c r="N1256" s="21"/>
    </row>
    <row r="1257" spans="1:14" x14ac:dyDescent="0.2">
      <c r="A1257" s="20" t="s">
        <v>805</v>
      </c>
      <c r="N1257" s="21"/>
    </row>
    <row r="1258" spans="1:14" x14ac:dyDescent="0.2">
      <c r="A1258" s="32" t="s">
        <v>806</v>
      </c>
      <c r="B1258" s="33"/>
      <c r="C1258" s="33"/>
      <c r="D1258" s="33"/>
      <c r="E1258" s="33"/>
      <c r="F1258" s="33"/>
      <c r="G1258" s="33"/>
      <c r="H1258" s="33"/>
      <c r="I1258" s="33"/>
      <c r="J1258" s="33"/>
      <c r="K1258" s="33"/>
      <c r="L1258" s="33"/>
      <c r="M1258" s="33"/>
      <c r="N1258" s="34"/>
    </row>
    <row r="1260" spans="1:14" x14ac:dyDescent="0.2">
      <c r="A1260" s="117" t="s">
        <v>14</v>
      </c>
      <c r="B1260" s="61" t="s">
        <v>82</v>
      </c>
      <c r="C1260" s="61" t="s">
        <v>26</v>
      </c>
    </row>
    <row r="1261" spans="1:14" x14ac:dyDescent="0.2">
      <c r="A1261" s="32" t="s">
        <v>27</v>
      </c>
      <c r="B1261" s="141">
        <v>2013</v>
      </c>
      <c r="C1261" s="57">
        <v>2014</v>
      </c>
      <c r="D1261" s="57">
        <v>2015</v>
      </c>
      <c r="E1261" s="75">
        <v>2016</v>
      </c>
      <c r="F1261" s="57">
        <v>2017</v>
      </c>
      <c r="G1261" s="75">
        <v>2018</v>
      </c>
      <c r="H1261" s="57">
        <v>2019</v>
      </c>
      <c r="I1261" s="57">
        <v>2020</v>
      </c>
      <c r="J1261" s="57">
        <v>2021</v>
      </c>
      <c r="K1261" s="57">
        <v>2022</v>
      </c>
    </row>
    <row r="1262" spans="1:14" x14ac:dyDescent="0.2">
      <c r="A1262" s="52" t="s">
        <v>28</v>
      </c>
      <c r="B1262" s="23">
        <v>70</v>
      </c>
      <c r="C1262" s="23">
        <v>70</v>
      </c>
      <c r="D1262" s="23">
        <v>70</v>
      </c>
      <c r="E1262" s="23">
        <v>70</v>
      </c>
      <c r="F1262" s="53">
        <v>70</v>
      </c>
      <c r="G1262" s="53">
        <v>70</v>
      </c>
      <c r="H1262" s="53">
        <v>70</v>
      </c>
      <c r="I1262" s="23">
        <v>58.9</v>
      </c>
      <c r="J1262" s="23">
        <v>58.9</v>
      </c>
      <c r="K1262" s="23">
        <v>58.9</v>
      </c>
    </row>
    <row r="1263" spans="1:14" x14ac:dyDescent="0.2">
      <c r="A1263" s="52" t="s">
        <v>29</v>
      </c>
      <c r="B1263" s="23">
        <f>(B1264)</f>
        <v>-15</v>
      </c>
      <c r="C1263" s="23">
        <f t="shared" ref="C1263:H1263" si="47">(C1264)</f>
        <v>3</v>
      </c>
      <c r="D1263" s="23">
        <v>55</v>
      </c>
      <c r="E1263" s="23">
        <f t="shared" si="47"/>
        <v>56</v>
      </c>
      <c r="F1263" s="23">
        <f t="shared" si="47"/>
        <v>61</v>
      </c>
      <c r="G1263" s="53">
        <f t="shared" si="47"/>
        <v>71</v>
      </c>
      <c r="H1263" s="53">
        <f t="shared" si="47"/>
        <v>73</v>
      </c>
      <c r="I1263" s="23">
        <v>65.900000000000006</v>
      </c>
      <c r="J1263" s="23"/>
      <c r="K1263" s="23"/>
    </row>
    <row r="1264" spans="1:14" x14ac:dyDescent="0.2">
      <c r="A1264" s="52" t="s">
        <v>30</v>
      </c>
      <c r="B1264" s="53">
        <f>(B1262-B1265)</f>
        <v>-15</v>
      </c>
      <c r="C1264" s="53">
        <f>(C1262-C1265)</f>
        <v>3</v>
      </c>
      <c r="D1264" s="53">
        <f>D1262+B1266</f>
        <v>55</v>
      </c>
      <c r="E1264" s="53">
        <f>E1262+D1266+C1266</f>
        <v>56</v>
      </c>
      <c r="F1264" s="53">
        <f>F1262+E1266</f>
        <v>61</v>
      </c>
      <c r="G1264" s="53">
        <f>G1262+F1266</f>
        <v>71</v>
      </c>
      <c r="H1264" s="53">
        <f>H1262+G1266</f>
        <v>73</v>
      </c>
      <c r="I1264" s="23">
        <f>I1262+0.1*H1262</f>
        <v>65.900000000000006</v>
      </c>
      <c r="J1264" s="23"/>
      <c r="K1264" s="23"/>
    </row>
    <row r="1265" spans="1:11" x14ac:dyDescent="0.2">
      <c r="A1265" s="52" t="s">
        <v>44</v>
      </c>
      <c r="B1265" s="53">
        <v>85</v>
      </c>
      <c r="C1265" s="53">
        <v>67</v>
      </c>
      <c r="D1265" s="53">
        <v>72</v>
      </c>
      <c r="E1265" s="53">
        <v>65</v>
      </c>
      <c r="F1265" s="53">
        <v>60</v>
      </c>
      <c r="G1265" s="53">
        <v>68</v>
      </c>
      <c r="H1265" s="53">
        <v>51</v>
      </c>
      <c r="I1265" s="23">
        <v>39</v>
      </c>
      <c r="J1265" s="23">
        <v>43</v>
      </c>
      <c r="K1265" s="23"/>
    </row>
    <row r="1266" spans="1:11" x14ac:dyDescent="0.2">
      <c r="A1266" s="52" t="s">
        <v>45</v>
      </c>
      <c r="B1266" s="23">
        <f>(B1264)</f>
        <v>-15</v>
      </c>
      <c r="C1266" s="23">
        <f>(C1264)</f>
        <v>3</v>
      </c>
      <c r="D1266" s="23">
        <f t="shared" ref="D1266:I1266" si="48">D1263-D1265</f>
        <v>-17</v>
      </c>
      <c r="E1266" s="23">
        <f t="shared" si="48"/>
        <v>-9</v>
      </c>
      <c r="F1266" s="23">
        <f t="shared" si="48"/>
        <v>1</v>
      </c>
      <c r="G1266" s="53">
        <f t="shared" si="48"/>
        <v>3</v>
      </c>
      <c r="H1266" s="53">
        <f t="shared" si="48"/>
        <v>22</v>
      </c>
      <c r="I1266" s="23">
        <f t="shared" si="48"/>
        <v>26.900000000000006</v>
      </c>
      <c r="J1266" s="23">
        <f>J1262-J1265</f>
        <v>15.899999999999999</v>
      </c>
      <c r="K1266" s="23"/>
    </row>
    <row r="1267" spans="1:11" x14ac:dyDescent="0.2">
      <c r="A1267" s="55" t="s">
        <v>33</v>
      </c>
      <c r="B1267" s="80">
        <v>2015</v>
      </c>
      <c r="C1267" s="80">
        <v>2016</v>
      </c>
      <c r="D1267" s="80">
        <v>2016</v>
      </c>
      <c r="E1267" s="80">
        <v>2017</v>
      </c>
      <c r="F1267" s="80">
        <v>2018</v>
      </c>
      <c r="G1267" s="80">
        <v>2019</v>
      </c>
      <c r="H1267" s="80">
        <v>2020</v>
      </c>
      <c r="I1267" s="63"/>
      <c r="J1267" s="63"/>
      <c r="K1267" s="63"/>
    </row>
    <row r="1268" spans="1:11" x14ac:dyDescent="0.2">
      <c r="A1268" s="52" t="s">
        <v>34</v>
      </c>
      <c r="B1268" s="64"/>
      <c r="C1268" s="64"/>
      <c r="D1268" s="64"/>
      <c r="E1268" s="64"/>
      <c r="F1268" s="64"/>
      <c r="G1268" s="64"/>
      <c r="H1268" s="64"/>
      <c r="I1268" s="64"/>
      <c r="J1268" s="64"/>
      <c r="K1268" s="62"/>
    </row>
    <row r="1269" spans="1:11" x14ac:dyDescent="0.2">
      <c r="A1269" s="5" t="s">
        <v>327</v>
      </c>
      <c r="K1269" s="21"/>
    </row>
    <row r="1270" spans="1:11" x14ac:dyDescent="0.2">
      <c r="A1270" s="20" t="s">
        <v>328</v>
      </c>
      <c r="K1270" s="21"/>
    </row>
    <row r="1271" spans="1:11" x14ac:dyDescent="0.2">
      <c r="A1271" s="5" t="s">
        <v>329</v>
      </c>
      <c r="K1271" s="21"/>
    </row>
    <row r="1272" spans="1:11" x14ac:dyDescent="0.2">
      <c r="A1272" s="5" t="s">
        <v>330</v>
      </c>
      <c r="K1272" s="21"/>
    </row>
    <row r="1273" spans="1:11" x14ac:dyDescent="0.2">
      <c r="A1273" s="20" t="s">
        <v>321</v>
      </c>
      <c r="K1273" s="21"/>
    </row>
    <row r="1274" spans="1:11" x14ac:dyDescent="0.2">
      <c r="A1274" s="32" t="s">
        <v>434</v>
      </c>
      <c r="B1274" s="33"/>
      <c r="C1274" s="33"/>
      <c r="D1274" s="33"/>
      <c r="E1274" s="33"/>
      <c r="F1274" s="33"/>
      <c r="G1274" s="33"/>
      <c r="H1274" s="33"/>
      <c r="I1274" s="33"/>
      <c r="J1274" s="33"/>
      <c r="K1274" s="34"/>
    </row>
    <row r="1276" spans="1:11" x14ac:dyDescent="0.2">
      <c r="A1276" s="117" t="s">
        <v>14</v>
      </c>
      <c r="B1276" s="61" t="s">
        <v>87</v>
      </c>
      <c r="C1276" s="61" t="s">
        <v>26</v>
      </c>
    </row>
    <row r="1277" spans="1:11" x14ac:dyDescent="0.2">
      <c r="A1277" s="58" t="s">
        <v>27</v>
      </c>
      <c r="B1277" s="141">
        <v>2013</v>
      </c>
      <c r="C1277" s="57">
        <v>2014</v>
      </c>
      <c r="D1277" s="57">
        <v>2015</v>
      </c>
      <c r="E1277" s="57">
        <v>2016</v>
      </c>
      <c r="F1277" s="57">
        <v>2017</v>
      </c>
      <c r="G1277" s="75">
        <v>2018</v>
      </c>
      <c r="H1277" s="75">
        <v>2019</v>
      </c>
      <c r="I1277" s="57">
        <v>2020</v>
      </c>
      <c r="J1277" s="57">
        <v>2021</v>
      </c>
      <c r="K1277" s="57">
        <v>2021</v>
      </c>
    </row>
    <row r="1278" spans="1:11" x14ac:dyDescent="0.2">
      <c r="A1278" s="22" t="s">
        <v>28</v>
      </c>
      <c r="B1278" s="23">
        <v>25</v>
      </c>
      <c r="C1278" s="23">
        <v>25</v>
      </c>
      <c r="D1278" s="23">
        <v>25</v>
      </c>
      <c r="E1278" s="23">
        <v>25</v>
      </c>
      <c r="F1278" s="53">
        <v>25</v>
      </c>
      <c r="G1278" s="340">
        <v>25</v>
      </c>
      <c r="H1278" s="340">
        <v>25</v>
      </c>
      <c r="I1278" s="23">
        <v>25</v>
      </c>
      <c r="J1278" s="23">
        <v>25</v>
      </c>
      <c r="K1278" s="23">
        <v>25</v>
      </c>
    </row>
    <row r="1279" spans="1:11" x14ac:dyDescent="0.2">
      <c r="A1279" s="22" t="s">
        <v>29</v>
      </c>
      <c r="B1279" s="23">
        <f>(B1280)</f>
        <v>-5</v>
      </c>
      <c r="C1279" s="23">
        <v>25</v>
      </c>
      <c r="D1279" s="23">
        <f t="shared" ref="D1279:E1279" si="49">(D1280)</f>
        <v>25</v>
      </c>
      <c r="E1279" s="23">
        <f t="shared" si="49"/>
        <v>24</v>
      </c>
      <c r="F1279" s="23">
        <f>F1278</f>
        <v>25</v>
      </c>
      <c r="G1279" s="340">
        <v>29</v>
      </c>
      <c r="H1279" s="340">
        <f>H1278+5</f>
        <v>30</v>
      </c>
      <c r="I1279" s="23">
        <f>I1280</f>
        <v>30</v>
      </c>
      <c r="J1279" s="23">
        <f>J1280</f>
        <v>30</v>
      </c>
      <c r="K1279" s="23"/>
    </row>
    <row r="1280" spans="1:11" x14ac:dyDescent="0.2">
      <c r="A1280" s="22" t="s">
        <v>30</v>
      </c>
      <c r="B1280" s="53">
        <f>(B1278-B1281)</f>
        <v>-5</v>
      </c>
      <c r="C1280" s="53">
        <v>25</v>
      </c>
      <c r="D1280" s="53">
        <f>D1278+B1282+C1282</f>
        <v>25</v>
      </c>
      <c r="E1280" s="53">
        <f>E1278+D1282</f>
        <v>24</v>
      </c>
      <c r="F1280" s="53">
        <v>25</v>
      </c>
      <c r="G1280" s="340">
        <v>29</v>
      </c>
      <c r="H1280" s="340">
        <f>H1278+5</f>
        <v>30</v>
      </c>
      <c r="I1280" s="23">
        <f>I1278+0.2*G1278</f>
        <v>30</v>
      </c>
      <c r="J1280" s="23">
        <f>J1278+0.2*H1278</f>
        <v>30</v>
      </c>
      <c r="K1280" s="23"/>
    </row>
    <row r="1281" spans="1:11" x14ac:dyDescent="0.2">
      <c r="A1281" s="22" t="s">
        <v>44</v>
      </c>
      <c r="B1281" s="53">
        <v>30</v>
      </c>
      <c r="C1281" s="53">
        <v>20</v>
      </c>
      <c r="D1281" s="53">
        <v>26</v>
      </c>
      <c r="E1281" s="53">
        <v>20</v>
      </c>
      <c r="F1281" s="53">
        <v>12</v>
      </c>
      <c r="G1281" s="340">
        <v>15.89</v>
      </c>
      <c r="H1281" s="340">
        <v>9</v>
      </c>
      <c r="I1281" s="23">
        <v>10</v>
      </c>
      <c r="J1281" s="23">
        <v>12</v>
      </c>
      <c r="K1281" s="23"/>
    </row>
    <row r="1282" spans="1:11" x14ac:dyDescent="0.2">
      <c r="A1282" s="22" t="s">
        <v>45</v>
      </c>
      <c r="B1282" s="23">
        <v>-5</v>
      </c>
      <c r="C1282" s="23">
        <v>5</v>
      </c>
      <c r="D1282" s="23">
        <f>D1279-D1281</f>
        <v>-1</v>
      </c>
      <c r="E1282" s="249">
        <f>E1279-E1281</f>
        <v>4</v>
      </c>
      <c r="F1282" s="23">
        <f>F1279-F1281</f>
        <v>13</v>
      </c>
      <c r="G1282" s="340">
        <v>13.11</v>
      </c>
      <c r="H1282" s="340">
        <f>H1279-H1281</f>
        <v>21</v>
      </c>
      <c r="I1282" s="340">
        <f>I1279-I1281</f>
        <v>20</v>
      </c>
      <c r="J1282" s="23">
        <f>J1279-J1281</f>
        <v>18</v>
      </c>
      <c r="K1282" s="23"/>
    </row>
    <row r="1283" spans="1:11" x14ac:dyDescent="0.2">
      <c r="A1283" s="36" t="s">
        <v>33</v>
      </c>
      <c r="B1283" s="80">
        <v>2015</v>
      </c>
      <c r="C1283" s="80">
        <v>2016</v>
      </c>
      <c r="D1283" s="80">
        <v>2017</v>
      </c>
      <c r="E1283" s="80">
        <v>2018</v>
      </c>
      <c r="F1283" s="63">
        <v>2019</v>
      </c>
      <c r="G1283" s="63">
        <v>2020</v>
      </c>
      <c r="H1283" s="194">
        <v>2021</v>
      </c>
      <c r="I1283" s="63"/>
      <c r="J1283" s="63"/>
      <c r="K1283" s="63"/>
    </row>
    <row r="1284" spans="1:11" x14ac:dyDescent="0.2">
      <c r="A1284" s="52" t="s">
        <v>34</v>
      </c>
      <c r="B1284" s="64"/>
      <c r="C1284" s="64"/>
      <c r="D1284" s="64"/>
      <c r="E1284" s="64"/>
      <c r="F1284" s="64"/>
      <c r="G1284" s="64"/>
      <c r="H1284" s="64"/>
      <c r="I1284" s="64"/>
      <c r="J1284" s="64"/>
      <c r="K1284" s="62"/>
    </row>
    <row r="1285" spans="1:11" x14ac:dyDescent="0.2">
      <c r="A1285" s="5" t="s">
        <v>322</v>
      </c>
      <c r="K1285" s="21"/>
    </row>
    <row r="1286" spans="1:11" x14ac:dyDescent="0.2">
      <c r="A1286" s="20" t="s">
        <v>323</v>
      </c>
      <c r="K1286" s="21"/>
    </row>
    <row r="1287" spans="1:11" x14ac:dyDescent="0.2">
      <c r="A1287" s="5" t="s">
        <v>324</v>
      </c>
      <c r="K1287" s="21"/>
    </row>
    <row r="1288" spans="1:11" x14ac:dyDescent="0.2">
      <c r="A1288" s="5" t="s">
        <v>325</v>
      </c>
      <c r="K1288" s="21"/>
    </row>
    <row r="1289" spans="1:11" x14ac:dyDescent="0.2">
      <c r="A1289" s="20" t="s">
        <v>326</v>
      </c>
      <c r="K1289" s="21"/>
    </row>
    <row r="1290" spans="1:11" x14ac:dyDescent="0.2">
      <c r="A1290" s="20" t="s">
        <v>435</v>
      </c>
      <c r="K1290" s="21"/>
    </row>
    <row r="1291" spans="1:11" x14ac:dyDescent="0.2">
      <c r="A1291" s="32" t="s">
        <v>436</v>
      </c>
      <c r="B1291" s="33"/>
      <c r="C1291" s="33"/>
      <c r="D1291" s="33"/>
      <c r="E1291" s="33"/>
      <c r="F1291" s="33"/>
      <c r="G1291" s="33"/>
      <c r="H1291" s="33"/>
      <c r="I1291" s="33"/>
      <c r="J1291" s="33"/>
      <c r="K1291" s="34"/>
    </row>
    <row r="1294" spans="1:11" x14ac:dyDescent="0.2">
      <c r="A1294" s="144" t="s">
        <v>12</v>
      </c>
      <c r="B1294" s="630" t="s">
        <v>496</v>
      </c>
      <c r="C1294" s="7">
        <f>0.3*C1297</f>
        <v>350.4</v>
      </c>
      <c r="D1294" s="7">
        <f>D1297*0.2</f>
        <v>233.60000000000002</v>
      </c>
      <c r="E1294" s="7"/>
      <c r="F1294" s="7"/>
      <c r="G1294" s="7"/>
    </row>
    <row r="1295" spans="1:11" x14ac:dyDescent="0.2">
      <c r="A1295" s="16" t="s">
        <v>14</v>
      </c>
      <c r="B1295" s="13" t="s">
        <v>736</v>
      </c>
      <c r="C1295" s="13" t="s">
        <v>15</v>
      </c>
      <c r="D1295" s="7"/>
      <c r="E1295" s="7"/>
      <c r="F1295" s="7"/>
      <c r="G1295" s="7"/>
    </row>
    <row r="1296" spans="1:11" x14ac:dyDescent="0.2">
      <c r="A1296" s="14" t="s">
        <v>16</v>
      </c>
      <c r="B1296" s="140"/>
      <c r="C1296" s="88">
        <v>2016</v>
      </c>
      <c r="D1296" s="89">
        <v>2017</v>
      </c>
      <c r="E1296" s="89">
        <v>2018</v>
      </c>
      <c r="F1296" s="89">
        <v>2019</v>
      </c>
      <c r="G1296" s="89">
        <v>2020</v>
      </c>
      <c r="H1296" s="399">
        <v>2021</v>
      </c>
    </row>
    <row r="1297" spans="1:8" x14ac:dyDescent="0.2">
      <c r="A1297" s="8" t="s">
        <v>17</v>
      </c>
      <c r="B1297" s="9"/>
      <c r="C1297" s="29">
        <v>1168</v>
      </c>
      <c r="D1297" s="48">
        <v>1168</v>
      </c>
      <c r="E1297" s="48">
        <v>1168</v>
      </c>
      <c r="F1297" s="48">
        <v>1168</v>
      </c>
      <c r="G1297" s="48">
        <v>1168</v>
      </c>
      <c r="H1297" s="416">
        <v>1168</v>
      </c>
    </row>
    <row r="1298" spans="1:8" x14ac:dyDescent="0.2">
      <c r="A1298" s="8" t="s">
        <v>18</v>
      </c>
      <c r="B1298" s="9"/>
      <c r="C1298" s="93">
        <f>C1297+0.3*C1297+50+50+50</f>
        <v>1668.4</v>
      </c>
      <c r="D1298" s="93">
        <f t="shared" ref="D1298" si="50">D1297+0.3*D1297+50+50+50</f>
        <v>1668.4</v>
      </c>
      <c r="E1298" s="93">
        <f>E1297+0.2*E1297+50+50+50</f>
        <v>1551.6</v>
      </c>
      <c r="F1298" s="93">
        <f t="shared" ref="F1298:G1298" si="51">F1297+0.2*F1297+50+50+50</f>
        <v>1551.6</v>
      </c>
      <c r="G1298" s="93">
        <f t="shared" si="51"/>
        <v>1551.6</v>
      </c>
      <c r="H1298" s="417">
        <f>H1297+0.2*H1297+50+50</f>
        <v>1501.6</v>
      </c>
    </row>
    <row r="1299" spans="1:8" x14ac:dyDescent="0.2">
      <c r="A1299" s="8" t="s">
        <v>19</v>
      </c>
      <c r="B1299" s="11"/>
      <c r="C1299" s="93" t="s">
        <v>499</v>
      </c>
      <c r="D1299" s="93" t="s">
        <v>499</v>
      </c>
      <c r="E1299" s="93" t="s">
        <v>502</v>
      </c>
      <c r="F1299" s="93" t="s">
        <v>502</v>
      </c>
      <c r="G1299" s="93" t="s">
        <v>502</v>
      </c>
      <c r="H1299" s="417" t="s">
        <v>772</v>
      </c>
    </row>
    <row r="1300" spans="1:8" x14ac:dyDescent="0.2">
      <c r="A1300" s="8" t="s">
        <v>20</v>
      </c>
      <c r="B1300" s="9"/>
      <c r="C1300" s="29">
        <v>466</v>
      </c>
      <c r="D1300" s="48">
        <v>717</v>
      </c>
      <c r="E1300" s="48">
        <v>881</v>
      </c>
      <c r="F1300" s="48">
        <v>811.28</v>
      </c>
      <c r="G1300" s="48">
        <v>789.23699999999997</v>
      </c>
      <c r="H1300" s="416"/>
    </row>
    <row r="1301" spans="1:8" x14ac:dyDescent="0.2">
      <c r="A1301" s="8" t="s">
        <v>21</v>
      </c>
      <c r="B1301" s="9"/>
      <c r="C1301" s="29">
        <f>C1298-C1300</f>
        <v>1202.4000000000001</v>
      </c>
      <c r="D1301" s="29">
        <f t="shared" ref="D1301:G1301" si="52">D1298-D1300</f>
        <v>951.40000000000009</v>
      </c>
      <c r="E1301" s="29">
        <f t="shared" si="52"/>
        <v>670.59999999999991</v>
      </c>
      <c r="F1301" s="29">
        <f t="shared" si="52"/>
        <v>740.31999999999994</v>
      </c>
      <c r="G1301" s="29">
        <f t="shared" si="52"/>
        <v>762.36299999999994</v>
      </c>
      <c r="H1301" s="386"/>
    </row>
    <row r="1302" spans="1:8" x14ac:dyDescent="0.2">
      <c r="A1302" s="8" t="s">
        <v>22</v>
      </c>
      <c r="B1302" s="9"/>
      <c r="C1302" s="66">
        <v>2018</v>
      </c>
      <c r="D1302" s="66">
        <v>2019</v>
      </c>
      <c r="E1302" s="66">
        <v>2020</v>
      </c>
      <c r="F1302" s="66">
        <v>2021</v>
      </c>
      <c r="G1302" s="66">
        <v>2022</v>
      </c>
      <c r="H1302" s="385">
        <v>2023</v>
      </c>
    </row>
    <row r="1303" spans="1:8" x14ac:dyDescent="0.2">
      <c r="A1303" s="597" t="s">
        <v>23</v>
      </c>
      <c r="B1303" s="598"/>
      <c r="C1303" s="598"/>
      <c r="D1303" s="598"/>
      <c r="E1303" s="598"/>
      <c r="F1303" s="50"/>
      <c r="G1303" s="39"/>
      <c r="H1303" s="418"/>
    </row>
    <row r="1304" spans="1:8" x14ac:dyDescent="0.2">
      <c r="A1304" s="91" t="s">
        <v>498</v>
      </c>
      <c r="B1304" s="92"/>
      <c r="C1304" s="92"/>
      <c r="D1304" s="92"/>
      <c r="E1304" s="92"/>
      <c r="F1304" s="50"/>
      <c r="G1304" s="50"/>
      <c r="H1304" s="31"/>
    </row>
    <row r="1305" spans="1:8" x14ac:dyDescent="0.2">
      <c r="A1305" s="20" t="s">
        <v>497</v>
      </c>
      <c r="H1305" s="21"/>
    </row>
    <row r="1306" spans="1:8" x14ac:dyDescent="0.2">
      <c r="A1306" s="409" t="s">
        <v>771</v>
      </c>
      <c r="H1306" s="21"/>
    </row>
    <row r="1307" spans="1:8" x14ac:dyDescent="0.2">
      <c r="A1307" s="20" t="s">
        <v>500</v>
      </c>
      <c r="H1307" s="21"/>
    </row>
    <row r="1308" spans="1:8" x14ac:dyDescent="0.2">
      <c r="A1308" s="32" t="s">
        <v>501</v>
      </c>
      <c r="B1308" s="33"/>
      <c r="C1308" s="33"/>
      <c r="D1308" s="33"/>
      <c r="E1308" s="33"/>
      <c r="F1308" s="33"/>
      <c r="G1308" s="33"/>
      <c r="H1308" s="34"/>
    </row>
    <row r="1311" spans="1:8" x14ac:dyDescent="0.2">
      <c r="A1311" s="144" t="s">
        <v>12</v>
      </c>
      <c r="B1311" s="630" t="s">
        <v>272</v>
      </c>
      <c r="C1311" s="7"/>
      <c r="D1311" s="7"/>
      <c r="E1311" s="7"/>
      <c r="F1311" s="7"/>
      <c r="G1311" s="7"/>
    </row>
    <row r="1312" spans="1:8" x14ac:dyDescent="0.2">
      <c r="A1312" s="16" t="s">
        <v>14</v>
      </c>
      <c r="B1312" s="13" t="s">
        <v>737</v>
      </c>
      <c r="C1312" s="13" t="s">
        <v>15</v>
      </c>
      <c r="D1312" s="7"/>
      <c r="E1312" s="7"/>
      <c r="F1312" s="7"/>
      <c r="G1312" s="7"/>
    </row>
    <row r="1313" spans="1:7" x14ac:dyDescent="0.2">
      <c r="A1313" s="14" t="s">
        <v>16</v>
      </c>
      <c r="B1313" s="140"/>
      <c r="C1313" s="9"/>
      <c r="D1313" s="89">
        <v>2019</v>
      </c>
      <c r="E1313" s="89">
        <v>2020</v>
      </c>
      <c r="F1313" s="89">
        <v>2021</v>
      </c>
    </row>
    <row r="1314" spans="1:7" x14ac:dyDescent="0.2">
      <c r="A1314" s="8" t="s">
        <v>17</v>
      </c>
      <c r="B1314" s="9"/>
      <c r="C1314" s="9"/>
      <c r="D1314" s="48">
        <v>239</v>
      </c>
      <c r="E1314" s="48">
        <v>300</v>
      </c>
      <c r="F1314" s="48">
        <v>300</v>
      </c>
    </row>
    <row r="1315" spans="1:7" x14ac:dyDescent="0.2">
      <c r="A1315" s="8" t="s">
        <v>18</v>
      </c>
      <c r="B1315" s="9"/>
      <c r="C1315" s="9"/>
      <c r="D1315" s="48">
        <v>239</v>
      </c>
      <c r="E1315" s="48">
        <f>E1314+0.05*D1314</f>
        <v>311.95</v>
      </c>
      <c r="F1315" s="48">
        <f>F1314+0.05*E1314</f>
        <v>315</v>
      </c>
    </row>
    <row r="1316" spans="1:7" x14ac:dyDescent="0.2">
      <c r="A1316" s="8" t="s">
        <v>19</v>
      </c>
      <c r="B1316" s="11"/>
      <c r="C1316" s="12"/>
      <c r="D1316" s="8" t="s">
        <v>273</v>
      </c>
      <c r="E1316" s="10"/>
      <c r="F1316" s="10"/>
    </row>
    <row r="1317" spans="1:7" x14ac:dyDescent="0.2">
      <c r="A1317" s="8" t="s">
        <v>20</v>
      </c>
      <c r="B1317" s="9"/>
      <c r="C1317" s="9"/>
      <c r="D1317" s="10">
        <v>49.3</v>
      </c>
      <c r="E1317" s="10">
        <v>194.39</v>
      </c>
      <c r="F1317" s="10">
        <v>157.68</v>
      </c>
    </row>
    <row r="1318" spans="1:7" x14ac:dyDescent="0.2">
      <c r="A1318" s="8" t="s">
        <v>21</v>
      </c>
      <c r="B1318" s="9"/>
      <c r="C1318" s="9"/>
      <c r="D1318" s="10">
        <f>D1315-D1317</f>
        <v>189.7</v>
      </c>
      <c r="E1318" s="10">
        <f>E1315-E1317</f>
        <v>117.56</v>
      </c>
      <c r="F1318" s="10">
        <f>F1315-F1317</f>
        <v>157.32</v>
      </c>
    </row>
    <row r="1319" spans="1:7" x14ac:dyDescent="0.2">
      <c r="A1319" s="37" t="s">
        <v>22</v>
      </c>
      <c r="B1319" s="38"/>
      <c r="C1319" s="38"/>
      <c r="D1319" s="39">
        <v>2020</v>
      </c>
      <c r="E1319" s="39">
        <v>2021</v>
      </c>
      <c r="F1319" s="39">
        <v>2022</v>
      </c>
    </row>
    <row r="1320" spans="1:7" x14ac:dyDescent="0.2">
      <c r="A1320" s="202" t="s">
        <v>23</v>
      </c>
      <c r="B1320" s="203"/>
      <c r="C1320" s="203"/>
      <c r="D1320" s="203"/>
      <c r="E1320" s="203"/>
      <c r="F1320" s="446"/>
    </row>
    <row r="1321" spans="1:7" ht="39.6" customHeight="1" x14ac:dyDescent="0.2">
      <c r="A1321" s="587" t="s">
        <v>274</v>
      </c>
      <c r="B1321" s="588"/>
      <c r="C1321" s="588"/>
      <c r="D1321" s="588"/>
      <c r="E1321" s="588"/>
      <c r="F1321" s="599"/>
      <c r="G1321" s="7"/>
    </row>
    <row r="1322" spans="1:7" ht="49.15" customHeight="1" x14ac:dyDescent="0.2">
      <c r="A1322" s="572" t="s">
        <v>560</v>
      </c>
      <c r="B1322" s="573"/>
      <c r="C1322" s="573"/>
      <c r="D1322" s="573"/>
      <c r="E1322" s="573"/>
      <c r="F1322" s="580"/>
    </row>
    <row r="1324" spans="1:7" x14ac:dyDescent="0.2">
      <c r="A1324" s="414" t="s">
        <v>24</v>
      </c>
      <c r="B1324" s="415" t="s">
        <v>663</v>
      </c>
    </row>
    <row r="1325" spans="1:7" x14ac:dyDescent="0.2">
      <c r="A1325" s="401" t="s">
        <v>14</v>
      </c>
      <c r="B1325" s="402" t="s">
        <v>732</v>
      </c>
      <c r="C1325" s="403" t="s">
        <v>26</v>
      </c>
      <c r="D1325" s="362"/>
    </row>
    <row r="1326" spans="1:7" x14ac:dyDescent="0.2">
      <c r="A1326" s="404" t="s">
        <v>27</v>
      </c>
      <c r="B1326" s="379">
        <v>2020</v>
      </c>
      <c r="C1326" s="379">
        <v>2021</v>
      </c>
      <c r="D1326" s="379">
        <v>2022</v>
      </c>
    </row>
    <row r="1327" spans="1:7" x14ac:dyDescent="0.2">
      <c r="A1327" s="391" t="s">
        <v>28</v>
      </c>
      <c r="B1327" s="386">
        <v>25</v>
      </c>
      <c r="C1327" s="51">
        <v>25</v>
      </c>
      <c r="D1327" s="51">
        <v>25</v>
      </c>
    </row>
    <row r="1328" spans="1:7" x14ac:dyDescent="0.2">
      <c r="A1328" s="391" t="s">
        <v>29</v>
      </c>
      <c r="B1328" s="386"/>
      <c r="C1328" s="386">
        <v>18.66</v>
      </c>
      <c r="D1328" s="386"/>
    </row>
    <row r="1329" spans="1:8" x14ac:dyDescent="0.2">
      <c r="A1329" s="391" t="s">
        <v>30</v>
      </c>
      <c r="B1329" s="405"/>
      <c r="C1329" s="405" t="s">
        <v>594</v>
      </c>
      <c r="D1329" s="405"/>
    </row>
    <row r="1330" spans="1:8" x14ac:dyDescent="0.2">
      <c r="A1330" s="391" t="s">
        <v>31</v>
      </c>
      <c r="B1330" s="386">
        <v>31.341000000000001</v>
      </c>
      <c r="C1330" s="51">
        <v>17.22</v>
      </c>
      <c r="D1330" s="51"/>
    </row>
    <row r="1331" spans="1:8" x14ac:dyDescent="0.2">
      <c r="A1331" s="391" t="s">
        <v>32</v>
      </c>
      <c r="B1331" s="386">
        <v>-6.3410000000000011</v>
      </c>
      <c r="C1331" s="386">
        <f>C1328-C1330</f>
        <v>1.4400000000000013</v>
      </c>
      <c r="D1331" s="51"/>
    </row>
    <row r="1332" spans="1:8" x14ac:dyDescent="0.2">
      <c r="A1332" s="406" t="s">
        <v>33</v>
      </c>
      <c r="B1332" s="383">
        <v>2021</v>
      </c>
      <c r="C1332" s="383"/>
      <c r="D1332" s="383"/>
    </row>
    <row r="1333" spans="1:8" x14ac:dyDescent="0.2">
      <c r="A1333" s="406" t="s">
        <v>664</v>
      </c>
      <c r="B1333" s="407"/>
      <c r="C1333" s="407"/>
      <c r="D1333" s="408"/>
      <c r="E1333" s="191"/>
      <c r="F1333" s="191"/>
    </row>
    <row r="1334" spans="1:8" x14ac:dyDescent="0.2">
      <c r="A1334" s="409"/>
      <c r="B1334" s="410"/>
      <c r="C1334" s="410"/>
      <c r="D1334" s="411"/>
      <c r="E1334" s="191"/>
      <c r="F1334" s="191"/>
    </row>
    <row r="1335" spans="1:8" x14ac:dyDescent="0.2">
      <c r="A1335" s="409"/>
      <c r="B1335" s="410"/>
      <c r="C1335" s="410"/>
      <c r="D1335" s="411"/>
      <c r="E1335" s="191"/>
      <c r="F1335" s="191"/>
    </row>
    <row r="1336" spans="1:8" x14ac:dyDescent="0.2">
      <c r="A1336" s="409"/>
      <c r="B1336" s="410"/>
      <c r="C1336" s="410"/>
      <c r="D1336" s="411"/>
      <c r="E1336" s="191"/>
      <c r="F1336" s="191"/>
    </row>
    <row r="1337" spans="1:8" x14ac:dyDescent="0.2">
      <c r="A1337" s="409"/>
      <c r="B1337" s="410"/>
      <c r="C1337" s="410"/>
      <c r="D1337" s="411"/>
      <c r="E1337" s="191"/>
      <c r="F1337" s="191"/>
    </row>
    <row r="1338" spans="1:8" x14ac:dyDescent="0.2">
      <c r="A1338" s="359"/>
      <c r="B1338" s="412"/>
      <c r="C1338" s="412"/>
      <c r="D1338" s="413"/>
      <c r="E1338" s="191"/>
      <c r="F1338" s="191"/>
    </row>
    <row r="1341" spans="1:8" x14ac:dyDescent="0.2">
      <c r="A1341" s="205" t="s">
        <v>12</v>
      </c>
      <c r="B1341" s="206" t="s">
        <v>400</v>
      </c>
    </row>
    <row r="1342" spans="1:8" x14ac:dyDescent="0.2">
      <c r="A1342" s="117" t="s">
        <v>14</v>
      </c>
      <c r="B1342" s="61" t="s">
        <v>74</v>
      </c>
      <c r="C1342" s="342" t="s">
        <v>15</v>
      </c>
    </row>
    <row r="1343" spans="1:8" x14ac:dyDescent="0.2">
      <c r="A1343" s="52" t="s">
        <v>16</v>
      </c>
      <c r="B1343" s="22"/>
      <c r="C1343" s="100">
        <v>2015</v>
      </c>
      <c r="D1343" s="57">
        <v>2016</v>
      </c>
      <c r="E1343" s="142">
        <v>2017</v>
      </c>
      <c r="F1343" s="142">
        <v>2018</v>
      </c>
      <c r="G1343" s="142">
        <v>2019</v>
      </c>
      <c r="H1343" s="142">
        <v>2020</v>
      </c>
    </row>
    <row r="1344" spans="1:8" x14ac:dyDescent="0.2">
      <c r="A1344" s="52" t="s">
        <v>17</v>
      </c>
      <c r="B1344" s="22"/>
      <c r="C1344" s="23">
        <v>2100</v>
      </c>
      <c r="D1344" s="343">
        <v>1575</v>
      </c>
      <c r="E1344" s="343">
        <v>1575</v>
      </c>
      <c r="F1344" s="343">
        <v>1575</v>
      </c>
      <c r="G1344" s="343">
        <v>1575</v>
      </c>
      <c r="H1344" s="343">
        <v>0</v>
      </c>
    </row>
    <row r="1345" spans="1:9" x14ac:dyDescent="0.2">
      <c r="A1345" s="52" t="s">
        <v>18</v>
      </c>
      <c r="B1345" s="22"/>
      <c r="C1345" s="106">
        <v>2100</v>
      </c>
      <c r="D1345" s="343">
        <v>1575</v>
      </c>
      <c r="E1345" s="343">
        <v>1575</v>
      </c>
      <c r="F1345" s="343">
        <v>1575</v>
      </c>
      <c r="G1345" s="343">
        <v>1575</v>
      </c>
      <c r="H1345" s="343"/>
    </row>
    <row r="1346" spans="1:9" x14ac:dyDescent="0.2">
      <c r="A1346" s="52" t="s">
        <v>19</v>
      </c>
      <c r="B1346" s="22"/>
      <c r="C1346" s="130"/>
      <c r="D1346" s="23"/>
      <c r="E1346" s="131"/>
      <c r="F1346" s="131"/>
      <c r="G1346" s="131"/>
      <c r="H1346" s="131"/>
    </row>
    <row r="1347" spans="1:9" x14ac:dyDescent="0.2">
      <c r="A1347" s="52" t="s">
        <v>20</v>
      </c>
      <c r="B1347" s="22"/>
      <c r="C1347" s="343">
        <v>0</v>
      </c>
      <c r="D1347" s="343">
        <v>0</v>
      </c>
      <c r="E1347" s="343">
        <v>0</v>
      </c>
      <c r="F1347" s="343">
        <v>0</v>
      </c>
      <c r="G1347" s="343">
        <v>0</v>
      </c>
      <c r="H1347" s="343">
        <v>0</v>
      </c>
    </row>
    <row r="1348" spans="1:9" ht="27.75" customHeight="1" x14ac:dyDescent="0.2">
      <c r="A1348" s="52" t="s">
        <v>21</v>
      </c>
      <c r="B1348" s="22"/>
      <c r="C1348" s="106">
        <v>2100</v>
      </c>
      <c r="D1348" s="343">
        <v>1575</v>
      </c>
      <c r="E1348" s="343">
        <v>1575</v>
      </c>
      <c r="F1348" s="343">
        <v>1575</v>
      </c>
      <c r="G1348" s="343">
        <v>1575</v>
      </c>
      <c r="H1348" s="343">
        <v>1575</v>
      </c>
    </row>
    <row r="1349" spans="1:9" x14ac:dyDescent="0.2">
      <c r="A1349" s="55" t="s">
        <v>22</v>
      </c>
      <c r="B1349" s="36"/>
      <c r="C1349" s="63">
        <v>2016</v>
      </c>
      <c r="D1349" s="63">
        <v>2017</v>
      </c>
      <c r="E1349" s="95">
        <v>2018</v>
      </c>
      <c r="F1349" s="95">
        <v>2019</v>
      </c>
      <c r="G1349" s="95">
        <v>2020</v>
      </c>
      <c r="H1349" s="95">
        <v>2021</v>
      </c>
    </row>
    <row r="1350" spans="1:9" x14ac:dyDescent="0.2">
      <c r="A1350" s="52" t="s">
        <v>23</v>
      </c>
      <c r="B1350" s="64"/>
      <c r="C1350" s="64"/>
      <c r="D1350" s="64"/>
      <c r="E1350" s="64"/>
      <c r="F1350" s="64"/>
      <c r="G1350" s="64"/>
      <c r="H1350" s="62"/>
    </row>
    <row r="1353" spans="1:9" ht="25.5" x14ac:dyDescent="0.2">
      <c r="A1353" s="205" t="s">
        <v>12</v>
      </c>
      <c r="B1353" s="632" t="s">
        <v>405</v>
      </c>
    </row>
    <row r="1354" spans="1:9" x14ac:dyDescent="0.2">
      <c r="A1354" s="117" t="s">
        <v>14</v>
      </c>
      <c r="B1354" s="61" t="s">
        <v>709</v>
      </c>
      <c r="C1354" s="42" t="s">
        <v>15</v>
      </c>
    </row>
    <row r="1355" spans="1:9" x14ac:dyDescent="0.2">
      <c r="A1355" s="52" t="s">
        <v>16</v>
      </c>
      <c r="B1355" s="57">
        <v>2015</v>
      </c>
      <c r="C1355" s="105">
        <v>2016</v>
      </c>
      <c r="D1355" s="57">
        <v>2017</v>
      </c>
      <c r="E1355" s="142">
        <v>2018</v>
      </c>
      <c r="F1355" s="142">
        <v>2019</v>
      </c>
      <c r="G1355" s="57">
        <v>2020</v>
      </c>
      <c r="H1355" s="57">
        <v>2021</v>
      </c>
      <c r="I1355" s="57">
        <v>2022</v>
      </c>
    </row>
    <row r="1356" spans="1:9" x14ac:dyDescent="0.2">
      <c r="A1356" s="52" t="s">
        <v>17</v>
      </c>
      <c r="B1356" s="53">
        <v>200</v>
      </c>
      <c r="C1356" s="106">
        <v>200</v>
      </c>
      <c r="D1356" s="53">
        <v>200</v>
      </c>
      <c r="E1356" s="107">
        <v>200</v>
      </c>
      <c r="F1356" s="107">
        <v>215</v>
      </c>
      <c r="G1356" s="53">
        <v>215</v>
      </c>
      <c r="H1356" s="23">
        <v>242</v>
      </c>
      <c r="I1356" s="23">
        <v>242</v>
      </c>
    </row>
    <row r="1357" spans="1:9" x14ac:dyDescent="0.2">
      <c r="A1357" s="52" t="s">
        <v>18</v>
      </c>
      <c r="B1357" s="53">
        <v>303.49</v>
      </c>
      <c r="C1357" s="106">
        <f>C1356+B1360+100</f>
        <v>298.49</v>
      </c>
      <c r="D1357" s="53">
        <f>D1356+100</f>
        <v>300</v>
      </c>
      <c r="E1357" s="107">
        <f>E1356+C1360+100</f>
        <v>306.89</v>
      </c>
      <c r="F1357" s="107">
        <v>218.8</v>
      </c>
      <c r="G1357" s="107">
        <v>265</v>
      </c>
      <c r="H1357" s="23">
        <f>H1356+F1360</f>
        <v>280.35000000000002</v>
      </c>
      <c r="I1357" s="23">
        <f>I1356+G1360</f>
        <v>255.27</v>
      </c>
    </row>
    <row r="1358" spans="1:9" ht="25.5" x14ac:dyDescent="0.2">
      <c r="A1358" s="52" t="s">
        <v>19</v>
      </c>
      <c r="B1358" s="238"/>
      <c r="C1358" s="238" t="s">
        <v>406</v>
      </c>
      <c r="D1358" s="238" t="s">
        <v>407</v>
      </c>
      <c r="E1358" s="238" t="s">
        <v>408</v>
      </c>
      <c r="F1358" s="238" t="s">
        <v>421</v>
      </c>
      <c r="G1358" s="238" t="s">
        <v>422</v>
      </c>
      <c r="H1358" s="78" t="s">
        <v>811</v>
      </c>
      <c r="I1358" s="78" t="s">
        <v>810</v>
      </c>
    </row>
    <row r="1359" spans="1:9" x14ac:dyDescent="0.2">
      <c r="A1359" s="52" t="s">
        <v>20</v>
      </c>
      <c r="B1359" s="53">
        <v>305</v>
      </c>
      <c r="C1359" s="106">
        <v>291.60000000000002</v>
      </c>
      <c r="D1359" s="53">
        <v>296.2</v>
      </c>
      <c r="E1359" s="53">
        <v>173.26</v>
      </c>
      <c r="F1359" s="107">
        <v>180.45</v>
      </c>
      <c r="G1359" s="53">
        <v>251.73</v>
      </c>
      <c r="H1359" s="23">
        <v>0</v>
      </c>
      <c r="I1359" s="23"/>
    </row>
    <row r="1360" spans="1:9" x14ac:dyDescent="0.2">
      <c r="A1360" s="52" t="s">
        <v>21</v>
      </c>
      <c r="B1360" s="53">
        <v>-1.5099999999999909</v>
      </c>
      <c r="C1360" s="53">
        <f>C1357-C1359</f>
        <v>6.8899999999999864</v>
      </c>
      <c r="D1360" s="53">
        <f t="shared" ref="D1360:E1360" si="53">D1357-D1359</f>
        <v>3.8000000000000114</v>
      </c>
      <c r="E1360" s="53">
        <f t="shared" si="53"/>
        <v>133.63</v>
      </c>
      <c r="F1360" s="53">
        <v>38.350000000000023</v>
      </c>
      <c r="G1360" s="53">
        <f>G1357-G1359</f>
        <v>13.27000000000001</v>
      </c>
      <c r="H1360" s="23">
        <f>H1357</f>
        <v>280.35000000000002</v>
      </c>
      <c r="I1360" s="23"/>
    </row>
    <row r="1361" spans="1:9" x14ac:dyDescent="0.2">
      <c r="A1361" s="55" t="s">
        <v>22</v>
      </c>
      <c r="B1361" s="63">
        <v>2016</v>
      </c>
      <c r="C1361" s="94">
        <v>2018</v>
      </c>
      <c r="D1361" s="63">
        <v>2019</v>
      </c>
      <c r="E1361" s="95">
        <v>2020</v>
      </c>
      <c r="F1361" s="95">
        <v>2021</v>
      </c>
      <c r="G1361" s="63">
        <v>2022</v>
      </c>
      <c r="H1361" s="63">
        <v>2023</v>
      </c>
      <c r="I1361" s="63">
        <v>2024</v>
      </c>
    </row>
    <row r="1362" spans="1:9" x14ac:dyDescent="0.2">
      <c r="A1362" s="55" t="s">
        <v>23</v>
      </c>
      <c r="B1362" s="30"/>
      <c r="C1362" s="30"/>
      <c r="D1362" s="30"/>
      <c r="E1362" s="30"/>
      <c r="F1362" s="30"/>
      <c r="G1362" s="30"/>
      <c r="H1362" s="31"/>
      <c r="I1362" s="31"/>
    </row>
    <row r="1363" spans="1:9" x14ac:dyDescent="0.2">
      <c r="A1363" s="20" t="s">
        <v>409</v>
      </c>
      <c r="H1363" s="21"/>
      <c r="I1363" s="21"/>
    </row>
    <row r="1364" spans="1:9" ht="13.15" customHeight="1" x14ac:dyDescent="0.2">
      <c r="A1364" s="572" t="s">
        <v>423</v>
      </c>
      <c r="B1364" s="573"/>
      <c r="C1364" s="573"/>
      <c r="D1364" s="573"/>
      <c r="E1364" s="573"/>
      <c r="F1364" s="573"/>
      <c r="G1364" s="573"/>
      <c r="H1364" s="34"/>
      <c r="I1364" s="34"/>
    </row>
    <row r="1365" spans="1:9" x14ac:dyDescent="0.2">
      <c r="A1365" s="193"/>
      <c r="B1365" s="193"/>
      <c r="C1365" s="193"/>
      <c r="D1365" s="193"/>
      <c r="E1365" s="193"/>
      <c r="F1365" s="193"/>
      <c r="G1365" s="193"/>
    </row>
    <row r="1367" spans="1:9" x14ac:dyDescent="0.2">
      <c r="A1367" s="205" t="s">
        <v>11</v>
      </c>
      <c r="B1367" s="206" t="s">
        <v>227</v>
      </c>
      <c r="C1367" s="7"/>
    </row>
    <row r="1368" spans="1:9" x14ac:dyDescent="0.2">
      <c r="A1368" s="117" t="s">
        <v>1</v>
      </c>
      <c r="B1368" s="61" t="s">
        <v>708</v>
      </c>
      <c r="C1368" s="342" t="s">
        <v>2</v>
      </c>
    </row>
    <row r="1369" spans="1:9" x14ac:dyDescent="0.2">
      <c r="A1369" s="52" t="s">
        <v>3</v>
      </c>
      <c r="B1369" s="22"/>
      <c r="C1369" s="57">
        <v>2018</v>
      </c>
      <c r="D1369" s="105">
        <v>2019</v>
      </c>
      <c r="E1369" s="57">
        <v>2020</v>
      </c>
      <c r="F1369" s="57">
        <v>2021</v>
      </c>
      <c r="G1369" s="57">
        <v>2022</v>
      </c>
    </row>
    <row r="1370" spans="1:9" x14ac:dyDescent="0.2">
      <c r="A1370" s="52" t="s">
        <v>4</v>
      </c>
      <c r="B1370" s="22"/>
      <c r="C1370" s="23">
        <v>250</v>
      </c>
      <c r="D1370" s="130">
        <v>250</v>
      </c>
      <c r="E1370" s="23">
        <v>250</v>
      </c>
      <c r="F1370" s="131">
        <v>250</v>
      </c>
      <c r="G1370" s="131">
        <v>250</v>
      </c>
    </row>
    <row r="1371" spans="1:9" x14ac:dyDescent="0.2">
      <c r="A1371" s="52" t="s">
        <v>5</v>
      </c>
      <c r="B1371" s="22"/>
      <c r="C1371" s="23">
        <v>200</v>
      </c>
      <c r="D1371" s="23">
        <v>225</v>
      </c>
      <c r="E1371" s="23">
        <f>E1372</f>
        <v>225</v>
      </c>
      <c r="F1371" s="131">
        <f>F1372</f>
        <v>200</v>
      </c>
      <c r="G1371" s="131">
        <f>G1372</f>
        <v>200</v>
      </c>
    </row>
    <row r="1372" spans="1:9" x14ac:dyDescent="0.2">
      <c r="A1372" s="52" t="s">
        <v>6</v>
      </c>
      <c r="B1372" s="22"/>
      <c r="C1372" s="23">
        <v>200</v>
      </c>
      <c r="D1372" s="23">
        <v>225</v>
      </c>
      <c r="E1372" s="23">
        <f>1.4*E1370-125</f>
        <v>225</v>
      </c>
      <c r="F1372" s="131">
        <f>F1370+0.4*E1370-150</f>
        <v>200</v>
      </c>
      <c r="G1372" s="131">
        <f>G1370+0.4*F1370-150</f>
        <v>200</v>
      </c>
    </row>
    <row r="1373" spans="1:9" x14ac:dyDescent="0.2">
      <c r="A1373" s="52" t="s">
        <v>7</v>
      </c>
      <c r="B1373" s="22"/>
      <c r="C1373" s="23">
        <v>43.54</v>
      </c>
      <c r="D1373" s="23">
        <v>13.63</v>
      </c>
      <c r="E1373" s="23">
        <v>10</v>
      </c>
      <c r="F1373" s="131">
        <v>20</v>
      </c>
      <c r="G1373" s="131"/>
    </row>
    <row r="1374" spans="1:9" x14ac:dyDescent="0.2">
      <c r="A1374" s="52" t="s">
        <v>8</v>
      </c>
      <c r="B1374" s="22"/>
      <c r="C1374" s="23">
        <v>156.46</v>
      </c>
      <c r="D1374" s="130">
        <v>211.37</v>
      </c>
      <c r="E1374" s="23">
        <f>E1371-E1373</f>
        <v>215</v>
      </c>
      <c r="F1374" s="131">
        <f>F1371-F1373</f>
        <v>180</v>
      </c>
      <c r="G1374" s="131"/>
    </row>
    <row r="1375" spans="1:9" x14ac:dyDescent="0.2">
      <c r="A1375" s="55" t="s">
        <v>9</v>
      </c>
      <c r="B1375" s="36"/>
      <c r="C1375" s="63">
        <v>2019</v>
      </c>
      <c r="D1375" s="94">
        <v>2020</v>
      </c>
      <c r="E1375" s="63">
        <v>2021</v>
      </c>
      <c r="F1375" s="31">
        <v>2022</v>
      </c>
      <c r="G1375" s="31">
        <v>2023</v>
      </c>
    </row>
    <row r="1376" spans="1:9" x14ac:dyDescent="0.2">
      <c r="A1376" s="55" t="s">
        <v>172</v>
      </c>
      <c r="B1376" s="30"/>
      <c r="C1376" s="30"/>
      <c r="D1376" s="30"/>
      <c r="E1376" s="30"/>
      <c r="F1376" s="30"/>
      <c r="G1376" s="31"/>
    </row>
    <row r="1377" spans="1:7" x14ac:dyDescent="0.2">
      <c r="A1377" s="20" t="s">
        <v>228</v>
      </c>
      <c r="G1377" s="21"/>
    </row>
    <row r="1378" spans="1:7" x14ac:dyDescent="0.2">
      <c r="A1378" s="20" t="s">
        <v>563</v>
      </c>
      <c r="G1378" s="21"/>
    </row>
    <row r="1379" spans="1:7" ht="13.15" customHeight="1" x14ac:dyDescent="0.2">
      <c r="A1379" s="87" t="s">
        <v>564</v>
      </c>
      <c r="B1379" s="56"/>
      <c r="C1379" s="56"/>
      <c r="D1379" s="56"/>
      <c r="E1379" s="56"/>
      <c r="F1379" s="56"/>
      <c r="G1379" s="561"/>
    </row>
    <row r="1380" spans="1:7" x14ac:dyDescent="0.2">
      <c r="A1380" s="87" t="s">
        <v>565</v>
      </c>
      <c r="B1380" s="193"/>
      <c r="C1380" s="193"/>
      <c r="D1380" s="193"/>
      <c r="E1380" s="193"/>
      <c r="F1380" s="193"/>
      <c r="G1380" s="197"/>
    </row>
    <row r="1381" spans="1:7" x14ac:dyDescent="0.2">
      <c r="A1381" s="20" t="s">
        <v>566</v>
      </c>
      <c r="B1381" s="193"/>
      <c r="C1381" s="193"/>
      <c r="D1381" s="193"/>
      <c r="E1381" s="193"/>
      <c r="F1381" s="193"/>
      <c r="G1381" s="197"/>
    </row>
    <row r="1382" spans="1:7" ht="13.15" customHeight="1" x14ac:dyDescent="0.2">
      <c r="A1382" s="32" t="s">
        <v>812</v>
      </c>
      <c r="B1382" s="33"/>
      <c r="C1382" s="33"/>
      <c r="D1382" s="33"/>
      <c r="E1382" s="33"/>
      <c r="F1382" s="33"/>
      <c r="G1382" s="34"/>
    </row>
    <row r="1384" spans="1:7" x14ac:dyDescent="0.2">
      <c r="A1384" s="117" t="s">
        <v>1</v>
      </c>
      <c r="B1384" s="61" t="s">
        <v>736</v>
      </c>
      <c r="C1384" s="342" t="s">
        <v>2</v>
      </c>
    </row>
    <row r="1385" spans="1:7" x14ac:dyDescent="0.2">
      <c r="A1385" s="52" t="s">
        <v>3</v>
      </c>
      <c r="B1385" s="22"/>
      <c r="C1385" s="57">
        <v>2018</v>
      </c>
      <c r="D1385" s="105">
        <v>2019</v>
      </c>
      <c r="E1385" s="57">
        <v>2020</v>
      </c>
      <c r="F1385" s="57">
        <v>2021</v>
      </c>
      <c r="G1385" s="57">
        <v>2022</v>
      </c>
    </row>
    <row r="1386" spans="1:7" x14ac:dyDescent="0.2">
      <c r="A1386" s="52" t="s">
        <v>4</v>
      </c>
      <c r="B1386" s="22"/>
      <c r="C1386" s="23">
        <v>417</v>
      </c>
      <c r="D1386" s="23">
        <v>417</v>
      </c>
      <c r="E1386" s="23">
        <v>417</v>
      </c>
      <c r="F1386" s="23">
        <v>417</v>
      </c>
      <c r="G1386" s="23">
        <v>417</v>
      </c>
    </row>
    <row r="1387" spans="1:7" x14ac:dyDescent="0.2">
      <c r="A1387" s="52" t="s">
        <v>5</v>
      </c>
      <c r="B1387" s="22"/>
      <c r="C1387" s="23">
        <v>500.4</v>
      </c>
      <c r="D1387" s="23">
        <v>500.4</v>
      </c>
      <c r="E1387" s="23">
        <f>E1388</f>
        <v>500.4</v>
      </c>
      <c r="F1387" s="23">
        <v>500.4</v>
      </c>
      <c r="G1387" s="23">
        <v>500.4</v>
      </c>
    </row>
    <row r="1388" spans="1:7" x14ac:dyDescent="0.2">
      <c r="A1388" s="52" t="s">
        <v>6</v>
      </c>
      <c r="B1388" s="22"/>
      <c r="C1388" s="23">
        <v>500.4</v>
      </c>
      <c r="D1388" s="23">
        <v>500.4</v>
      </c>
      <c r="E1388" s="23">
        <f>1.2*E1386</f>
        <v>500.4</v>
      </c>
      <c r="F1388" s="23">
        <v>500.4</v>
      </c>
      <c r="G1388" s="23">
        <v>500.4</v>
      </c>
    </row>
    <row r="1389" spans="1:7" x14ac:dyDescent="0.2">
      <c r="A1389" s="52" t="s">
        <v>7</v>
      </c>
      <c r="B1389" s="22"/>
      <c r="C1389" s="23">
        <v>92.8</v>
      </c>
      <c r="D1389" s="23">
        <v>166.9</v>
      </c>
      <c r="E1389" s="23">
        <v>0</v>
      </c>
      <c r="F1389" s="23">
        <v>0</v>
      </c>
      <c r="G1389" s="23"/>
    </row>
    <row r="1390" spans="1:7" x14ac:dyDescent="0.2">
      <c r="A1390" s="52" t="s">
        <v>8</v>
      </c>
      <c r="B1390" s="22"/>
      <c r="C1390" s="23">
        <v>407.59999999999997</v>
      </c>
      <c r="D1390" s="23">
        <f>D1387-D1389</f>
        <v>333.5</v>
      </c>
      <c r="E1390" s="23">
        <f t="shared" ref="E1390:F1390" si="54">E1387-E1389</f>
        <v>500.4</v>
      </c>
      <c r="F1390" s="23">
        <f t="shared" si="54"/>
        <v>500.4</v>
      </c>
      <c r="G1390" s="23"/>
    </row>
    <row r="1391" spans="1:7" x14ac:dyDescent="0.2">
      <c r="A1391" s="55" t="s">
        <v>9</v>
      </c>
      <c r="B1391" s="36"/>
      <c r="C1391" s="63">
        <v>2019</v>
      </c>
      <c r="D1391" s="94">
        <v>2020</v>
      </c>
      <c r="E1391" s="63">
        <v>2021</v>
      </c>
      <c r="F1391" s="95">
        <v>2022</v>
      </c>
      <c r="G1391" s="95">
        <v>2023</v>
      </c>
    </row>
    <row r="1392" spans="1:7" x14ac:dyDescent="0.2">
      <c r="A1392" s="55" t="s">
        <v>172</v>
      </c>
      <c r="B1392" s="30"/>
      <c r="C1392" s="30"/>
      <c r="D1392" s="30"/>
      <c r="E1392" s="30"/>
      <c r="F1392" s="30"/>
      <c r="G1392" s="31"/>
    </row>
    <row r="1393" spans="1:8" x14ac:dyDescent="0.2">
      <c r="A1393" s="20" t="s">
        <v>228</v>
      </c>
      <c r="G1393" s="21"/>
    </row>
    <row r="1394" spans="1:8" s="56" customFormat="1" x14ac:dyDescent="0.2">
      <c r="A1394" s="574" t="s">
        <v>229</v>
      </c>
      <c r="B1394" s="575"/>
      <c r="C1394" s="575"/>
      <c r="D1394" s="575"/>
      <c r="E1394" s="575"/>
      <c r="F1394" s="575"/>
      <c r="G1394" s="561"/>
    </row>
    <row r="1395" spans="1:8" s="56" customFormat="1" x14ac:dyDescent="0.2">
      <c r="A1395" s="574" t="s">
        <v>331</v>
      </c>
      <c r="B1395" s="575"/>
      <c r="C1395" s="575"/>
      <c r="D1395" s="575"/>
      <c r="E1395" s="575"/>
      <c r="F1395" s="575"/>
      <c r="G1395" s="561"/>
    </row>
    <row r="1396" spans="1:8" s="56" customFormat="1" x14ac:dyDescent="0.2">
      <c r="A1396" s="574" t="s">
        <v>814</v>
      </c>
      <c r="B1396" s="575"/>
      <c r="C1396" s="575"/>
      <c r="D1396" s="575"/>
      <c r="E1396" s="575"/>
      <c r="F1396" s="575"/>
      <c r="G1396" s="561"/>
    </row>
    <row r="1397" spans="1:8" s="56" customFormat="1" x14ac:dyDescent="0.2">
      <c r="A1397" s="572" t="s">
        <v>813</v>
      </c>
      <c r="B1397" s="573"/>
      <c r="C1397" s="573"/>
      <c r="D1397" s="573"/>
      <c r="E1397" s="573"/>
      <c r="F1397" s="573"/>
      <c r="G1397" s="562"/>
    </row>
    <row r="1399" spans="1:8" x14ac:dyDescent="0.2">
      <c r="A1399" s="16" t="s">
        <v>14</v>
      </c>
      <c r="B1399" s="13" t="s">
        <v>74</v>
      </c>
      <c r="C1399" s="212" t="s">
        <v>15</v>
      </c>
      <c r="D1399" s="7"/>
      <c r="E1399" s="7"/>
      <c r="F1399" s="7"/>
    </row>
    <row r="1400" spans="1:8" x14ac:dyDescent="0.2">
      <c r="A1400" s="8" t="s">
        <v>16</v>
      </c>
      <c r="B1400" s="9"/>
      <c r="C1400" s="57">
        <v>2020</v>
      </c>
      <c r="D1400" s="57">
        <v>2021</v>
      </c>
      <c r="E1400" s="57">
        <v>2022</v>
      </c>
    </row>
    <row r="1401" spans="1:8" x14ac:dyDescent="0.2">
      <c r="A1401" s="8" t="s">
        <v>17</v>
      </c>
      <c r="B1401" s="29"/>
      <c r="C1401" s="23">
        <v>1322.73</v>
      </c>
      <c r="D1401" s="51">
        <v>1301.5663200000001</v>
      </c>
      <c r="E1401" s="51">
        <v>1312.14816</v>
      </c>
    </row>
    <row r="1402" spans="1:8" x14ac:dyDescent="0.2">
      <c r="A1402" s="8" t="s">
        <v>18</v>
      </c>
      <c r="B1402" s="29"/>
      <c r="C1402" s="23"/>
      <c r="D1402" s="51">
        <f>D1401+C1405</f>
        <v>-76.203679999999849</v>
      </c>
      <c r="E1402" s="51">
        <f>E1401+D1405</f>
        <v>533.84448000000009</v>
      </c>
    </row>
    <row r="1403" spans="1:8" x14ac:dyDescent="0.2">
      <c r="A1403" s="8" t="s">
        <v>19</v>
      </c>
      <c r="B1403" s="29"/>
      <c r="C1403" s="23"/>
      <c r="D1403" s="563" t="s">
        <v>594</v>
      </c>
      <c r="E1403" s="563" t="s">
        <v>595</v>
      </c>
    </row>
    <row r="1404" spans="1:8" x14ac:dyDescent="0.2">
      <c r="A1404" s="8" t="s">
        <v>20</v>
      </c>
      <c r="B1404" s="29"/>
      <c r="C1404" s="23">
        <v>2700.5</v>
      </c>
      <c r="D1404" s="23">
        <v>702.1</v>
      </c>
      <c r="E1404" s="23"/>
    </row>
    <row r="1405" spans="1:8" x14ac:dyDescent="0.2">
      <c r="A1405" s="8" t="s">
        <v>21</v>
      </c>
      <c r="B1405" s="223"/>
      <c r="C1405" s="23">
        <f>C1401-C1404</f>
        <v>-1377.77</v>
      </c>
      <c r="D1405" s="23">
        <f>D1402-D1404</f>
        <v>-778.30367999999987</v>
      </c>
      <c r="E1405" s="23"/>
    </row>
    <row r="1406" spans="1:8" x14ac:dyDescent="0.2">
      <c r="A1406" s="37" t="s">
        <v>22</v>
      </c>
      <c r="B1406" s="227"/>
      <c r="C1406" s="36">
        <v>2021</v>
      </c>
      <c r="D1406" s="36">
        <v>2022</v>
      </c>
      <c r="E1406" s="36"/>
    </row>
    <row r="1407" spans="1:8" ht="12.75" customHeight="1" x14ac:dyDescent="0.2">
      <c r="A1407" s="564" t="s">
        <v>615</v>
      </c>
      <c r="B1407" s="565"/>
      <c r="C1407" s="565"/>
      <c r="D1407" s="565"/>
      <c r="E1407" s="566"/>
      <c r="F1407" s="28"/>
      <c r="G1407" s="28"/>
      <c r="H1407" s="28"/>
    </row>
    <row r="1408" spans="1:8" x14ac:dyDescent="0.2">
      <c r="A1408" s="409" t="s">
        <v>815</v>
      </c>
      <c r="B1408" s="362"/>
      <c r="C1408" s="362"/>
      <c r="D1408" s="362"/>
      <c r="E1408" s="558"/>
      <c r="F1408" s="362"/>
      <c r="G1408" s="362"/>
      <c r="H1408" s="362"/>
    </row>
    <row r="1409" spans="1:8" x14ac:dyDescent="0.2">
      <c r="A1409" s="359" t="s">
        <v>816</v>
      </c>
      <c r="B1409" s="559"/>
      <c r="C1409" s="559"/>
      <c r="D1409" s="559"/>
      <c r="E1409" s="560"/>
      <c r="F1409" s="362"/>
      <c r="G1409" s="362"/>
      <c r="H1409" s="362"/>
    </row>
    <row r="1410" spans="1:8" x14ac:dyDescent="0.2">
      <c r="C1410" s="56"/>
    </row>
    <row r="1412" spans="1:8" x14ac:dyDescent="0.2">
      <c r="A1412" s="205" t="s">
        <v>213</v>
      </c>
      <c r="B1412" s="206" t="s">
        <v>214</v>
      </c>
    </row>
    <row r="1413" spans="1:8" x14ac:dyDescent="0.2">
      <c r="A1413" s="117" t="s">
        <v>212</v>
      </c>
      <c r="B1413" s="61" t="s">
        <v>732</v>
      </c>
      <c r="C1413" s="42" t="s">
        <v>15</v>
      </c>
    </row>
    <row r="1414" spans="1:8" x14ac:dyDescent="0.2">
      <c r="A1414" s="22" t="s">
        <v>16</v>
      </c>
      <c r="B1414" s="22"/>
      <c r="C1414" s="22"/>
      <c r="D1414" s="57">
        <v>2018</v>
      </c>
      <c r="E1414" s="57">
        <v>2019</v>
      </c>
      <c r="F1414" s="57">
        <v>2020</v>
      </c>
      <c r="G1414" s="57">
        <v>2021</v>
      </c>
      <c r="H1414" s="57">
        <v>2022</v>
      </c>
    </row>
    <row r="1415" spans="1:8" x14ac:dyDescent="0.2">
      <c r="A1415" s="22" t="s">
        <v>17</v>
      </c>
      <c r="B1415" s="23"/>
      <c r="C1415" s="23"/>
      <c r="D1415" s="23">
        <v>4400</v>
      </c>
      <c r="E1415" s="23">
        <v>4400</v>
      </c>
      <c r="F1415" s="23">
        <v>4400</v>
      </c>
      <c r="G1415" s="23">
        <v>4400</v>
      </c>
      <c r="H1415" s="23">
        <v>4400</v>
      </c>
    </row>
    <row r="1416" spans="1:8" x14ac:dyDescent="0.2">
      <c r="A1416" s="22" t="s">
        <v>18</v>
      </c>
      <c r="B1416" s="23"/>
      <c r="C1416" s="23"/>
      <c r="D1416" s="23">
        <v>5500</v>
      </c>
      <c r="E1416" s="23">
        <f>E1415*1.25-900</f>
        <v>4600</v>
      </c>
      <c r="F1416" s="23">
        <f>F1415*1.25-600</f>
        <v>4900</v>
      </c>
      <c r="G1416" s="23">
        <f>G1415+E1419</f>
        <v>4597.134</v>
      </c>
      <c r="H1416" s="23">
        <f>H1415+F1419</f>
        <v>5274.0761000000002</v>
      </c>
    </row>
    <row r="1417" spans="1:8" x14ac:dyDescent="0.2">
      <c r="A1417" s="52" t="s">
        <v>19</v>
      </c>
      <c r="B1417" s="102"/>
      <c r="C1417" s="23"/>
      <c r="D1417" s="23"/>
      <c r="E1417" s="23"/>
      <c r="F1417" s="23"/>
      <c r="G1417" s="23"/>
      <c r="H1417" s="23"/>
    </row>
    <row r="1418" spans="1:8" x14ac:dyDescent="0.2">
      <c r="A1418" s="52" t="s">
        <v>20</v>
      </c>
      <c r="B1418" s="23"/>
      <c r="C1418" s="23"/>
      <c r="D1418" s="23">
        <v>2572.5</v>
      </c>
      <c r="E1418" s="23">
        <v>4402.866</v>
      </c>
      <c r="F1418" s="23">
        <v>4025.9238999999998</v>
      </c>
      <c r="G1418" s="23">
        <v>3922.52</v>
      </c>
      <c r="H1418" s="23"/>
    </row>
    <row r="1419" spans="1:8" x14ac:dyDescent="0.2">
      <c r="A1419" s="52" t="s">
        <v>21</v>
      </c>
      <c r="B1419" s="23"/>
      <c r="C1419" s="23"/>
      <c r="D1419" s="23">
        <f>D1416-D1418</f>
        <v>2927.5</v>
      </c>
      <c r="E1419" s="23">
        <f>E1416-E1418</f>
        <v>197.13400000000001</v>
      </c>
      <c r="F1419" s="23">
        <f>F1416-F1418</f>
        <v>874.07610000000022</v>
      </c>
      <c r="G1419" s="23">
        <f>G1416-G1418</f>
        <v>674.61400000000003</v>
      </c>
      <c r="H1419" s="23"/>
    </row>
    <row r="1420" spans="1:8" x14ac:dyDescent="0.2">
      <c r="A1420" s="55" t="s">
        <v>22</v>
      </c>
      <c r="B1420" s="36"/>
      <c r="C1420" s="36"/>
      <c r="D1420" s="63">
        <v>2020</v>
      </c>
      <c r="E1420" s="63">
        <v>2021</v>
      </c>
      <c r="F1420" s="63">
        <v>2022</v>
      </c>
      <c r="G1420" s="63">
        <v>2023</v>
      </c>
      <c r="H1420" s="63">
        <v>2024</v>
      </c>
    </row>
    <row r="1421" spans="1:8" x14ac:dyDescent="0.2">
      <c r="A1421" s="55" t="s">
        <v>23</v>
      </c>
      <c r="B1421" s="30"/>
      <c r="C1421" s="30"/>
      <c r="D1421" s="94"/>
      <c r="E1421" s="94"/>
      <c r="F1421" s="94"/>
      <c r="G1421" s="95"/>
      <c r="H1421" s="95"/>
    </row>
    <row r="1422" spans="1:8" x14ac:dyDescent="0.2">
      <c r="A1422" s="55" t="s">
        <v>123</v>
      </c>
      <c r="B1422" s="30"/>
      <c r="C1422" s="30"/>
      <c r="D1422" s="30"/>
      <c r="E1422" s="30"/>
      <c r="F1422" s="30"/>
      <c r="G1422" s="30"/>
      <c r="H1422" s="31"/>
    </row>
    <row r="1423" spans="1:8" x14ac:dyDescent="0.2">
      <c r="A1423" s="20" t="s">
        <v>342</v>
      </c>
      <c r="H1423" s="21"/>
    </row>
    <row r="1424" spans="1:8" x14ac:dyDescent="0.2">
      <c r="A1424" s="20" t="s">
        <v>343</v>
      </c>
      <c r="H1424" s="21"/>
    </row>
    <row r="1425" spans="1:9" x14ac:dyDescent="0.2">
      <c r="A1425" s="20" t="s">
        <v>509</v>
      </c>
      <c r="H1425" s="21"/>
    </row>
    <row r="1426" spans="1:9" x14ac:dyDescent="0.2">
      <c r="A1426" s="32" t="s">
        <v>631</v>
      </c>
      <c r="B1426" s="33"/>
      <c r="C1426" s="33"/>
      <c r="D1426" s="33"/>
      <c r="E1426" s="33"/>
      <c r="F1426" s="33"/>
      <c r="G1426" s="33"/>
      <c r="H1426" s="34"/>
    </row>
    <row r="1428" spans="1:9" x14ac:dyDescent="0.2">
      <c r="A1428" s="117" t="s">
        <v>212</v>
      </c>
      <c r="B1428" s="61" t="s">
        <v>736</v>
      </c>
      <c r="C1428" s="42" t="s">
        <v>15</v>
      </c>
    </row>
    <row r="1429" spans="1:9" x14ac:dyDescent="0.2">
      <c r="A1429" s="22" t="s">
        <v>16</v>
      </c>
      <c r="B1429" s="22"/>
      <c r="C1429" s="57">
        <v>2016</v>
      </c>
      <c r="D1429" s="57">
        <v>2017</v>
      </c>
      <c r="E1429" s="57">
        <v>2018</v>
      </c>
      <c r="F1429" s="57">
        <v>2019</v>
      </c>
      <c r="G1429" s="57">
        <v>2020</v>
      </c>
      <c r="H1429" s="379">
        <v>2021</v>
      </c>
      <c r="I1429" s="57">
        <v>2022</v>
      </c>
    </row>
    <row r="1430" spans="1:9" x14ac:dyDescent="0.2">
      <c r="A1430" s="22" t="s">
        <v>17</v>
      </c>
      <c r="B1430" s="23"/>
      <c r="C1430" s="23">
        <v>1001</v>
      </c>
      <c r="D1430" s="23">
        <v>1001</v>
      </c>
      <c r="E1430" s="23">
        <v>1001</v>
      </c>
      <c r="F1430" s="23">
        <v>1001</v>
      </c>
      <c r="G1430" s="23">
        <v>1001</v>
      </c>
      <c r="H1430" s="51">
        <v>1001</v>
      </c>
      <c r="I1430" s="23">
        <v>1001</v>
      </c>
    </row>
    <row r="1431" spans="1:9" x14ac:dyDescent="0.2">
      <c r="A1431" s="22" t="s">
        <v>18</v>
      </c>
      <c r="B1431" s="23"/>
      <c r="C1431" s="23">
        <f>C1430*1.3-50</f>
        <v>1251.3</v>
      </c>
      <c r="D1431" s="23">
        <f>D1430*1.3-50</f>
        <v>1251.3</v>
      </c>
      <c r="E1431" s="23">
        <f>E1430*1.2-50</f>
        <v>1151.2</v>
      </c>
      <c r="F1431" s="23">
        <f t="shared" ref="F1431:G1431" si="55">F1430*1.2-50</f>
        <v>1151.2</v>
      </c>
      <c r="G1431" s="23">
        <f t="shared" si="55"/>
        <v>1151.2</v>
      </c>
      <c r="H1431" s="51">
        <f>H1430*1.2</f>
        <v>1201.2</v>
      </c>
      <c r="I1431" s="23">
        <f>I1430*1.2</f>
        <v>1201.2</v>
      </c>
    </row>
    <row r="1432" spans="1:9" x14ac:dyDescent="0.2">
      <c r="A1432" s="52" t="s">
        <v>19</v>
      </c>
      <c r="B1432" s="102"/>
      <c r="C1432" s="93" t="s">
        <v>510</v>
      </c>
      <c r="D1432" s="93" t="s">
        <v>510</v>
      </c>
      <c r="E1432" s="93" t="s">
        <v>511</v>
      </c>
      <c r="F1432" s="93" t="s">
        <v>511</v>
      </c>
      <c r="G1432" s="93" t="s">
        <v>511</v>
      </c>
      <c r="H1432" s="417" t="s">
        <v>763</v>
      </c>
      <c r="I1432" s="93" t="s">
        <v>763</v>
      </c>
    </row>
    <row r="1433" spans="1:9" x14ac:dyDescent="0.2">
      <c r="A1433" s="52" t="s">
        <v>20</v>
      </c>
      <c r="B1433" s="23"/>
      <c r="C1433" s="23">
        <v>124.4</v>
      </c>
      <c r="D1433" s="23">
        <v>159</v>
      </c>
      <c r="E1433" s="23">
        <v>188.7</v>
      </c>
      <c r="F1433" s="23">
        <v>288.56359999999995</v>
      </c>
      <c r="G1433" s="23">
        <v>149.46553</v>
      </c>
      <c r="H1433" s="391">
        <v>228.99</v>
      </c>
      <c r="I1433" s="22"/>
    </row>
    <row r="1434" spans="1:9" x14ac:dyDescent="0.2">
      <c r="A1434" s="52" t="s">
        <v>21</v>
      </c>
      <c r="B1434" s="23"/>
      <c r="C1434" s="23">
        <f>C1431-C1433</f>
        <v>1126.8999999999999</v>
      </c>
      <c r="D1434" s="23">
        <f t="shared" ref="D1434:G1434" si="56">D1431-D1433</f>
        <v>1092.3</v>
      </c>
      <c r="E1434" s="23">
        <f t="shared" si="56"/>
        <v>962.5</v>
      </c>
      <c r="F1434" s="23">
        <f t="shared" si="56"/>
        <v>862.63640000000009</v>
      </c>
      <c r="G1434" s="23">
        <f t="shared" si="56"/>
        <v>1001.7344700000001</v>
      </c>
      <c r="H1434" s="51">
        <f>H1431-H1433</f>
        <v>972.21</v>
      </c>
      <c r="I1434" s="23"/>
    </row>
    <row r="1435" spans="1:9" x14ac:dyDescent="0.2">
      <c r="A1435" s="55" t="s">
        <v>22</v>
      </c>
      <c r="B1435" s="36"/>
      <c r="C1435" s="63">
        <v>2018</v>
      </c>
      <c r="D1435" s="63">
        <v>2019</v>
      </c>
      <c r="E1435" s="63">
        <v>2020</v>
      </c>
      <c r="F1435" s="63">
        <v>2021</v>
      </c>
      <c r="G1435" s="63">
        <v>2022</v>
      </c>
      <c r="H1435" s="383">
        <v>2023</v>
      </c>
      <c r="I1435" s="63">
        <v>2024</v>
      </c>
    </row>
    <row r="1436" spans="1:9" x14ac:dyDescent="0.2">
      <c r="A1436" s="36" t="s">
        <v>23</v>
      </c>
      <c r="B1436" s="55"/>
      <c r="C1436" s="30"/>
      <c r="D1436" s="30"/>
      <c r="E1436" s="30"/>
      <c r="F1436" s="30"/>
      <c r="G1436" s="30"/>
      <c r="H1436" s="384"/>
      <c r="I1436" s="31"/>
    </row>
    <row r="1437" spans="1:9" x14ac:dyDescent="0.2">
      <c r="A1437" s="91" t="s">
        <v>498</v>
      </c>
      <c r="B1437" s="92"/>
      <c r="C1437" s="92"/>
      <c r="D1437" s="92"/>
      <c r="E1437" s="92"/>
      <c r="F1437" s="50"/>
      <c r="G1437" s="50"/>
      <c r="H1437" s="30"/>
      <c r="I1437" s="31"/>
    </row>
    <row r="1438" spans="1:9" x14ac:dyDescent="0.2">
      <c r="A1438" s="20" t="s">
        <v>497</v>
      </c>
      <c r="I1438" s="21"/>
    </row>
    <row r="1439" spans="1:9" x14ac:dyDescent="0.2">
      <c r="A1439" s="32" t="s">
        <v>512</v>
      </c>
      <c r="B1439" s="33"/>
      <c r="C1439" s="33"/>
      <c r="D1439" s="33"/>
      <c r="E1439" s="33"/>
      <c r="F1439" s="33"/>
      <c r="G1439" s="33"/>
      <c r="H1439" s="33"/>
      <c r="I1439" s="34"/>
    </row>
    <row r="1442" spans="1:8" x14ac:dyDescent="0.2">
      <c r="A1442" s="205" t="s">
        <v>12</v>
      </c>
      <c r="B1442" s="206" t="s">
        <v>13</v>
      </c>
    </row>
    <row r="1443" spans="1:8" x14ac:dyDescent="0.2">
      <c r="A1443" s="117" t="s">
        <v>14</v>
      </c>
      <c r="B1443" s="61" t="s">
        <v>737</v>
      </c>
      <c r="C1443" s="42" t="s">
        <v>15</v>
      </c>
    </row>
    <row r="1444" spans="1:8" x14ac:dyDescent="0.2">
      <c r="A1444" s="52" t="s">
        <v>16</v>
      </c>
      <c r="B1444" s="22"/>
      <c r="C1444" s="344">
        <v>2016</v>
      </c>
      <c r="D1444" s="345">
        <v>2017</v>
      </c>
      <c r="E1444" s="344">
        <v>2018</v>
      </c>
      <c r="F1444" s="346">
        <v>2019</v>
      </c>
      <c r="G1444" s="346">
        <v>2020</v>
      </c>
      <c r="H1444" s="346">
        <v>2021</v>
      </c>
    </row>
    <row r="1445" spans="1:8" x14ac:dyDescent="0.2">
      <c r="A1445" s="52" t="s">
        <v>17</v>
      </c>
      <c r="B1445" s="22"/>
      <c r="C1445" s="23">
        <v>47.4</v>
      </c>
      <c r="D1445" s="130">
        <v>56.91</v>
      </c>
      <c r="E1445" s="23">
        <v>66</v>
      </c>
      <c r="F1445" s="131">
        <v>73</v>
      </c>
      <c r="G1445" s="131">
        <v>80</v>
      </c>
      <c r="H1445" s="131">
        <v>80</v>
      </c>
    </row>
    <row r="1446" spans="1:8" x14ac:dyDescent="0.2">
      <c r="A1446" s="52" t="s">
        <v>18</v>
      </c>
      <c r="B1446" s="22"/>
      <c r="C1446" s="23">
        <v>47.4</v>
      </c>
      <c r="D1446" s="130">
        <v>56.91</v>
      </c>
      <c r="E1446" s="23">
        <v>66</v>
      </c>
      <c r="F1446" s="131">
        <v>73</v>
      </c>
      <c r="G1446" s="131">
        <v>80</v>
      </c>
      <c r="H1446" s="131">
        <v>0.8</v>
      </c>
    </row>
    <row r="1447" spans="1:8" x14ac:dyDescent="0.2">
      <c r="A1447" s="52" t="s">
        <v>19</v>
      </c>
      <c r="B1447" s="22"/>
      <c r="C1447" s="23"/>
      <c r="D1447" s="130"/>
      <c r="E1447" s="23"/>
      <c r="F1447" s="131"/>
      <c r="G1447" s="131"/>
      <c r="H1447" s="347" t="s">
        <v>582</v>
      </c>
    </row>
    <row r="1448" spans="1:8" x14ac:dyDescent="0.2">
      <c r="A1448" s="52" t="s">
        <v>20</v>
      </c>
      <c r="B1448" s="22"/>
      <c r="C1448" s="23">
        <v>47.393000000000001</v>
      </c>
      <c r="D1448" s="130">
        <v>56.905999999999999</v>
      </c>
      <c r="E1448" s="23">
        <v>66</v>
      </c>
      <c r="F1448" s="131">
        <v>71.97</v>
      </c>
      <c r="G1448" s="131">
        <v>79.2</v>
      </c>
      <c r="H1448" s="131"/>
    </row>
    <row r="1449" spans="1:8" x14ac:dyDescent="0.2">
      <c r="A1449" s="52" t="s">
        <v>21</v>
      </c>
      <c r="B1449" s="22"/>
      <c r="C1449" s="23">
        <f>C1446-C1448</f>
        <v>6.9999999999978968E-3</v>
      </c>
      <c r="D1449" s="23">
        <f t="shared" ref="D1449:F1449" si="57">D1446-D1448</f>
        <v>3.9999999999977831E-3</v>
      </c>
      <c r="E1449" s="23">
        <f t="shared" si="57"/>
        <v>0</v>
      </c>
      <c r="F1449" s="23">
        <f t="shared" si="57"/>
        <v>1.0300000000000011</v>
      </c>
      <c r="G1449" s="131">
        <f>G1446-G1448</f>
        <v>0.79999999999999716</v>
      </c>
      <c r="H1449" s="131"/>
    </row>
    <row r="1450" spans="1:8" x14ac:dyDescent="0.2">
      <c r="A1450" s="55" t="s">
        <v>22</v>
      </c>
      <c r="B1450" s="36"/>
      <c r="C1450" s="36"/>
      <c r="D1450" s="30"/>
      <c r="E1450" s="36"/>
      <c r="F1450" s="31"/>
      <c r="G1450" s="36"/>
      <c r="H1450" s="36"/>
    </row>
    <row r="1451" spans="1:8" x14ac:dyDescent="0.2">
      <c r="A1451" s="52" t="s">
        <v>23</v>
      </c>
      <c r="B1451" s="64"/>
      <c r="C1451" s="64"/>
      <c r="D1451" s="64"/>
      <c r="E1451" s="64"/>
      <c r="F1451" s="64"/>
      <c r="G1451" s="64"/>
      <c r="H1451" s="62"/>
    </row>
    <row r="1452" spans="1:8" x14ac:dyDescent="0.2">
      <c r="A1452" s="52" t="s">
        <v>581</v>
      </c>
      <c r="B1452" s="64"/>
      <c r="C1452" s="64"/>
      <c r="D1452" s="64"/>
      <c r="E1452" s="64"/>
      <c r="F1452" s="64"/>
      <c r="G1452" s="64"/>
      <c r="H1452" s="62"/>
    </row>
    <row r="1455" spans="1:8" x14ac:dyDescent="0.2">
      <c r="A1455" s="205" t="s">
        <v>12</v>
      </c>
      <c r="B1455" s="206" t="s">
        <v>181</v>
      </c>
    </row>
    <row r="1456" spans="1:8" x14ac:dyDescent="0.2">
      <c r="A1456" s="117" t="s">
        <v>14</v>
      </c>
      <c r="B1456" s="348" t="s">
        <v>708</v>
      </c>
      <c r="C1456" s="349" t="s">
        <v>15</v>
      </c>
    </row>
    <row r="1457" spans="1:10" x14ac:dyDescent="0.2">
      <c r="A1457" s="52" t="s">
        <v>16</v>
      </c>
      <c r="B1457" s="22"/>
      <c r="C1457" s="22"/>
      <c r="D1457" s="22"/>
      <c r="E1457" s="22"/>
      <c r="F1457" s="57">
        <v>2018</v>
      </c>
      <c r="G1457" s="57">
        <v>2019</v>
      </c>
      <c r="H1457" s="57">
        <v>2020</v>
      </c>
      <c r="I1457" s="57">
        <v>2021</v>
      </c>
      <c r="J1457" s="57">
        <v>2022</v>
      </c>
    </row>
    <row r="1458" spans="1:10" x14ac:dyDescent="0.2">
      <c r="A1458" s="52" t="s">
        <v>17</v>
      </c>
      <c r="B1458" s="22"/>
      <c r="C1458" s="23"/>
      <c r="D1458" s="23"/>
      <c r="E1458" s="23"/>
      <c r="F1458" s="23">
        <v>125</v>
      </c>
      <c r="G1458" s="23">
        <v>125</v>
      </c>
      <c r="H1458" s="23">
        <v>125</v>
      </c>
      <c r="I1458" s="23">
        <v>125</v>
      </c>
      <c r="J1458" s="23">
        <v>125</v>
      </c>
    </row>
    <row r="1459" spans="1:10" x14ac:dyDescent="0.2">
      <c r="A1459" s="52" t="s">
        <v>18</v>
      </c>
      <c r="B1459" s="22"/>
      <c r="C1459" s="23"/>
      <c r="D1459" s="23"/>
      <c r="E1459" s="23"/>
      <c r="F1459" s="23">
        <v>100</v>
      </c>
      <c r="G1459" s="23">
        <v>100</v>
      </c>
      <c r="H1459" s="23">
        <f>H1458*1.4-100</f>
        <v>75</v>
      </c>
      <c r="I1459" s="23">
        <v>75</v>
      </c>
      <c r="J1459" s="23">
        <v>75</v>
      </c>
    </row>
    <row r="1460" spans="1:10" x14ac:dyDescent="0.2">
      <c r="A1460" s="52" t="s">
        <v>19</v>
      </c>
      <c r="B1460" s="22"/>
      <c r="C1460" s="23"/>
      <c r="D1460" s="23"/>
      <c r="E1460" s="23"/>
      <c r="F1460" s="23">
        <f>F1458*1.4-(75)</f>
        <v>100</v>
      </c>
      <c r="G1460" s="23">
        <f>G1458*1.4-(75)</f>
        <v>100</v>
      </c>
      <c r="H1460" s="23">
        <v>75</v>
      </c>
      <c r="I1460" s="23">
        <v>75</v>
      </c>
      <c r="J1460" s="23">
        <v>75</v>
      </c>
    </row>
    <row r="1461" spans="1:10" x14ac:dyDescent="0.2">
      <c r="A1461" s="52" t="s">
        <v>20</v>
      </c>
      <c r="B1461" s="22"/>
      <c r="C1461" s="23"/>
      <c r="D1461" s="23"/>
      <c r="E1461" s="23"/>
      <c r="F1461" s="23">
        <v>3</v>
      </c>
      <c r="G1461" s="23">
        <v>5.91</v>
      </c>
      <c r="H1461" s="23">
        <v>7.76</v>
      </c>
      <c r="I1461" s="23">
        <v>6.2</v>
      </c>
      <c r="J1461" s="23"/>
    </row>
    <row r="1462" spans="1:10" x14ac:dyDescent="0.2">
      <c r="A1462" s="52" t="s">
        <v>21</v>
      </c>
      <c r="B1462" s="22"/>
      <c r="C1462" s="23"/>
      <c r="D1462" s="23"/>
      <c r="E1462" s="23"/>
      <c r="F1462" s="23">
        <f>F1459-F1461</f>
        <v>97</v>
      </c>
      <c r="G1462" s="23">
        <f>G1459-G1461</f>
        <v>94.09</v>
      </c>
      <c r="H1462" s="23">
        <v>67.239999999999995</v>
      </c>
      <c r="I1462" s="23">
        <f>I1459-I1461</f>
        <v>68.8</v>
      </c>
      <c r="J1462" s="23"/>
    </row>
    <row r="1463" spans="1:10" x14ac:dyDescent="0.2">
      <c r="A1463" s="55" t="s">
        <v>22</v>
      </c>
      <c r="B1463" s="36"/>
      <c r="C1463" s="36"/>
      <c r="D1463" s="36"/>
      <c r="E1463" s="36"/>
      <c r="F1463" s="63">
        <v>2019</v>
      </c>
      <c r="G1463" s="63">
        <v>2020</v>
      </c>
      <c r="H1463" s="63">
        <v>2021</v>
      </c>
      <c r="I1463" s="63">
        <v>2022</v>
      </c>
      <c r="J1463" s="63">
        <v>2023</v>
      </c>
    </row>
    <row r="1464" spans="1:10" ht="25.9" customHeight="1" x14ac:dyDescent="0.2">
      <c r="A1464" s="587" t="s">
        <v>765</v>
      </c>
      <c r="B1464" s="588"/>
      <c r="C1464" s="588"/>
      <c r="D1464" s="588"/>
      <c r="E1464" s="588"/>
      <c r="F1464" s="588"/>
      <c r="G1464" s="588"/>
      <c r="H1464" s="588"/>
      <c r="I1464" s="588"/>
      <c r="J1464" s="31"/>
    </row>
    <row r="1465" spans="1:10" ht="34.15" customHeight="1" x14ac:dyDescent="0.2">
      <c r="A1465" s="574" t="s">
        <v>271</v>
      </c>
      <c r="B1465" s="575"/>
      <c r="C1465" s="575"/>
      <c r="D1465" s="575"/>
      <c r="E1465" s="575"/>
      <c r="F1465" s="575"/>
      <c r="G1465" s="575"/>
      <c r="H1465" s="575"/>
      <c r="I1465" s="575"/>
      <c r="J1465" s="21"/>
    </row>
    <row r="1466" spans="1:10" ht="27.6" customHeight="1" x14ac:dyDescent="0.2">
      <c r="A1466" s="574" t="s">
        <v>571</v>
      </c>
      <c r="B1466" s="575"/>
      <c r="C1466" s="575"/>
      <c r="D1466" s="575"/>
      <c r="E1466" s="575"/>
      <c r="F1466" s="575"/>
      <c r="G1466" s="575"/>
      <c r="H1466" s="575"/>
      <c r="I1466" s="575"/>
      <c r="J1466" s="21"/>
    </row>
    <row r="1467" spans="1:10" ht="27.6" customHeight="1" x14ac:dyDescent="0.2">
      <c r="A1467" s="574" t="s">
        <v>572</v>
      </c>
      <c r="B1467" s="575"/>
      <c r="C1467" s="575"/>
      <c r="D1467" s="575"/>
      <c r="E1467" s="575"/>
      <c r="F1467" s="575"/>
      <c r="G1467" s="575"/>
      <c r="H1467" s="575"/>
      <c r="I1467" s="575"/>
      <c r="J1467" s="21"/>
    </row>
    <row r="1468" spans="1:10" ht="30" customHeight="1" x14ac:dyDescent="0.2">
      <c r="A1468" s="572" t="s">
        <v>764</v>
      </c>
      <c r="B1468" s="573"/>
      <c r="C1468" s="573"/>
      <c r="D1468" s="573"/>
      <c r="E1468" s="573"/>
      <c r="F1468" s="573"/>
      <c r="G1468" s="573"/>
      <c r="H1468" s="573"/>
      <c r="I1468" s="573"/>
      <c r="J1468" s="34"/>
    </row>
    <row r="1470" spans="1:10" x14ac:dyDescent="0.2">
      <c r="A1470" s="117" t="s">
        <v>14</v>
      </c>
      <c r="B1470" s="187" t="s">
        <v>82</v>
      </c>
      <c r="C1470" s="61" t="s">
        <v>15</v>
      </c>
    </row>
    <row r="1471" spans="1:10" x14ac:dyDescent="0.2">
      <c r="A1471" s="32" t="s">
        <v>16</v>
      </c>
      <c r="B1471" s="350"/>
      <c r="C1471" s="57">
        <v>2015</v>
      </c>
      <c r="D1471" s="57">
        <v>2016</v>
      </c>
      <c r="E1471" s="57">
        <v>2017</v>
      </c>
      <c r="F1471" s="57">
        <v>2018</v>
      </c>
      <c r="G1471" s="57">
        <v>2019</v>
      </c>
      <c r="H1471" s="57">
        <v>2020</v>
      </c>
      <c r="I1471" s="57">
        <v>2021</v>
      </c>
      <c r="J1471" s="57">
        <v>2022</v>
      </c>
    </row>
    <row r="1472" spans="1:10" x14ac:dyDescent="0.2">
      <c r="A1472" s="52" t="s">
        <v>17</v>
      </c>
      <c r="B1472" s="69"/>
      <c r="C1472" s="69">
        <v>20</v>
      </c>
      <c r="D1472" s="69">
        <v>20</v>
      </c>
      <c r="E1472" s="69">
        <v>20</v>
      </c>
      <c r="F1472" s="69">
        <v>20</v>
      </c>
      <c r="G1472" s="69">
        <v>20</v>
      </c>
      <c r="H1472" s="70">
        <v>16.8</v>
      </c>
      <c r="I1472" s="22">
        <v>16.8</v>
      </c>
      <c r="J1472" s="22">
        <v>16.8</v>
      </c>
    </row>
    <row r="1473" spans="1:10" x14ac:dyDescent="0.2">
      <c r="A1473" s="52" t="s">
        <v>18</v>
      </c>
      <c r="B1473" s="69"/>
      <c r="C1473" s="69"/>
      <c r="D1473" s="69">
        <v>-64.900000000000006</v>
      </c>
      <c r="E1473" s="69">
        <v>-63.600000000000009</v>
      </c>
      <c r="F1473" s="69">
        <v>-43.600000000000009</v>
      </c>
      <c r="G1473" s="69">
        <v>-23.600000000000009</v>
      </c>
      <c r="H1473" s="69">
        <f>G1476+H1472+2</f>
        <v>-4.8000000000000078</v>
      </c>
      <c r="I1473" s="23">
        <f>I1472+H1476+2</f>
        <v>13.999999999999993</v>
      </c>
      <c r="J1473" s="23">
        <f>J1472+2</f>
        <v>18.8</v>
      </c>
    </row>
    <row r="1474" spans="1:10" x14ac:dyDescent="0.2">
      <c r="A1474" s="52" t="s">
        <v>19</v>
      </c>
      <c r="B1474" s="71"/>
      <c r="C1474" s="71"/>
      <c r="D1474" s="72">
        <v>1</v>
      </c>
      <c r="E1474" s="72">
        <v>2</v>
      </c>
      <c r="F1474" s="72">
        <v>3</v>
      </c>
      <c r="G1474" s="72">
        <v>4</v>
      </c>
      <c r="H1474" s="72">
        <v>5</v>
      </c>
      <c r="I1474" s="60">
        <v>6</v>
      </c>
      <c r="J1474" s="60">
        <v>7</v>
      </c>
    </row>
    <row r="1475" spans="1:10" x14ac:dyDescent="0.2">
      <c r="A1475" s="52" t="s">
        <v>20</v>
      </c>
      <c r="B1475" s="23"/>
      <c r="C1475" s="23">
        <v>34.9</v>
      </c>
      <c r="D1475" s="23">
        <v>18.7</v>
      </c>
      <c r="E1475" s="23">
        <v>0</v>
      </c>
      <c r="F1475" s="23">
        <v>0</v>
      </c>
      <c r="G1475" s="23">
        <v>0</v>
      </c>
      <c r="H1475" s="23">
        <v>0</v>
      </c>
      <c r="I1475" s="22">
        <v>0.6</v>
      </c>
      <c r="J1475" s="22"/>
    </row>
    <row r="1476" spans="1:10" x14ac:dyDescent="0.2">
      <c r="A1476" s="52" t="s">
        <v>21</v>
      </c>
      <c r="B1476" s="23"/>
      <c r="C1476" s="23">
        <v>-84.9</v>
      </c>
      <c r="D1476" s="23">
        <v>-83.600000000000009</v>
      </c>
      <c r="E1476" s="23">
        <v>-63.600000000000009</v>
      </c>
      <c r="F1476" s="23">
        <v>-43.600000000000009</v>
      </c>
      <c r="G1476" s="23">
        <f>G1473-G1475</f>
        <v>-23.600000000000009</v>
      </c>
      <c r="H1476" s="23">
        <f>H1473-H1475</f>
        <v>-4.8000000000000078</v>
      </c>
      <c r="I1476" s="23">
        <f>I1473-I1475</f>
        <v>13.399999999999993</v>
      </c>
      <c r="J1476" s="22"/>
    </row>
    <row r="1477" spans="1:10" x14ac:dyDescent="0.2">
      <c r="A1477" s="55" t="s">
        <v>22</v>
      </c>
      <c r="B1477" s="349"/>
      <c r="C1477" s="383">
        <v>2016</v>
      </c>
      <c r="D1477" s="383">
        <v>2017</v>
      </c>
      <c r="E1477" s="383">
        <v>2018</v>
      </c>
      <c r="F1477" s="383">
        <v>2019</v>
      </c>
      <c r="G1477" s="383">
        <v>2020</v>
      </c>
      <c r="H1477" s="383">
        <v>2021</v>
      </c>
      <c r="I1477" s="383"/>
      <c r="J1477" s="383"/>
    </row>
    <row r="1478" spans="1:10" x14ac:dyDescent="0.2">
      <c r="A1478" s="55" t="s">
        <v>573</v>
      </c>
      <c r="B1478" s="101"/>
      <c r="C1478" s="101"/>
      <c r="D1478" s="101"/>
      <c r="E1478" s="101"/>
      <c r="F1478" s="351"/>
      <c r="G1478" s="351"/>
      <c r="H1478" s="351"/>
      <c r="I1478" s="30"/>
      <c r="J1478" s="31"/>
    </row>
    <row r="1479" spans="1:10" x14ac:dyDescent="0.2">
      <c r="A1479" s="20" t="s">
        <v>574</v>
      </c>
      <c r="B1479" s="18"/>
      <c r="C1479" s="18"/>
      <c r="D1479" s="18"/>
      <c r="E1479" s="18"/>
      <c r="F1479" s="538"/>
      <c r="G1479" s="538"/>
      <c r="H1479" s="538"/>
      <c r="J1479" s="21"/>
    </row>
    <row r="1480" spans="1:10" x14ac:dyDescent="0.2">
      <c r="A1480" s="20" t="s">
        <v>575</v>
      </c>
      <c r="B1480" s="18"/>
      <c r="C1480" s="18"/>
      <c r="D1480" s="18"/>
      <c r="E1480" s="18"/>
      <c r="F1480" s="538"/>
      <c r="G1480" s="538"/>
      <c r="H1480" s="538"/>
      <c r="J1480" s="21"/>
    </row>
    <row r="1481" spans="1:10" x14ac:dyDescent="0.2">
      <c r="A1481" s="20" t="s">
        <v>576</v>
      </c>
      <c r="B1481" s="18"/>
      <c r="C1481" s="18"/>
      <c r="D1481" s="18"/>
      <c r="E1481" s="18"/>
      <c r="F1481" s="538"/>
      <c r="G1481" s="538"/>
      <c r="H1481" s="538"/>
      <c r="J1481" s="21"/>
    </row>
    <row r="1482" spans="1:10" x14ac:dyDescent="0.2">
      <c r="A1482" s="20" t="s">
        <v>577</v>
      </c>
      <c r="B1482" s="18"/>
      <c r="C1482" s="18"/>
      <c r="D1482" s="18"/>
      <c r="E1482" s="18"/>
      <c r="F1482" s="538"/>
      <c r="G1482" s="538"/>
      <c r="H1482" s="538"/>
      <c r="J1482" s="21"/>
    </row>
    <row r="1483" spans="1:10" x14ac:dyDescent="0.2">
      <c r="A1483" s="409" t="s">
        <v>767</v>
      </c>
      <c r="B1483" s="18"/>
      <c r="C1483" s="18"/>
      <c r="D1483" s="18"/>
      <c r="E1483" s="18"/>
      <c r="F1483" s="538"/>
      <c r="G1483" s="538"/>
      <c r="H1483" s="538"/>
      <c r="J1483" s="21"/>
    </row>
    <row r="1484" spans="1:10" x14ac:dyDescent="0.2">
      <c r="A1484" s="32" t="s">
        <v>766</v>
      </c>
      <c r="B1484" s="342"/>
      <c r="C1484" s="342"/>
      <c r="D1484" s="342"/>
      <c r="E1484" s="342"/>
      <c r="F1484" s="352"/>
      <c r="G1484" s="352"/>
      <c r="H1484" s="352"/>
      <c r="I1484" s="33"/>
      <c r="J1484" s="34"/>
    </row>
    <row r="1486" spans="1:10" x14ac:dyDescent="0.2">
      <c r="A1486" s="117" t="s">
        <v>14</v>
      </c>
      <c r="B1486" s="187" t="s">
        <v>87</v>
      </c>
      <c r="C1486" s="61" t="s">
        <v>15</v>
      </c>
    </row>
    <row r="1487" spans="1:10" x14ac:dyDescent="0.2">
      <c r="A1487" s="32" t="s">
        <v>16</v>
      </c>
      <c r="B1487" s="350"/>
      <c r="C1487" s="42">
        <v>2015</v>
      </c>
      <c r="D1487" s="42">
        <v>2016</v>
      </c>
      <c r="E1487" s="42">
        <v>2017</v>
      </c>
      <c r="F1487" s="42">
        <v>2018</v>
      </c>
      <c r="G1487" s="42">
        <v>2019</v>
      </c>
      <c r="H1487" s="42">
        <v>2020</v>
      </c>
      <c r="I1487" s="57">
        <v>2021</v>
      </c>
      <c r="J1487" s="57">
        <v>2022</v>
      </c>
    </row>
    <row r="1488" spans="1:10" x14ac:dyDescent="0.2">
      <c r="A1488" s="52" t="s">
        <v>17</v>
      </c>
      <c r="B1488" s="69"/>
      <c r="C1488" s="69">
        <v>15</v>
      </c>
      <c r="D1488" s="69">
        <v>15</v>
      </c>
      <c r="E1488" s="69">
        <v>15</v>
      </c>
      <c r="F1488" s="69">
        <v>15</v>
      </c>
      <c r="G1488" s="69">
        <v>15</v>
      </c>
      <c r="H1488" s="70">
        <v>15</v>
      </c>
      <c r="I1488" s="23">
        <v>15</v>
      </c>
      <c r="J1488" s="23">
        <v>15</v>
      </c>
    </row>
    <row r="1489" spans="1:10" x14ac:dyDescent="0.2">
      <c r="A1489" s="52" t="s">
        <v>18</v>
      </c>
      <c r="B1489" s="69"/>
      <c r="C1489" s="69"/>
      <c r="D1489" s="69">
        <v>-59.3</v>
      </c>
      <c r="E1489" s="69">
        <v>-64.199999999999989</v>
      </c>
      <c r="F1489" s="69">
        <v>-49.199999999999989</v>
      </c>
      <c r="G1489" s="69">
        <v>-34.199999999999989</v>
      </c>
      <c r="H1489" s="69">
        <f>G1492+H1488</f>
        <v>-19.199999999999989</v>
      </c>
      <c r="I1489" s="23">
        <f>I1488+H1492</f>
        <v>-4.1999999999999886</v>
      </c>
      <c r="J1489" s="23">
        <f>J1488+I1492</f>
        <v>10.440000000000012</v>
      </c>
    </row>
    <row r="1490" spans="1:10" x14ac:dyDescent="0.2">
      <c r="A1490" s="52" t="s">
        <v>19</v>
      </c>
      <c r="B1490" s="71"/>
      <c r="C1490" s="71"/>
      <c r="D1490" s="72">
        <v>1</v>
      </c>
      <c r="E1490" s="72">
        <v>2</v>
      </c>
      <c r="F1490" s="72">
        <v>3</v>
      </c>
      <c r="G1490" s="72">
        <v>4</v>
      </c>
      <c r="H1490" s="72">
        <v>5</v>
      </c>
      <c r="I1490" s="60">
        <v>6</v>
      </c>
      <c r="J1490" s="60">
        <v>7</v>
      </c>
    </row>
    <row r="1491" spans="1:10" x14ac:dyDescent="0.2">
      <c r="A1491" s="52" t="s">
        <v>20</v>
      </c>
      <c r="B1491" s="23"/>
      <c r="C1491" s="23">
        <v>31.9</v>
      </c>
      <c r="D1491" s="23">
        <v>19.899999999999999</v>
      </c>
      <c r="E1491" s="23">
        <v>0</v>
      </c>
      <c r="F1491" s="23">
        <v>0</v>
      </c>
      <c r="G1491" s="23">
        <v>0</v>
      </c>
      <c r="H1491" s="23">
        <v>0</v>
      </c>
      <c r="I1491" s="23">
        <v>0.36</v>
      </c>
      <c r="J1491" s="23"/>
    </row>
    <row r="1492" spans="1:10" x14ac:dyDescent="0.2">
      <c r="A1492" s="52" t="s">
        <v>21</v>
      </c>
      <c r="B1492" s="23"/>
      <c r="C1492" s="23">
        <v>-74.3</v>
      </c>
      <c r="D1492" s="23">
        <v>-79.199999999999989</v>
      </c>
      <c r="E1492" s="23">
        <v>-64.199999999999989</v>
      </c>
      <c r="F1492" s="23">
        <v>-49.199999999999989</v>
      </c>
      <c r="G1492" s="23">
        <f>G1489-G1491</f>
        <v>-34.199999999999989</v>
      </c>
      <c r="H1492" s="23">
        <f>H1489-H1491</f>
        <v>-19.199999999999989</v>
      </c>
      <c r="I1492" s="23">
        <f>I1489-I1491</f>
        <v>-4.559999999999989</v>
      </c>
      <c r="J1492" s="23"/>
    </row>
    <row r="1493" spans="1:10" x14ac:dyDescent="0.2">
      <c r="A1493" s="55" t="s">
        <v>22</v>
      </c>
      <c r="B1493" s="349"/>
      <c r="C1493" s="383">
        <v>2016</v>
      </c>
      <c r="D1493" s="383">
        <v>2017</v>
      </c>
      <c r="E1493" s="383">
        <v>2018</v>
      </c>
      <c r="F1493" s="383">
        <v>2019</v>
      </c>
      <c r="G1493" s="383">
        <v>2020</v>
      </c>
      <c r="H1493" s="383">
        <v>2021</v>
      </c>
      <c r="I1493" s="383">
        <v>2022</v>
      </c>
      <c r="J1493" s="383"/>
    </row>
    <row r="1494" spans="1:10" x14ac:dyDescent="0.2">
      <c r="A1494" s="55" t="s">
        <v>573</v>
      </c>
      <c r="B1494" s="101"/>
      <c r="C1494" s="101"/>
      <c r="D1494" s="94"/>
      <c r="E1494" s="94"/>
      <c r="F1494" s="94"/>
      <c r="G1494" s="94"/>
      <c r="H1494" s="94"/>
      <c r="I1494" s="94"/>
      <c r="J1494" s="95"/>
    </row>
    <row r="1495" spans="1:10" x14ac:dyDescent="0.2">
      <c r="A1495" s="20" t="s">
        <v>574</v>
      </c>
      <c r="B1495" s="18"/>
      <c r="C1495" s="18"/>
      <c r="D1495" s="191"/>
      <c r="E1495" s="191"/>
      <c r="F1495" s="191"/>
      <c r="G1495" s="191"/>
      <c r="H1495" s="191"/>
      <c r="I1495" s="191"/>
      <c r="J1495" s="353"/>
    </row>
    <row r="1496" spans="1:10" x14ac:dyDescent="0.2">
      <c r="A1496" s="20" t="s">
        <v>575</v>
      </c>
      <c r="B1496" s="18"/>
      <c r="C1496" s="18"/>
      <c r="D1496" s="191"/>
      <c r="E1496" s="191"/>
      <c r="F1496" s="191"/>
      <c r="G1496" s="191"/>
      <c r="H1496" s="191"/>
      <c r="I1496" s="191"/>
      <c r="J1496" s="353"/>
    </row>
    <row r="1497" spans="1:10" x14ac:dyDescent="0.2">
      <c r="A1497" s="20" t="s">
        <v>576</v>
      </c>
      <c r="B1497" s="18"/>
      <c r="C1497" s="18"/>
      <c r="D1497" s="191"/>
      <c r="E1497" s="191"/>
      <c r="F1497" s="191"/>
      <c r="G1497" s="191"/>
      <c r="H1497" s="191"/>
      <c r="I1497" s="191"/>
      <c r="J1497" s="353"/>
    </row>
    <row r="1498" spans="1:10" x14ac:dyDescent="0.2">
      <c r="A1498" s="20" t="s">
        <v>578</v>
      </c>
      <c r="B1498" s="18"/>
      <c r="C1498" s="18"/>
      <c r="D1498" s="191"/>
      <c r="E1498" s="191"/>
      <c r="F1498" s="191"/>
      <c r="G1498" s="191"/>
      <c r="H1498" s="191"/>
      <c r="I1498" s="191"/>
      <c r="J1498" s="353"/>
    </row>
    <row r="1499" spans="1:10" x14ac:dyDescent="0.2">
      <c r="A1499" s="20" t="s">
        <v>579</v>
      </c>
      <c r="B1499" s="18"/>
      <c r="C1499" s="18"/>
      <c r="D1499" s="191"/>
      <c r="E1499" s="191"/>
      <c r="F1499" s="191"/>
      <c r="G1499" s="191"/>
      <c r="H1499" s="191"/>
      <c r="I1499" s="191"/>
      <c r="J1499" s="353"/>
    </row>
    <row r="1500" spans="1:10" x14ac:dyDescent="0.2">
      <c r="A1500" s="32" t="s">
        <v>768</v>
      </c>
      <c r="B1500" s="342"/>
      <c r="C1500" s="342"/>
      <c r="D1500" s="192"/>
      <c r="E1500" s="192"/>
      <c r="F1500" s="192"/>
      <c r="G1500" s="192"/>
      <c r="H1500" s="192"/>
      <c r="I1500" s="192"/>
      <c r="J1500" s="354"/>
    </row>
    <row r="1503" spans="1:10" x14ac:dyDescent="0.2">
      <c r="A1503" s="205" t="s">
        <v>11</v>
      </c>
      <c r="B1503" s="206" t="s">
        <v>46</v>
      </c>
    </row>
    <row r="1504" spans="1:10" x14ac:dyDescent="0.2">
      <c r="A1504" s="117" t="s">
        <v>1</v>
      </c>
      <c r="B1504" s="187" t="s">
        <v>737</v>
      </c>
      <c r="C1504" s="42" t="s">
        <v>2</v>
      </c>
    </row>
    <row r="1505" spans="1:8" x14ac:dyDescent="0.2">
      <c r="A1505" s="22" t="s">
        <v>3</v>
      </c>
      <c r="B1505" s="355">
        <v>2016</v>
      </c>
      <c r="C1505" s="356">
        <v>2017</v>
      </c>
      <c r="D1505" s="356">
        <v>2018</v>
      </c>
      <c r="E1505" s="356">
        <v>2019</v>
      </c>
      <c r="F1505" s="57">
        <v>2020</v>
      </c>
      <c r="G1505" s="57">
        <v>2021</v>
      </c>
      <c r="H1505" s="57">
        <v>2022</v>
      </c>
    </row>
    <row r="1506" spans="1:8" x14ac:dyDescent="0.2">
      <c r="A1506" s="52" t="s">
        <v>4</v>
      </c>
      <c r="B1506" s="357">
        <v>1491.71</v>
      </c>
      <c r="C1506" s="357">
        <v>1791</v>
      </c>
      <c r="D1506" s="131">
        <v>2115</v>
      </c>
      <c r="E1506" s="131">
        <v>2400</v>
      </c>
      <c r="F1506" s="131">
        <v>2655</v>
      </c>
      <c r="G1506" s="131">
        <v>2655</v>
      </c>
      <c r="H1506" s="131">
        <v>2655</v>
      </c>
    </row>
    <row r="1507" spans="1:8" x14ac:dyDescent="0.2">
      <c r="A1507" s="52" t="s">
        <v>5</v>
      </c>
      <c r="B1507" s="357">
        <v>1491.71</v>
      </c>
      <c r="C1507" s="357">
        <v>1791</v>
      </c>
      <c r="D1507" s="131">
        <v>2115</v>
      </c>
      <c r="E1507" s="131">
        <v>2400</v>
      </c>
      <c r="F1507" s="419">
        <v>2675.4</v>
      </c>
      <c r="G1507" s="419">
        <f>G1506+79.2+21.55</f>
        <v>2755.75</v>
      </c>
      <c r="H1507" s="131">
        <v>2679.72</v>
      </c>
    </row>
    <row r="1508" spans="1:8" x14ac:dyDescent="0.2">
      <c r="A1508" s="52" t="s">
        <v>6</v>
      </c>
      <c r="B1508" s="23"/>
      <c r="C1508" s="130"/>
      <c r="D1508" s="23"/>
      <c r="E1508" s="131"/>
      <c r="F1508" s="131"/>
      <c r="G1508" s="131"/>
      <c r="H1508" s="131"/>
    </row>
    <row r="1509" spans="1:8" x14ac:dyDescent="0.2">
      <c r="A1509" s="52" t="s">
        <v>7</v>
      </c>
      <c r="B1509" s="131">
        <v>1490.58</v>
      </c>
      <c r="C1509" s="131">
        <v>1789.538</v>
      </c>
      <c r="D1509" s="131">
        <v>2102.0929999999998</v>
      </c>
      <c r="E1509" s="419">
        <v>2379.1309999999999</v>
      </c>
      <c r="F1509" s="419">
        <v>2653.377</v>
      </c>
      <c r="G1509" s="131">
        <v>2729.7379999999998</v>
      </c>
      <c r="H1509" s="131"/>
    </row>
    <row r="1510" spans="1:8" x14ac:dyDescent="0.2">
      <c r="A1510" s="52" t="s">
        <v>8</v>
      </c>
      <c r="B1510" s="23">
        <v>1.1300000000001091</v>
      </c>
      <c r="C1510" s="23">
        <v>1.4619999999999891</v>
      </c>
      <c r="D1510" s="23">
        <v>12.907000000000153</v>
      </c>
      <c r="E1510" s="51">
        <f>E1507-E1509</f>
        <v>20.869000000000142</v>
      </c>
      <c r="F1510" s="419">
        <f>F1507-F1509</f>
        <v>22.023000000000138</v>
      </c>
      <c r="G1510" s="131">
        <f>G1507-G1509</f>
        <v>26.012000000000171</v>
      </c>
      <c r="H1510" s="131"/>
    </row>
    <row r="1511" spans="1:8" x14ac:dyDescent="0.2">
      <c r="A1511" s="52" t="s">
        <v>9</v>
      </c>
      <c r="B1511" s="391">
        <v>2017</v>
      </c>
      <c r="C1511" s="391">
        <v>2018</v>
      </c>
      <c r="D1511" s="391">
        <v>2019</v>
      </c>
      <c r="E1511" s="391">
        <v>2020</v>
      </c>
      <c r="F1511" s="391">
        <v>2021</v>
      </c>
      <c r="G1511" s="391">
        <v>2022</v>
      </c>
      <c r="H1511" s="62">
        <v>2023</v>
      </c>
    </row>
    <row r="1512" spans="1:8" x14ac:dyDescent="0.2">
      <c r="A1512" s="55" t="s">
        <v>10</v>
      </c>
      <c r="B1512" s="30"/>
      <c r="C1512" s="30"/>
      <c r="D1512" s="30"/>
      <c r="E1512" s="30"/>
      <c r="F1512" s="31"/>
      <c r="G1512" s="31"/>
      <c r="H1512" s="31"/>
    </row>
    <row r="1513" spans="1:8" x14ac:dyDescent="0.2">
      <c r="A1513" s="55" t="s">
        <v>580</v>
      </c>
      <c r="B1513" s="30"/>
      <c r="C1513" s="30"/>
      <c r="D1513" s="30"/>
      <c r="E1513" s="30"/>
      <c r="F1513" s="30"/>
      <c r="G1513" s="30"/>
      <c r="H1513" s="31"/>
    </row>
    <row r="1514" spans="1:8" x14ac:dyDescent="0.2">
      <c r="A1514" s="20" t="s">
        <v>262</v>
      </c>
      <c r="H1514" s="21"/>
    </row>
    <row r="1515" spans="1:8" x14ac:dyDescent="0.2">
      <c r="A1515" s="589" t="s">
        <v>667</v>
      </c>
      <c r="B1515" s="590"/>
      <c r="C1515" s="590"/>
      <c r="D1515" s="590"/>
      <c r="E1515" s="590"/>
      <c r="F1515" s="590"/>
      <c r="G1515" s="590"/>
      <c r="H1515" s="21"/>
    </row>
    <row r="1516" spans="1:8" x14ac:dyDescent="0.2">
      <c r="A1516" s="394" t="s">
        <v>668</v>
      </c>
      <c r="B1516" s="400"/>
      <c r="C1516" s="400"/>
      <c r="D1516" s="400"/>
      <c r="E1516" s="400"/>
      <c r="F1516" s="400"/>
      <c r="G1516" s="400"/>
      <c r="H1516" s="34"/>
    </row>
    <row r="1519" spans="1:8" x14ac:dyDescent="0.2">
      <c r="A1519" s="361" t="s">
        <v>12</v>
      </c>
      <c r="B1519" s="360" t="s">
        <v>653</v>
      </c>
      <c r="C1519" s="362"/>
      <c r="D1519" s="363"/>
      <c r="E1519" s="363"/>
      <c r="F1519" s="166"/>
      <c r="G1519" s="166"/>
      <c r="H1519" s="166"/>
    </row>
    <row r="1520" spans="1:8" x14ac:dyDescent="0.2">
      <c r="A1520" s="364" t="s">
        <v>14</v>
      </c>
      <c r="B1520" s="365" t="s">
        <v>709</v>
      </c>
      <c r="C1520" s="366" t="s">
        <v>15</v>
      </c>
      <c r="D1520" s="363"/>
      <c r="E1520" s="363"/>
      <c r="F1520" s="166"/>
      <c r="G1520" s="166"/>
      <c r="H1520" s="166"/>
    </row>
    <row r="1521" spans="1:8" x14ac:dyDescent="0.2">
      <c r="A1521" s="367" t="s">
        <v>16</v>
      </c>
      <c r="B1521" s="368"/>
      <c r="C1521" s="369">
        <v>2021</v>
      </c>
      <c r="D1521" s="370">
        <v>2022</v>
      </c>
      <c r="E1521" s="371">
        <v>2023</v>
      </c>
    </row>
    <row r="1522" spans="1:8" x14ac:dyDescent="0.2">
      <c r="A1522" s="367" t="s">
        <v>17</v>
      </c>
      <c r="B1522" s="368"/>
      <c r="C1522" s="372">
        <f>434.04</f>
        <v>434.04</v>
      </c>
      <c r="D1522" s="372">
        <v>442.25</v>
      </c>
      <c r="E1522" s="372">
        <v>442.25</v>
      </c>
    </row>
    <row r="1523" spans="1:8" x14ac:dyDescent="0.2">
      <c r="A1523" s="367" t="s">
        <v>18</v>
      </c>
      <c r="B1523" s="368"/>
      <c r="C1523" s="372">
        <f>C1522+53.75</f>
        <v>487.79</v>
      </c>
      <c r="D1523" s="372">
        <f>D1522+53.75</f>
        <v>496</v>
      </c>
      <c r="E1523" s="373">
        <f>E1522+0.25*C1522</f>
        <v>550.76</v>
      </c>
    </row>
    <row r="1524" spans="1:8" x14ac:dyDescent="0.2">
      <c r="A1524" s="367" t="s">
        <v>19</v>
      </c>
      <c r="B1524" s="368"/>
      <c r="C1524" s="373" t="s">
        <v>795</v>
      </c>
      <c r="D1524" s="373" t="s">
        <v>797</v>
      </c>
      <c r="E1524" s="373" t="s">
        <v>796</v>
      </c>
    </row>
    <row r="1525" spans="1:8" x14ac:dyDescent="0.2">
      <c r="A1525" s="367" t="s">
        <v>20</v>
      </c>
      <c r="B1525" s="368"/>
      <c r="C1525" s="372">
        <v>169.39099999999999</v>
      </c>
      <c r="D1525" s="374"/>
      <c r="E1525" s="373"/>
    </row>
    <row r="1526" spans="1:8" x14ac:dyDescent="0.2">
      <c r="A1526" s="367" t="s">
        <v>21</v>
      </c>
      <c r="B1526" s="368"/>
      <c r="C1526" s="372">
        <f>C1523-C1525</f>
        <v>318.399</v>
      </c>
      <c r="D1526" s="374"/>
      <c r="E1526" s="373"/>
    </row>
    <row r="1527" spans="1:8" x14ac:dyDescent="0.2">
      <c r="A1527" s="375" t="s">
        <v>22</v>
      </c>
      <c r="B1527" s="376"/>
      <c r="C1527" s="377">
        <v>2023</v>
      </c>
      <c r="D1527" s="378">
        <v>2024</v>
      </c>
      <c r="E1527" s="377">
        <v>2025</v>
      </c>
    </row>
    <row r="1528" spans="1:8" ht="38.25" customHeight="1" x14ac:dyDescent="0.2">
      <c r="A1528" s="581" t="s">
        <v>803</v>
      </c>
      <c r="B1528" s="582"/>
      <c r="C1528" s="582"/>
      <c r="D1528" s="582"/>
      <c r="E1528" s="583"/>
    </row>
    <row r="1529" spans="1:8" x14ac:dyDescent="0.2">
      <c r="A1529" s="584" t="s">
        <v>823</v>
      </c>
      <c r="B1529" s="585"/>
      <c r="C1529" s="585"/>
      <c r="D1529" s="585"/>
      <c r="E1529" s="586"/>
    </row>
    <row r="1530" spans="1:8" ht="45" customHeight="1" x14ac:dyDescent="0.2">
      <c r="A1530" s="607" t="s">
        <v>824</v>
      </c>
      <c r="B1530" s="608"/>
      <c r="C1530" s="608"/>
      <c r="D1530" s="608"/>
      <c r="E1530" s="609"/>
    </row>
    <row r="1531" spans="1:8" x14ac:dyDescent="0.2">
      <c r="A1531" s="549"/>
      <c r="B1531" s="549"/>
      <c r="C1531" s="550"/>
      <c r="D1531" s="549"/>
      <c r="E1531" s="549"/>
    </row>
    <row r="1532" spans="1:8" x14ac:dyDescent="0.2">
      <c r="A1532" s="364" t="s">
        <v>14</v>
      </c>
      <c r="B1532" s="365" t="s">
        <v>732</v>
      </c>
      <c r="C1532" s="366" t="s">
        <v>15</v>
      </c>
      <c r="D1532" s="363"/>
      <c r="E1532" s="363"/>
      <c r="F1532" s="166"/>
      <c r="G1532" s="166"/>
      <c r="H1532" s="166"/>
    </row>
    <row r="1533" spans="1:8" x14ac:dyDescent="0.2">
      <c r="A1533" s="367" t="s">
        <v>16</v>
      </c>
      <c r="B1533" s="368"/>
      <c r="C1533" s="369">
        <v>2021</v>
      </c>
      <c r="D1533" s="370">
        <v>2022</v>
      </c>
      <c r="E1533" s="371">
        <v>2023</v>
      </c>
    </row>
    <row r="1534" spans="1:8" x14ac:dyDescent="0.2">
      <c r="A1534" s="367" t="s">
        <v>17</v>
      </c>
      <c r="B1534" s="368"/>
      <c r="C1534" s="372">
        <v>100</v>
      </c>
      <c r="D1534" s="372">
        <v>100</v>
      </c>
      <c r="E1534" s="373">
        <v>100</v>
      </c>
    </row>
    <row r="1535" spans="1:8" x14ac:dyDescent="0.2">
      <c r="A1535" s="367" t="s">
        <v>18</v>
      </c>
      <c r="B1535" s="368"/>
      <c r="C1535" s="372"/>
      <c r="D1535" s="372">
        <v>125</v>
      </c>
      <c r="E1535" s="551">
        <v>125</v>
      </c>
    </row>
    <row r="1536" spans="1:8" x14ac:dyDescent="0.2">
      <c r="A1536" s="367" t="s">
        <v>19</v>
      </c>
      <c r="B1536" s="368"/>
      <c r="C1536" s="551"/>
      <c r="D1536" s="551" t="s">
        <v>791</v>
      </c>
      <c r="E1536" s="551" t="s">
        <v>790</v>
      </c>
    </row>
    <row r="1537" spans="1:8" x14ac:dyDescent="0.2">
      <c r="A1537" s="367" t="s">
        <v>20</v>
      </c>
      <c r="B1537" s="368"/>
      <c r="C1537" s="372">
        <v>0</v>
      </c>
      <c r="D1537" s="374"/>
      <c r="E1537" s="373"/>
    </row>
    <row r="1538" spans="1:8" x14ac:dyDescent="0.2">
      <c r="A1538" s="367" t="s">
        <v>21</v>
      </c>
      <c r="B1538" s="368"/>
      <c r="C1538" s="372">
        <f>C1534-C1537</f>
        <v>100</v>
      </c>
      <c r="D1538" s="374"/>
      <c r="E1538" s="373"/>
    </row>
    <row r="1539" spans="1:8" x14ac:dyDescent="0.2">
      <c r="A1539" s="375" t="s">
        <v>22</v>
      </c>
      <c r="B1539" s="376"/>
      <c r="C1539" s="377">
        <v>2023</v>
      </c>
      <c r="D1539" s="378">
        <v>2024</v>
      </c>
      <c r="E1539" s="377">
        <v>2025</v>
      </c>
    </row>
    <row r="1540" spans="1:8" ht="48.75" customHeight="1" x14ac:dyDescent="0.2">
      <c r="A1540" s="577" t="s">
        <v>798</v>
      </c>
      <c r="B1540" s="578"/>
      <c r="C1540" s="578"/>
      <c r="D1540" s="578"/>
      <c r="E1540" s="579"/>
    </row>
    <row r="1541" spans="1:8" x14ac:dyDescent="0.2">
      <c r="A1541" s="166"/>
      <c r="B1541" s="166"/>
      <c r="C1541" s="166"/>
      <c r="D1541" s="166"/>
      <c r="E1541" s="166"/>
    </row>
    <row r="1542" spans="1:8" x14ac:dyDescent="0.2">
      <c r="A1542" s="364" t="s">
        <v>14</v>
      </c>
      <c r="B1542" s="365" t="s">
        <v>708</v>
      </c>
      <c r="C1542" s="366" t="s">
        <v>15</v>
      </c>
      <c r="D1542" s="363"/>
      <c r="E1542" s="363"/>
      <c r="F1542" s="166"/>
      <c r="G1542" s="166"/>
      <c r="H1542" s="166"/>
    </row>
    <row r="1543" spans="1:8" x14ac:dyDescent="0.2">
      <c r="A1543" s="367" t="s">
        <v>16</v>
      </c>
      <c r="B1543" s="368"/>
      <c r="C1543" s="369">
        <v>2021</v>
      </c>
      <c r="D1543" s="370">
        <v>2022</v>
      </c>
      <c r="E1543" s="371">
        <v>2023</v>
      </c>
    </row>
    <row r="1544" spans="1:8" x14ac:dyDescent="0.2">
      <c r="A1544" s="367" t="s">
        <v>17</v>
      </c>
      <c r="B1544" s="368"/>
      <c r="C1544" s="372">
        <v>35</v>
      </c>
      <c r="D1544" s="372">
        <v>35</v>
      </c>
      <c r="E1544" s="372">
        <v>35</v>
      </c>
    </row>
    <row r="1545" spans="1:8" x14ac:dyDescent="0.2">
      <c r="A1545" s="367" t="s">
        <v>18</v>
      </c>
      <c r="B1545" s="368"/>
      <c r="C1545" s="372">
        <v>49.67</v>
      </c>
      <c r="D1545" s="372">
        <v>49.67</v>
      </c>
      <c r="E1545" s="373">
        <v>49</v>
      </c>
    </row>
    <row r="1546" spans="1:8" ht="30.75" customHeight="1" x14ac:dyDescent="0.2">
      <c r="A1546" s="367" t="s">
        <v>19</v>
      </c>
      <c r="B1546" s="368"/>
      <c r="C1546" s="568" t="s">
        <v>826</v>
      </c>
      <c r="D1546" s="568" t="s">
        <v>827</v>
      </c>
      <c r="E1546" s="568" t="s">
        <v>799</v>
      </c>
    </row>
    <row r="1547" spans="1:8" x14ac:dyDescent="0.2">
      <c r="A1547" s="367" t="s">
        <v>20</v>
      </c>
      <c r="B1547" s="368"/>
      <c r="C1547" s="372">
        <v>5.9</v>
      </c>
      <c r="D1547" s="374"/>
      <c r="E1547" s="373"/>
    </row>
    <row r="1548" spans="1:8" x14ac:dyDescent="0.2">
      <c r="A1548" s="367" t="s">
        <v>21</v>
      </c>
      <c r="B1548" s="368"/>
      <c r="C1548" s="372">
        <f>C1545-C1547</f>
        <v>43.77</v>
      </c>
      <c r="D1548" s="374"/>
      <c r="E1548" s="373"/>
    </row>
    <row r="1549" spans="1:8" x14ac:dyDescent="0.2">
      <c r="A1549" s="375" t="s">
        <v>22</v>
      </c>
      <c r="B1549" s="376"/>
      <c r="C1549" s="377">
        <v>2023</v>
      </c>
      <c r="D1549" s="377">
        <v>2024</v>
      </c>
      <c r="E1549" s="377">
        <v>2025</v>
      </c>
    </row>
    <row r="1550" spans="1:8" ht="30.75" customHeight="1" x14ac:dyDescent="0.2">
      <c r="A1550" s="581" t="s">
        <v>825</v>
      </c>
      <c r="B1550" s="582"/>
      <c r="C1550" s="582"/>
      <c r="D1550" s="582"/>
      <c r="E1550" s="583"/>
    </row>
    <row r="1551" spans="1:8" ht="28.5" customHeight="1" x14ac:dyDescent="0.2">
      <c r="A1551" s="584" t="s">
        <v>829</v>
      </c>
      <c r="B1551" s="585"/>
      <c r="C1551" s="585"/>
      <c r="D1551" s="585"/>
      <c r="E1551" s="586"/>
    </row>
    <row r="1552" spans="1:8" x14ac:dyDescent="0.2">
      <c r="A1552" s="607" t="s">
        <v>828</v>
      </c>
      <c r="B1552" s="608"/>
      <c r="C1552" s="608"/>
      <c r="D1552" s="608"/>
      <c r="E1552" s="609"/>
    </row>
    <row r="1553" spans="1:8" x14ac:dyDescent="0.2">
      <c r="A1553" s="549"/>
      <c r="B1553" s="549"/>
      <c r="C1553" s="550"/>
      <c r="D1553" s="549"/>
      <c r="E1553" s="549"/>
    </row>
    <row r="1554" spans="1:8" x14ac:dyDescent="0.2">
      <c r="A1554" s="364" t="s">
        <v>14</v>
      </c>
      <c r="B1554" s="365" t="s">
        <v>736</v>
      </c>
      <c r="C1554" s="366" t="s">
        <v>15</v>
      </c>
      <c r="D1554" s="363"/>
      <c r="E1554" s="363"/>
      <c r="F1554" s="166"/>
      <c r="G1554" s="166"/>
      <c r="H1554" s="166"/>
    </row>
    <row r="1555" spans="1:8" x14ac:dyDescent="0.2">
      <c r="A1555" s="367" t="s">
        <v>16</v>
      </c>
      <c r="B1555" s="368"/>
      <c r="C1555" s="369">
        <v>2021</v>
      </c>
      <c r="D1555" s="370">
        <v>2022</v>
      </c>
      <c r="E1555" s="371">
        <v>2023</v>
      </c>
    </row>
    <row r="1556" spans="1:8" x14ac:dyDescent="0.2">
      <c r="A1556" s="367" t="s">
        <v>17</v>
      </c>
      <c r="B1556" s="368"/>
      <c r="C1556" s="372">
        <v>25</v>
      </c>
      <c r="D1556" s="372">
        <v>25</v>
      </c>
      <c r="E1556" s="372">
        <v>25</v>
      </c>
    </row>
    <row r="1557" spans="1:8" x14ac:dyDescent="0.2">
      <c r="A1557" s="367" t="s">
        <v>18</v>
      </c>
      <c r="B1557" s="368"/>
      <c r="C1557" s="372">
        <v>30</v>
      </c>
      <c r="D1557" s="372">
        <v>30</v>
      </c>
      <c r="E1557" s="551">
        <v>30</v>
      </c>
    </row>
    <row r="1558" spans="1:8" x14ac:dyDescent="0.2">
      <c r="A1558" s="367" t="s">
        <v>19</v>
      </c>
      <c r="B1558" s="368"/>
      <c r="C1558" s="551" t="s">
        <v>792</v>
      </c>
      <c r="D1558" s="551" t="s">
        <v>793</v>
      </c>
      <c r="E1558" s="551" t="s">
        <v>794</v>
      </c>
    </row>
    <row r="1559" spans="1:8" x14ac:dyDescent="0.2">
      <c r="A1559" s="367" t="s">
        <v>20</v>
      </c>
      <c r="B1559" s="368"/>
      <c r="C1559" s="372">
        <v>0</v>
      </c>
      <c r="D1559" s="374"/>
      <c r="E1559" s="373"/>
    </row>
    <row r="1560" spans="1:8" x14ac:dyDescent="0.2">
      <c r="A1560" s="367" t="s">
        <v>21</v>
      </c>
      <c r="B1560" s="368"/>
      <c r="C1560" s="372">
        <v>30</v>
      </c>
      <c r="D1560" s="374"/>
      <c r="E1560" s="373"/>
    </row>
    <row r="1561" spans="1:8" x14ac:dyDescent="0.2">
      <c r="A1561" s="375" t="s">
        <v>22</v>
      </c>
      <c r="B1561" s="376"/>
      <c r="C1561" s="377">
        <v>2023</v>
      </c>
      <c r="D1561" s="378">
        <v>2024</v>
      </c>
      <c r="E1561" s="377">
        <v>2025</v>
      </c>
    </row>
    <row r="1562" spans="1:8" ht="48.75" customHeight="1" x14ac:dyDescent="0.2">
      <c r="A1562" s="577" t="s">
        <v>800</v>
      </c>
      <c r="B1562" s="578"/>
      <c r="C1562" s="578"/>
      <c r="D1562" s="578"/>
      <c r="E1562" s="579"/>
    </row>
    <row r="1563" spans="1:8" x14ac:dyDescent="0.2">
      <c r="A1563" s="166"/>
      <c r="B1563" s="166"/>
      <c r="C1563" s="166"/>
      <c r="D1563" s="166"/>
      <c r="E1563" s="166"/>
    </row>
    <row r="1564" spans="1:8" x14ac:dyDescent="0.2">
      <c r="A1564" s="364" t="s">
        <v>14</v>
      </c>
      <c r="B1564" s="365" t="s">
        <v>737</v>
      </c>
      <c r="C1564" s="366" t="s">
        <v>15</v>
      </c>
      <c r="D1564" s="363"/>
      <c r="E1564" s="363"/>
      <c r="F1564" s="166"/>
      <c r="G1564" s="166"/>
      <c r="H1564" s="166"/>
    </row>
    <row r="1565" spans="1:8" x14ac:dyDescent="0.2">
      <c r="A1565" s="367" t="s">
        <v>16</v>
      </c>
      <c r="B1565" s="368"/>
      <c r="C1565" s="369">
        <v>2021</v>
      </c>
      <c r="D1565" s="370">
        <v>2022</v>
      </c>
      <c r="E1565" s="371">
        <v>2023</v>
      </c>
    </row>
    <row r="1566" spans="1:8" x14ac:dyDescent="0.2">
      <c r="A1566" s="367" t="s">
        <v>17</v>
      </c>
      <c r="B1566" s="368"/>
      <c r="C1566" s="372">
        <v>48.4</v>
      </c>
      <c r="D1566" s="372">
        <v>48.4</v>
      </c>
      <c r="E1566" s="372">
        <v>48.4</v>
      </c>
    </row>
    <row r="1567" spans="1:8" x14ac:dyDescent="0.2">
      <c r="A1567" s="367" t="s">
        <v>18</v>
      </c>
      <c r="B1567" s="368"/>
      <c r="C1567" s="372"/>
      <c r="D1567" s="372">
        <f>D1566+0.05*C1566</f>
        <v>50.82</v>
      </c>
      <c r="E1567" s="373"/>
    </row>
    <row r="1568" spans="1:8" x14ac:dyDescent="0.2">
      <c r="A1568" s="367" t="s">
        <v>19</v>
      </c>
      <c r="B1568" s="368"/>
      <c r="C1568" s="373"/>
      <c r="D1568" s="374"/>
      <c r="E1568" s="373"/>
    </row>
    <row r="1569" spans="1:8" x14ac:dyDescent="0.2">
      <c r="A1569" s="367" t="s">
        <v>20</v>
      </c>
      <c r="B1569" s="368"/>
      <c r="C1569" s="372">
        <v>2.92</v>
      </c>
      <c r="D1569" s="374"/>
      <c r="E1569" s="373"/>
    </row>
    <row r="1570" spans="1:8" x14ac:dyDescent="0.2">
      <c r="A1570" s="367" t="s">
        <v>21</v>
      </c>
      <c r="B1570" s="368"/>
      <c r="C1570" s="372">
        <f>C1566-C1569</f>
        <v>45.48</v>
      </c>
      <c r="D1570" s="374"/>
      <c r="E1570" s="373"/>
    </row>
    <row r="1571" spans="1:8" x14ac:dyDescent="0.2">
      <c r="A1571" s="375" t="s">
        <v>22</v>
      </c>
      <c r="B1571" s="376"/>
      <c r="C1571" s="377">
        <v>2022</v>
      </c>
      <c r="D1571" s="378"/>
      <c r="E1571" s="377"/>
    </row>
    <row r="1572" spans="1:8" ht="48.75" customHeight="1" x14ac:dyDescent="0.2">
      <c r="A1572" s="577" t="s">
        <v>801</v>
      </c>
      <c r="B1572" s="578"/>
      <c r="C1572" s="578"/>
      <c r="D1572" s="578"/>
      <c r="E1572" s="579"/>
    </row>
    <row r="1573" spans="1:8" x14ac:dyDescent="0.2">
      <c r="A1573" s="166"/>
      <c r="B1573" s="166"/>
      <c r="C1573" s="166"/>
      <c r="D1573" s="166"/>
      <c r="E1573" s="166"/>
    </row>
    <row r="1574" spans="1:8" x14ac:dyDescent="0.2">
      <c r="A1574" s="364" t="s">
        <v>14</v>
      </c>
      <c r="B1574" s="365" t="s">
        <v>740</v>
      </c>
      <c r="C1574" s="366" t="s">
        <v>15</v>
      </c>
      <c r="D1574" s="363"/>
      <c r="E1574" s="363"/>
      <c r="F1574" s="166"/>
      <c r="G1574" s="166"/>
      <c r="H1574" s="166"/>
    </row>
    <row r="1575" spans="1:8" x14ac:dyDescent="0.2">
      <c r="A1575" s="367" t="s">
        <v>16</v>
      </c>
      <c r="B1575" s="368"/>
      <c r="C1575" s="369">
        <v>2021</v>
      </c>
      <c r="D1575" s="370">
        <v>2022</v>
      </c>
      <c r="E1575" s="371">
        <v>2023</v>
      </c>
    </row>
    <row r="1576" spans="1:8" x14ac:dyDescent="0.2">
      <c r="A1576" s="367" t="s">
        <v>17</v>
      </c>
      <c r="B1576" s="368"/>
      <c r="C1576" s="372">
        <v>5.31</v>
      </c>
      <c r="D1576" s="372">
        <v>6.18</v>
      </c>
      <c r="E1576" s="372">
        <v>6.18</v>
      </c>
    </row>
    <row r="1577" spans="1:8" x14ac:dyDescent="0.2">
      <c r="A1577" s="367" t="s">
        <v>18</v>
      </c>
      <c r="B1577" s="368"/>
      <c r="C1577" s="372">
        <v>10.62</v>
      </c>
      <c r="D1577" s="372">
        <f>D1576+C1576</f>
        <v>11.489999999999998</v>
      </c>
      <c r="E1577" s="373"/>
    </row>
    <row r="1578" spans="1:8" x14ac:dyDescent="0.2">
      <c r="A1578" s="367" t="s">
        <v>19</v>
      </c>
      <c r="B1578" s="368"/>
      <c r="C1578" s="373"/>
      <c r="D1578" s="374"/>
      <c r="E1578" s="373"/>
    </row>
    <row r="1579" spans="1:8" x14ac:dyDescent="0.2">
      <c r="A1579" s="367" t="s">
        <v>20</v>
      </c>
      <c r="B1579" s="368"/>
      <c r="C1579" s="372">
        <v>0.71</v>
      </c>
      <c r="D1579" s="374"/>
      <c r="E1579" s="373"/>
    </row>
    <row r="1580" spans="1:8" x14ac:dyDescent="0.2">
      <c r="A1580" s="367" t="s">
        <v>21</v>
      </c>
      <c r="B1580" s="368"/>
      <c r="C1580" s="372">
        <f>C1577-C1579</f>
        <v>9.91</v>
      </c>
      <c r="D1580" s="374"/>
      <c r="E1580" s="373"/>
    </row>
    <row r="1581" spans="1:8" x14ac:dyDescent="0.2">
      <c r="A1581" s="375" t="s">
        <v>22</v>
      </c>
      <c r="B1581" s="376"/>
      <c r="C1581" s="377">
        <v>2022</v>
      </c>
      <c r="D1581" s="378">
        <v>2023</v>
      </c>
      <c r="E1581" s="377"/>
    </row>
    <row r="1582" spans="1:8" ht="58.5" customHeight="1" x14ac:dyDescent="0.2">
      <c r="A1582" s="577" t="s">
        <v>802</v>
      </c>
      <c r="B1582" s="578"/>
      <c r="C1582" s="578"/>
      <c r="D1582" s="578"/>
      <c r="E1582" s="579"/>
    </row>
    <row r="1583" spans="1:8" x14ac:dyDescent="0.2">
      <c r="A1583" s="166"/>
      <c r="B1583" s="166"/>
      <c r="C1583" s="166"/>
      <c r="D1583" s="166"/>
      <c r="E1583" s="166"/>
    </row>
    <row r="1584" spans="1:8" x14ac:dyDescent="0.2">
      <c r="A1584" s="166"/>
      <c r="B1584" s="166"/>
      <c r="C1584" s="166"/>
      <c r="D1584" s="166"/>
      <c r="E1584" s="166"/>
    </row>
    <row r="1585" spans="1:9" x14ac:dyDescent="0.2">
      <c r="A1585" s="358" t="s">
        <v>12</v>
      </c>
      <c r="B1585" s="633" t="s">
        <v>122</v>
      </c>
      <c r="D1585" s="166"/>
      <c r="E1585" s="166"/>
      <c r="F1585" s="166"/>
      <c r="G1585" s="166"/>
      <c r="H1585" s="166"/>
    </row>
    <row r="1586" spans="1:9" x14ac:dyDescent="0.2">
      <c r="A1586" s="171" t="s">
        <v>14</v>
      </c>
      <c r="B1586" s="172" t="s">
        <v>709</v>
      </c>
      <c r="C1586" s="173" t="s">
        <v>15</v>
      </c>
      <c r="D1586" s="166"/>
      <c r="E1586" s="166"/>
      <c r="F1586" s="166"/>
      <c r="G1586" s="166"/>
      <c r="H1586" s="166"/>
    </row>
    <row r="1587" spans="1:9" x14ac:dyDescent="0.2">
      <c r="A1587" s="145" t="s">
        <v>16</v>
      </c>
      <c r="B1587" s="146"/>
      <c r="C1587" s="147">
        <v>2016</v>
      </c>
      <c r="D1587" s="148">
        <v>2017</v>
      </c>
      <c r="E1587" s="149">
        <v>2018</v>
      </c>
      <c r="F1587" s="150">
        <v>2019</v>
      </c>
      <c r="G1587" s="151">
        <v>2020</v>
      </c>
      <c r="H1587" s="151">
        <v>2021</v>
      </c>
      <c r="I1587" s="151">
        <v>2022</v>
      </c>
    </row>
    <row r="1588" spans="1:9" x14ac:dyDescent="0.2">
      <c r="A1588" s="145" t="s">
        <v>17</v>
      </c>
      <c r="B1588" s="146"/>
      <c r="C1588" s="152">
        <v>527</v>
      </c>
      <c r="D1588" s="152">
        <v>527</v>
      </c>
      <c r="E1588" s="153">
        <v>632.4</v>
      </c>
      <c r="F1588" s="154">
        <v>632.4</v>
      </c>
      <c r="G1588" s="155">
        <v>632.4</v>
      </c>
      <c r="H1588" s="155">
        <v>711.5</v>
      </c>
      <c r="I1588" s="155">
        <v>711.5</v>
      </c>
    </row>
    <row r="1589" spans="1:9" x14ac:dyDescent="0.2">
      <c r="A1589" s="145" t="s">
        <v>18</v>
      </c>
      <c r="B1589" s="146"/>
      <c r="C1589" s="152">
        <v>658.75</v>
      </c>
      <c r="D1589" s="152">
        <v>658.75</v>
      </c>
      <c r="E1589" s="153">
        <v>764.15</v>
      </c>
      <c r="F1589" s="154">
        <v>790.5</v>
      </c>
      <c r="G1589" s="155">
        <v>790.5</v>
      </c>
      <c r="H1589" s="155">
        <f>H1588+0.25*G1588</f>
        <v>869.6</v>
      </c>
      <c r="I1589" s="155">
        <f>I1588+0.25*H1588</f>
        <v>889.375</v>
      </c>
    </row>
    <row r="1590" spans="1:9" x14ac:dyDescent="0.2">
      <c r="A1590" s="145" t="s">
        <v>19</v>
      </c>
      <c r="B1590" s="146"/>
      <c r="C1590" s="153"/>
      <c r="D1590" s="156"/>
      <c r="E1590" s="153"/>
      <c r="F1590" s="154"/>
      <c r="G1590" s="155"/>
      <c r="H1590" s="155"/>
      <c r="I1590" s="155"/>
    </row>
    <row r="1591" spans="1:9" x14ac:dyDescent="0.2">
      <c r="A1591" s="145" t="s">
        <v>20</v>
      </c>
      <c r="B1591" s="146"/>
      <c r="C1591" s="152">
        <v>250.22</v>
      </c>
      <c r="D1591" s="156">
        <v>238.35</v>
      </c>
      <c r="E1591" s="153">
        <v>102.57</v>
      </c>
      <c r="F1591" s="154">
        <v>221.13</v>
      </c>
      <c r="G1591" s="539">
        <v>328.36</v>
      </c>
      <c r="H1591" s="155">
        <v>294.86</v>
      </c>
      <c r="I1591" s="155"/>
    </row>
    <row r="1592" spans="1:9" x14ac:dyDescent="0.2">
      <c r="A1592" s="145" t="s">
        <v>21</v>
      </c>
      <c r="B1592" s="146"/>
      <c r="C1592" s="152">
        <v>408.53</v>
      </c>
      <c r="D1592" s="156">
        <v>420.4</v>
      </c>
      <c r="E1592" s="153">
        <f>E1589-E1591</f>
        <v>661.57999999999993</v>
      </c>
      <c r="F1592" s="154">
        <f>F1589-F1591</f>
        <v>569.37</v>
      </c>
      <c r="G1592" s="539">
        <f>G1589-G1591</f>
        <v>462.14</v>
      </c>
      <c r="H1592" s="540">
        <f>H1589-H1591</f>
        <v>574.74</v>
      </c>
      <c r="I1592" s="155"/>
    </row>
    <row r="1593" spans="1:9" x14ac:dyDescent="0.2">
      <c r="A1593" s="157" t="s">
        <v>22</v>
      </c>
      <c r="B1593" s="158"/>
      <c r="C1593" s="159">
        <v>2017</v>
      </c>
      <c r="D1593" s="160">
        <v>2018</v>
      </c>
      <c r="E1593" s="159">
        <v>2019</v>
      </c>
      <c r="F1593" s="161">
        <v>2020</v>
      </c>
      <c r="G1593" s="177">
        <v>2021</v>
      </c>
      <c r="H1593" s="177">
        <v>2022</v>
      </c>
      <c r="I1593" s="177">
        <v>2023</v>
      </c>
    </row>
    <row r="1594" spans="1:9" x14ac:dyDescent="0.2">
      <c r="A1594" s="162" t="s">
        <v>123</v>
      </c>
      <c r="B1594" s="163"/>
      <c r="C1594" s="163"/>
      <c r="D1594" s="163"/>
      <c r="E1594" s="163"/>
      <c r="F1594" s="163"/>
      <c r="G1594" s="163"/>
      <c r="H1594" s="163"/>
      <c r="I1594" s="164"/>
    </row>
    <row r="1595" spans="1:9" x14ac:dyDescent="0.2">
      <c r="A1595" s="165" t="s">
        <v>124</v>
      </c>
      <c r="B1595" s="166"/>
      <c r="C1595" s="166"/>
      <c r="D1595" s="166"/>
      <c r="E1595" s="166"/>
      <c r="F1595" s="166"/>
      <c r="G1595" s="166"/>
      <c r="H1595" s="166"/>
      <c r="I1595" s="167"/>
    </row>
    <row r="1596" spans="1:9" x14ac:dyDescent="0.2">
      <c r="A1596" s="165" t="s">
        <v>125</v>
      </c>
      <c r="B1596" s="166"/>
      <c r="C1596" s="166"/>
      <c r="D1596" s="166"/>
      <c r="E1596" s="166"/>
      <c r="F1596" s="166"/>
      <c r="G1596" s="166"/>
      <c r="H1596" s="166"/>
      <c r="I1596" s="167"/>
    </row>
    <row r="1597" spans="1:9" x14ac:dyDescent="0.2">
      <c r="A1597" s="165" t="s">
        <v>126</v>
      </c>
      <c r="B1597" s="166"/>
      <c r="C1597" s="166"/>
      <c r="D1597" s="166"/>
      <c r="E1597" s="166"/>
      <c r="F1597" s="166"/>
      <c r="G1597" s="166"/>
      <c r="H1597" s="166"/>
      <c r="I1597" s="167"/>
    </row>
    <row r="1598" spans="1:9" x14ac:dyDescent="0.2">
      <c r="A1598" s="165" t="s">
        <v>127</v>
      </c>
      <c r="B1598" s="166"/>
      <c r="C1598" s="166"/>
      <c r="D1598" s="166"/>
      <c r="E1598" s="166"/>
      <c r="F1598" s="166"/>
      <c r="G1598" s="166"/>
      <c r="H1598" s="166"/>
      <c r="I1598" s="167"/>
    </row>
    <row r="1599" spans="1:9" x14ac:dyDescent="0.2">
      <c r="A1599" s="165" t="s">
        <v>316</v>
      </c>
      <c r="B1599" s="166"/>
      <c r="C1599" s="166"/>
      <c r="D1599" s="166"/>
      <c r="E1599" s="166"/>
      <c r="F1599" s="166"/>
      <c r="G1599" s="166"/>
      <c r="H1599" s="166"/>
      <c r="I1599" s="167"/>
    </row>
    <row r="1600" spans="1:9" x14ac:dyDescent="0.2">
      <c r="A1600" s="165" t="s">
        <v>583</v>
      </c>
      <c r="B1600" s="166"/>
      <c r="C1600" s="166"/>
      <c r="D1600" s="166"/>
      <c r="E1600" s="166"/>
      <c r="F1600" s="166"/>
      <c r="G1600" s="166"/>
      <c r="H1600" s="166"/>
      <c r="I1600" s="167"/>
    </row>
    <row r="1601" spans="1:9" x14ac:dyDescent="0.2">
      <c r="A1601" s="165" t="s">
        <v>769</v>
      </c>
      <c r="B1601" s="166"/>
      <c r="C1601" s="166"/>
      <c r="D1601" s="166"/>
      <c r="E1601" s="166"/>
      <c r="F1601" s="166"/>
      <c r="G1601" s="166"/>
      <c r="H1601" s="166"/>
      <c r="I1601" s="167"/>
    </row>
    <row r="1602" spans="1:9" x14ac:dyDescent="0.2">
      <c r="A1602" s="165" t="s">
        <v>584</v>
      </c>
      <c r="B1602" s="166"/>
      <c r="C1602" s="166"/>
      <c r="D1602" s="166"/>
      <c r="E1602" s="166"/>
      <c r="F1602" s="166"/>
      <c r="G1602" s="166"/>
      <c r="H1602" s="166"/>
      <c r="I1602" s="167"/>
    </row>
    <row r="1603" spans="1:9" x14ac:dyDescent="0.2">
      <c r="A1603" s="168" t="s">
        <v>585</v>
      </c>
      <c r="B1603" s="169"/>
      <c r="C1603" s="169"/>
      <c r="D1603" s="169"/>
      <c r="E1603" s="169"/>
      <c r="F1603" s="169"/>
      <c r="G1603" s="169"/>
      <c r="H1603" s="169"/>
      <c r="I1603" s="170"/>
    </row>
    <row r="1605" spans="1:9" x14ac:dyDescent="0.2">
      <c r="A1605" s="171" t="s">
        <v>14</v>
      </c>
      <c r="B1605" s="172" t="s">
        <v>708</v>
      </c>
      <c r="C1605" s="173" t="s">
        <v>15</v>
      </c>
      <c r="D1605" s="166"/>
      <c r="E1605" s="166"/>
      <c r="F1605" s="166"/>
      <c r="G1605" s="166"/>
      <c r="H1605" s="166"/>
    </row>
    <row r="1606" spans="1:9" x14ac:dyDescent="0.2">
      <c r="A1606" s="145" t="s">
        <v>16</v>
      </c>
      <c r="B1606" s="146"/>
      <c r="C1606" s="182">
        <v>2017</v>
      </c>
      <c r="D1606" s="149">
        <v>2018</v>
      </c>
      <c r="E1606" s="149">
        <v>2019</v>
      </c>
      <c r="F1606" s="150">
        <v>2020</v>
      </c>
      <c r="G1606" s="151">
        <v>2021</v>
      </c>
      <c r="H1606" s="151">
        <v>2022</v>
      </c>
    </row>
    <row r="1607" spans="1:9" x14ac:dyDescent="0.2">
      <c r="A1607" s="145" t="s">
        <v>17</v>
      </c>
      <c r="B1607" s="146"/>
      <c r="C1607" s="152">
        <v>3907</v>
      </c>
      <c r="D1607" s="152">
        <v>3907</v>
      </c>
      <c r="E1607" s="153">
        <v>3907</v>
      </c>
      <c r="F1607" s="154">
        <v>3907</v>
      </c>
      <c r="G1607" s="155">
        <v>3907</v>
      </c>
      <c r="H1607" s="155">
        <v>3907</v>
      </c>
    </row>
    <row r="1608" spans="1:9" x14ac:dyDescent="0.2">
      <c r="A1608" s="145" t="s">
        <v>18</v>
      </c>
      <c r="B1608" s="146"/>
      <c r="C1608" s="152">
        <v>4468.05</v>
      </c>
      <c r="D1608" s="152">
        <v>4493.05</v>
      </c>
      <c r="E1608" s="153">
        <v>4493.05</v>
      </c>
      <c r="F1608" s="154">
        <v>4493.05</v>
      </c>
      <c r="G1608" s="155">
        <v>4493.05</v>
      </c>
      <c r="H1608" s="155">
        <v>4493.05</v>
      </c>
    </row>
    <row r="1609" spans="1:9" x14ac:dyDescent="0.2">
      <c r="A1609" s="145" t="s">
        <v>19</v>
      </c>
      <c r="B1609" s="146"/>
      <c r="C1609" s="174"/>
      <c r="D1609" s="153"/>
      <c r="E1609" s="153"/>
      <c r="F1609" s="154"/>
      <c r="G1609" s="155"/>
      <c r="H1609" s="155"/>
    </row>
    <row r="1610" spans="1:9" x14ac:dyDescent="0.2">
      <c r="A1610" s="145" t="s">
        <v>20</v>
      </c>
      <c r="B1610" s="146"/>
      <c r="C1610" s="175">
        <v>1404.81</v>
      </c>
      <c r="D1610" s="153">
        <v>1274.78</v>
      </c>
      <c r="E1610" s="153">
        <v>1736.49</v>
      </c>
      <c r="F1610" s="541">
        <v>1350.69</v>
      </c>
      <c r="G1610" s="155">
        <v>1136.81</v>
      </c>
      <c r="H1610" s="155"/>
    </row>
    <row r="1611" spans="1:9" x14ac:dyDescent="0.2">
      <c r="A1611" s="145" t="s">
        <v>21</v>
      </c>
      <c r="B1611" s="146"/>
      <c r="C1611" s="152">
        <v>3063.24</v>
      </c>
      <c r="D1611" s="153">
        <f>D1608-D1610</f>
        <v>3218.2700000000004</v>
      </c>
      <c r="E1611" s="153">
        <f t="shared" ref="E1611:F1611" si="58">E1608-E1610</f>
        <v>2756.5600000000004</v>
      </c>
      <c r="F1611" s="373">
        <f t="shared" si="58"/>
        <v>3142.36</v>
      </c>
      <c r="G1611" s="155">
        <f>G1608-G1610</f>
        <v>3356.2400000000002</v>
      </c>
      <c r="H1611" s="155"/>
    </row>
    <row r="1612" spans="1:9" x14ac:dyDescent="0.2">
      <c r="A1612" s="157" t="s">
        <v>22</v>
      </c>
      <c r="B1612" s="158"/>
      <c r="C1612" s="176">
        <v>2018</v>
      </c>
      <c r="D1612" s="159">
        <v>2019</v>
      </c>
      <c r="E1612" s="159">
        <v>2020</v>
      </c>
      <c r="F1612" s="161">
        <v>2021</v>
      </c>
      <c r="G1612" s="177">
        <v>2022</v>
      </c>
      <c r="H1612" s="177">
        <v>2023</v>
      </c>
    </row>
    <row r="1613" spans="1:9" x14ac:dyDescent="0.2">
      <c r="A1613" s="162" t="s">
        <v>128</v>
      </c>
      <c r="B1613" s="163"/>
      <c r="C1613" s="163"/>
      <c r="D1613" s="163"/>
      <c r="E1613" s="163"/>
      <c r="F1613" s="163"/>
      <c r="G1613" s="163"/>
      <c r="H1613" s="164"/>
    </row>
    <row r="1614" spans="1:9" x14ac:dyDescent="0.2">
      <c r="A1614" s="165" t="s">
        <v>129</v>
      </c>
      <c r="B1614" s="166"/>
      <c r="C1614" s="166"/>
      <c r="D1614" s="166"/>
      <c r="E1614" s="166"/>
      <c r="F1614" s="166"/>
      <c r="G1614" s="166"/>
      <c r="H1614" s="167"/>
    </row>
    <row r="1615" spans="1:9" x14ac:dyDescent="0.2">
      <c r="A1615" s="165" t="s">
        <v>130</v>
      </c>
      <c r="B1615" s="166"/>
      <c r="C1615" s="166"/>
      <c r="D1615" s="166"/>
      <c r="E1615" s="166"/>
      <c r="F1615" s="166"/>
      <c r="G1615" s="166"/>
      <c r="H1615" s="167"/>
    </row>
    <row r="1616" spans="1:9" x14ac:dyDescent="0.2">
      <c r="A1616" s="165" t="s">
        <v>131</v>
      </c>
      <c r="B1616" s="166"/>
      <c r="C1616" s="166"/>
      <c r="D1616" s="166"/>
      <c r="E1616" s="166"/>
      <c r="F1616" s="166"/>
      <c r="G1616" s="166"/>
      <c r="H1616" s="167"/>
    </row>
    <row r="1617" spans="1:8" x14ac:dyDescent="0.2">
      <c r="A1617" s="20" t="s">
        <v>317</v>
      </c>
      <c r="B1617" s="166"/>
      <c r="C1617" s="166"/>
      <c r="D1617" s="166"/>
      <c r="E1617" s="166"/>
      <c r="F1617" s="166"/>
      <c r="G1617" s="166"/>
      <c r="H1617" s="167"/>
    </row>
    <row r="1618" spans="1:8" x14ac:dyDescent="0.2">
      <c r="A1618" s="165" t="s">
        <v>586</v>
      </c>
      <c r="B1618" s="166"/>
      <c r="C1618" s="166"/>
      <c r="D1618" s="166"/>
      <c r="E1618" s="166"/>
      <c r="F1618" s="166"/>
      <c r="G1618" s="166"/>
      <c r="H1618" s="167"/>
    </row>
    <row r="1619" spans="1:8" x14ac:dyDescent="0.2">
      <c r="A1619" s="168" t="s">
        <v>770</v>
      </c>
      <c r="B1619" s="169"/>
      <c r="C1619" s="169"/>
      <c r="D1619" s="169"/>
      <c r="E1619" s="169"/>
      <c r="F1619" s="169"/>
      <c r="G1619" s="169"/>
      <c r="H1619" s="170"/>
    </row>
    <row r="1621" spans="1:8" x14ac:dyDescent="0.2">
      <c r="A1621" s="171" t="s">
        <v>14</v>
      </c>
      <c r="B1621" s="172" t="s">
        <v>736</v>
      </c>
      <c r="C1621" s="173" t="s">
        <v>15</v>
      </c>
      <c r="D1621" s="166"/>
      <c r="E1621" s="166"/>
      <c r="F1621" s="166"/>
      <c r="G1621" s="166"/>
      <c r="H1621" s="166"/>
    </row>
    <row r="1622" spans="1:8" x14ac:dyDescent="0.2">
      <c r="A1622" s="145" t="s">
        <v>16</v>
      </c>
      <c r="B1622" s="146"/>
      <c r="C1622" s="183">
        <v>2017</v>
      </c>
      <c r="D1622" s="184">
        <v>2018</v>
      </c>
      <c r="E1622" s="184">
        <v>2019</v>
      </c>
      <c r="F1622" s="185">
        <v>2020</v>
      </c>
      <c r="G1622" s="151">
        <v>2021</v>
      </c>
      <c r="H1622" s="151">
        <v>2022</v>
      </c>
    </row>
    <row r="1623" spans="1:8" x14ac:dyDescent="0.2">
      <c r="A1623" s="145" t="s">
        <v>17</v>
      </c>
      <c r="B1623" s="145"/>
      <c r="C1623" s="178">
        <v>100</v>
      </c>
      <c r="D1623" s="178">
        <v>100</v>
      </c>
      <c r="E1623" s="155">
        <v>100</v>
      </c>
      <c r="F1623" s="155">
        <v>100</v>
      </c>
      <c r="G1623" s="155">
        <v>100</v>
      </c>
      <c r="H1623" s="155">
        <v>100</v>
      </c>
    </row>
    <row r="1624" spans="1:8" x14ac:dyDescent="0.2">
      <c r="A1624" s="145" t="s">
        <v>18</v>
      </c>
      <c r="B1624" s="145"/>
      <c r="C1624" s="178">
        <v>99.94</v>
      </c>
      <c r="D1624" s="178">
        <v>99.94</v>
      </c>
      <c r="E1624" s="155">
        <v>99.94</v>
      </c>
      <c r="F1624" s="155">
        <v>99.94</v>
      </c>
      <c r="G1624" s="155">
        <v>99.94</v>
      </c>
      <c r="H1624" s="155">
        <f>H1623-50-25-24.94+G1627</f>
        <v>100</v>
      </c>
    </row>
    <row r="1625" spans="1:8" x14ac:dyDescent="0.2">
      <c r="A1625" s="145" t="s">
        <v>19</v>
      </c>
      <c r="B1625" s="145"/>
      <c r="C1625" s="155"/>
      <c r="D1625" s="155"/>
      <c r="E1625" s="155"/>
      <c r="F1625" s="155"/>
      <c r="G1625" s="155"/>
      <c r="H1625" s="155"/>
    </row>
    <row r="1626" spans="1:8" x14ac:dyDescent="0.2">
      <c r="A1626" s="145" t="s">
        <v>20</v>
      </c>
      <c r="B1626" s="145"/>
      <c r="C1626" s="178">
        <v>0</v>
      </c>
      <c r="D1626" s="178">
        <v>0</v>
      </c>
      <c r="E1626" s="178">
        <v>0</v>
      </c>
      <c r="F1626" s="155">
        <v>0</v>
      </c>
      <c r="G1626" s="155">
        <v>0</v>
      </c>
      <c r="H1626" s="155"/>
    </row>
    <row r="1627" spans="1:8" x14ac:dyDescent="0.2">
      <c r="A1627" s="145" t="s">
        <v>21</v>
      </c>
      <c r="B1627" s="146"/>
      <c r="C1627" s="179">
        <v>99.94</v>
      </c>
      <c r="D1627" s="179">
        <v>99.94</v>
      </c>
      <c r="E1627" s="179">
        <v>99.94</v>
      </c>
      <c r="F1627" s="174">
        <v>99.94</v>
      </c>
      <c r="G1627" s="155">
        <v>99.94</v>
      </c>
      <c r="H1627" s="155"/>
    </row>
    <row r="1628" spans="1:8" x14ac:dyDescent="0.2">
      <c r="A1628" s="157" t="s">
        <v>22</v>
      </c>
      <c r="B1628" s="158"/>
      <c r="C1628" s="176">
        <v>2018</v>
      </c>
      <c r="D1628" s="159">
        <v>2019</v>
      </c>
      <c r="E1628" s="159">
        <v>2020</v>
      </c>
      <c r="F1628" s="161">
        <v>2021</v>
      </c>
      <c r="G1628" s="177">
        <v>2022</v>
      </c>
      <c r="H1628" s="177">
        <v>2023</v>
      </c>
    </row>
    <row r="1629" spans="1:8" x14ac:dyDescent="0.2">
      <c r="A1629" s="162" t="s">
        <v>132</v>
      </c>
      <c r="B1629" s="163"/>
      <c r="C1629" s="163"/>
      <c r="D1629" s="163"/>
      <c r="E1629" s="163"/>
      <c r="F1629" s="163"/>
      <c r="G1629" s="163"/>
      <c r="H1629" s="164"/>
    </row>
    <row r="1630" spans="1:8" x14ac:dyDescent="0.2">
      <c r="A1630" s="165" t="s">
        <v>133</v>
      </c>
      <c r="B1630" s="166"/>
      <c r="C1630" s="166"/>
      <c r="D1630" s="166"/>
      <c r="E1630" s="166"/>
      <c r="F1630" s="166"/>
      <c r="G1630" s="166"/>
      <c r="H1630" s="167"/>
    </row>
    <row r="1631" spans="1:8" x14ac:dyDescent="0.2">
      <c r="A1631" s="165" t="s">
        <v>134</v>
      </c>
      <c r="B1631" s="166"/>
      <c r="C1631" s="166"/>
      <c r="D1631" s="166"/>
      <c r="E1631" s="166"/>
      <c r="F1631" s="166"/>
      <c r="G1631" s="166"/>
      <c r="H1631" s="167"/>
    </row>
    <row r="1632" spans="1:8" x14ac:dyDescent="0.2">
      <c r="A1632" s="165" t="s">
        <v>135</v>
      </c>
      <c r="B1632" s="166"/>
      <c r="C1632" s="166"/>
      <c r="D1632" s="166"/>
      <c r="E1632" s="166"/>
      <c r="F1632" s="166"/>
      <c r="G1632" s="166"/>
      <c r="H1632" s="167"/>
    </row>
    <row r="1633" spans="1:9" x14ac:dyDescent="0.2">
      <c r="A1633" s="165" t="s">
        <v>318</v>
      </c>
      <c r="B1633" s="166"/>
      <c r="C1633" s="166"/>
      <c r="D1633" s="166"/>
      <c r="E1633" s="166"/>
      <c r="F1633" s="166"/>
      <c r="G1633" s="166"/>
      <c r="H1633" s="167"/>
    </row>
    <row r="1634" spans="1:9" x14ac:dyDescent="0.2">
      <c r="A1634" s="165" t="s">
        <v>587</v>
      </c>
      <c r="B1634" s="166"/>
      <c r="C1634" s="166"/>
      <c r="D1634" s="166"/>
      <c r="E1634" s="166"/>
      <c r="F1634" s="166"/>
      <c r="G1634" s="166"/>
      <c r="H1634" s="167"/>
    </row>
    <row r="1635" spans="1:9" x14ac:dyDescent="0.2">
      <c r="A1635" s="168" t="s">
        <v>628</v>
      </c>
      <c r="B1635" s="169"/>
      <c r="C1635" s="169"/>
      <c r="D1635" s="169"/>
      <c r="E1635" s="169"/>
      <c r="F1635" s="169"/>
      <c r="G1635" s="169"/>
      <c r="H1635" s="170"/>
    </row>
    <row r="1637" spans="1:9" x14ac:dyDescent="0.2">
      <c r="A1637" s="171" t="s">
        <v>14</v>
      </c>
      <c r="B1637" s="172" t="s">
        <v>740</v>
      </c>
      <c r="C1637" s="173" t="s">
        <v>15</v>
      </c>
      <c r="D1637" s="166"/>
      <c r="E1637" s="166"/>
      <c r="F1637" s="166"/>
    </row>
    <row r="1638" spans="1:9" x14ac:dyDescent="0.2">
      <c r="A1638" s="145" t="s">
        <v>16</v>
      </c>
      <c r="B1638" s="146"/>
      <c r="C1638" s="147">
        <v>2016</v>
      </c>
      <c r="D1638" s="150">
        <v>2017</v>
      </c>
      <c r="E1638" s="149">
        <v>2018</v>
      </c>
      <c r="F1638" s="150">
        <v>2019</v>
      </c>
      <c r="G1638" s="57">
        <v>2020</v>
      </c>
      <c r="H1638" s="57">
        <v>2021</v>
      </c>
      <c r="I1638" s="57">
        <v>2022</v>
      </c>
    </row>
    <row r="1639" spans="1:9" x14ac:dyDescent="0.2">
      <c r="A1639" s="145" t="s">
        <v>17</v>
      </c>
      <c r="B1639" s="146"/>
      <c r="C1639" s="180">
        <v>1083.79</v>
      </c>
      <c r="D1639" s="180">
        <v>1083.79</v>
      </c>
      <c r="E1639" s="146">
        <v>1272.8599999999999</v>
      </c>
      <c r="F1639" s="181">
        <v>1272.8599999999999</v>
      </c>
      <c r="G1639" s="22">
        <v>1272.8599999999999</v>
      </c>
      <c r="H1639" s="22">
        <v>1272.8599999999999</v>
      </c>
      <c r="I1639" s="22">
        <v>1341.14</v>
      </c>
    </row>
    <row r="1640" spans="1:9" x14ac:dyDescent="0.2">
      <c r="A1640" s="145" t="s">
        <v>18</v>
      </c>
      <c r="B1640" s="146"/>
      <c r="C1640" s="180">
        <v>1192.17</v>
      </c>
      <c r="D1640" s="180">
        <v>1192.17</v>
      </c>
      <c r="E1640" s="146">
        <v>1381.24</v>
      </c>
      <c r="F1640" s="181">
        <v>1400.15</v>
      </c>
      <c r="G1640" s="22">
        <v>1400.15</v>
      </c>
      <c r="H1640" s="22">
        <v>1400.15</v>
      </c>
      <c r="I1640" s="22">
        <v>1400.15</v>
      </c>
    </row>
    <row r="1641" spans="1:9" x14ac:dyDescent="0.2">
      <c r="A1641" s="145" t="s">
        <v>19</v>
      </c>
      <c r="B1641" s="146"/>
      <c r="C1641" s="146"/>
      <c r="D1641" s="181"/>
      <c r="E1641" s="146"/>
      <c r="F1641" s="181"/>
      <c r="G1641" s="22"/>
      <c r="H1641" s="22"/>
      <c r="I1641" s="22"/>
    </row>
    <row r="1642" spans="1:9" x14ac:dyDescent="0.2">
      <c r="A1642" s="145" t="s">
        <v>20</v>
      </c>
      <c r="B1642" s="146"/>
      <c r="C1642" s="180">
        <v>1025.0999999999999</v>
      </c>
      <c r="D1642" s="181">
        <v>996.8</v>
      </c>
      <c r="E1642" s="146">
        <v>1028.26</v>
      </c>
      <c r="F1642" s="181">
        <v>1190.78</v>
      </c>
      <c r="G1642" s="391">
        <v>1184.99</v>
      </c>
      <c r="H1642" s="22">
        <v>1200.46</v>
      </c>
      <c r="I1642" s="22"/>
    </row>
    <row r="1643" spans="1:9" x14ac:dyDescent="0.2">
      <c r="A1643" s="145" t="s">
        <v>21</v>
      </c>
      <c r="B1643" s="146"/>
      <c r="C1643" s="180">
        <f>C1640-C1642</f>
        <v>167.07000000000016</v>
      </c>
      <c r="D1643" s="180">
        <f t="shared" ref="D1643:G1643" si="59">D1640-D1642</f>
        <v>195.37000000000012</v>
      </c>
      <c r="E1643" s="180">
        <f t="shared" si="59"/>
        <v>352.98</v>
      </c>
      <c r="F1643" s="180">
        <f t="shared" si="59"/>
        <v>209.37000000000012</v>
      </c>
      <c r="G1643" s="542">
        <f t="shared" si="59"/>
        <v>215.16000000000008</v>
      </c>
      <c r="H1643" s="22">
        <f>H1640-H1642</f>
        <v>199.69000000000005</v>
      </c>
      <c r="I1643" s="22"/>
    </row>
    <row r="1644" spans="1:9" x14ac:dyDescent="0.2">
      <c r="A1644" s="157" t="s">
        <v>22</v>
      </c>
      <c r="B1644" s="158"/>
      <c r="C1644" s="159">
        <v>2017</v>
      </c>
      <c r="D1644" s="161">
        <v>2018</v>
      </c>
      <c r="E1644" s="159">
        <v>2019</v>
      </c>
      <c r="F1644" s="161">
        <v>2020</v>
      </c>
      <c r="G1644" s="63">
        <v>2021</v>
      </c>
      <c r="H1644" s="63">
        <v>2022</v>
      </c>
      <c r="I1644" s="63">
        <v>2023</v>
      </c>
    </row>
    <row r="1645" spans="1:9" x14ac:dyDescent="0.2">
      <c r="A1645" s="162" t="s">
        <v>589</v>
      </c>
      <c r="B1645" s="163"/>
      <c r="C1645" s="186"/>
      <c r="D1645" s="186"/>
      <c r="E1645" s="186"/>
      <c r="F1645" s="186"/>
      <c r="G1645" s="94"/>
      <c r="H1645" s="94"/>
      <c r="I1645" s="95"/>
    </row>
    <row r="1646" spans="1:9" x14ac:dyDescent="0.2">
      <c r="A1646" s="165" t="s">
        <v>136</v>
      </c>
      <c r="B1646" s="166"/>
      <c r="C1646" s="166"/>
      <c r="D1646" s="166"/>
      <c r="E1646" s="166"/>
      <c r="F1646" s="166"/>
      <c r="I1646" s="21"/>
    </row>
    <row r="1647" spans="1:9" x14ac:dyDescent="0.2">
      <c r="A1647" s="165" t="s">
        <v>137</v>
      </c>
      <c r="B1647" s="166"/>
      <c r="C1647" s="166"/>
      <c r="D1647" s="166"/>
      <c r="E1647" s="166"/>
      <c r="F1647" s="166"/>
      <c r="I1647" s="21"/>
    </row>
    <row r="1648" spans="1:9" x14ac:dyDescent="0.2">
      <c r="A1648" s="165" t="s">
        <v>138</v>
      </c>
      <c r="B1648" s="166"/>
      <c r="C1648" s="166"/>
      <c r="D1648" s="166"/>
      <c r="E1648" s="166"/>
      <c r="F1648" s="166"/>
      <c r="I1648" s="21"/>
    </row>
    <row r="1649" spans="1:9" x14ac:dyDescent="0.2">
      <c r="A1649" s="165" t="s">
        <v>139</v>
      </c>
      <c r="B1649" s="166"/>
      <c r="C1649" s="166"/>
      <c r="D1649" s="166"/>
      <c r="E1649" s="166"/>
      <c r="F1649" s="166"/>
      <c r="I1649" s="21"/>
    </row>
    <row r="1650" spans="1:9" x14ac:dyDescent="0.2">
      <c r="A1650" s="165" t="s">
        <v>319</v>
      </c>
      <c r="B1650" s="166"/>
      <c r="C1650" s="166"/>
      <c r="D1650" s="166"/>
      <c r="E1650" s="166"/>
      <c r="F1650" s="166"/>
      <c r="I1650" s="21"/>
    </row>
    <row r="1651" spans="1:9" x14ac:dyDescent="0.2">
      <c r="A1651" s="165" t="s">
        <v>588</v>
      </c>
      <c r="B1651" s="166"/>
      <c r="C1651" s="166"/>
      <c r="D1651" s="166"/>
      <c r="E1651" s="166"/>
      <c r="F1651" s="166"/>
      <c r="I1651" s="21"/>
    </row>
    <row r="1652" spans="1:9" x14ac:dyDescent="0.2">
      <c r="A1652" s="165" t="s">
        <v>773</v>
      </c>
      <c r="B1652" s="166"/>
      <c r="C1652" s="166"/>
      <c r="D1652" s="166"/>
      <c r="E1652" s="166"/>
      <c r="F1652" s="166"/>
      <c r="I1652" s="21"/>
    </row>
    <row r="1653" spans="1:9" x14ac:dyDescent="0.2">
      <c r="A1653" s="20" t="s">
        <v>590</v>
      </c>
      <c r="I1653" s="21"/>
    </row>
    <row r="1654" spans="1:9" x14ac:dyDescent="0.2">
      <c r="A1654" s="20" t="s">
        <v>774</v>
      </c>
      <c r="I1654" s="21"/>
    </row>
    <row r="1655" spans="1:9" x14ac:dyDescent="0.2">
      <c r="A1655" s="32" t="s">
        <v>775</v>
      </c>
      <c r="B1655" s="33"/>
      <c r="C1655" s="33"/>
      <c r="D1655" s="33"/>
      <c r="E1655" s="33"/>
      <c r="F1655" s="33"/>
      <c r="G1655" s="33"/>
      <c r="H1655" s="33"/>
      <c r="I1655" s="34"/>
    </row>
    <row r="1658" spans="1:9" x14ac:dyDescent="0.2">
      <c r="A1658" s="337" t="s">
        <v>24</v>
      </c>
      <c r="B1658" s="631" t="s">
        <v>591</v>
      </c>
    </row>
    <row r="1659" spans="1:9" x14ac:dyDescent="0.2">
      <c r="A1659" s="117" t="s">
        <v>14</v>
      </c>
      <c r="B1659" s="61" t="s">
        <v>709</v>
      </c>
      <c r="C1659" s="187" t="s">
        <v>26</v>
      </c>
    </row>
    <row r="1660" spans="1:9" x14ac:dyDescent="0.2">
      <c r="A1660" s="58" t="s">
        <v>27</v>
      </c>
      <c r="B1660" s="141">
        <v>2016</v>
      </c>
      <c r="C1660" s="57">
        <v>2017</v>
      </c>
      <c r="D1660" s="75">
        <v>2018</v>
      </c>
      <c r="E1660" s="57">
        <v>2019</v>
      </c>
      <c r="F1660" s="57">
        <v>2020</v>
      </c>
      <c r="G1660" s="57">
        <v>2021</v>
      </c>
      <c r="H1660" s="57">
        <v>2021</v>
      </c>
    </row>
    <row r="1661" spans="1:9" x14ac:dyDescent="0.2">
      <c r="A1661" s="22" t="s">
        <v>28</v>
      </c>
      <c r="B1661" s="29">
        <v>250</v>
      </c>
      <c r="C1661" s="29">
        <v>250</v>
      </c>
      <c r="D1661" s="29">
        <v>300</v>
      </c>
      <c r="E1661" s="29">
        <v>300</v>
      </c>
      <c r="F1661" s="23">
        <v>300</v>
      </c>
      <c r="G1661" s="22">
        <v>337.5</v>
      </c>
      <c r="H1661" s="22">
        <v>337.5</v>
      </c>
    </row>
    <row r="1662" spans="1:9" x14ac:dyDescent="0.2">
      <c r="A1662" s="22" t="s">
        <v>29</v>
      </c>
      <c r="B1662" s="29">
        <v>-415.21000000000004</v>
      </c>
      <c r="C1662" s="29">
        <f>B1665+C1661+60+150+114</f>
        <v>-128.19000000000005</v>
      </c>
      <c r="D1662" s="29">
        <f>C1665+D1661</f>
        <v>-129.54000000000008</v>
      </c>
      <c r="E1662" s="29">
        <f>E1661+D1665</f>
        <v>5.0099999999999341</v>
      </c>
      <c r="F1662" s="29">
        <f>E1665+F1661</f>
        <v>84.089999999999947</v>
      </c>
      <c r="G1662" s="29">
        <f>G1661+F1665</f>
        <v>175.66999999999996</v>
      </c>
      <c r="H1662" s="29">
        <f>H1661+G1665</f>
        <v>214.65699999999998</v>
      </c>
    </row>
    <row r="1663" spans="1:9" x14ac:dyDescent="0.2">
      <c r="A1663" s="22" t="s">
        <v>30</v>
      </c>
      <c r="B1663" s="190"/>
      <c r="C1663" s="189" t="s">
        <v>594</v>
      </c>
      <c r="D1663" s="190" t="s">
        <v>595</v>
      </c>
      <c r="E1663" s="190" t="s">
        <v>596</v>
      </c>
      <c r="F1663" s="190" t="s">
        <v>599</v>
      </c>
      <c r="G1663" s="190" t="s">
        <v>601</v>
      </c>
      <c r="H1663" s="190" t="s">
        <v>807</v>
      </c>
    </row>
    <row r="1664" spans="1:9" x14ac:dyDescent="0.2">
      <c r="A1664" s="22" t="s">
        <v>31</v>
      </c>
      <c r="B1664" s="29">
        <v>286.98</v>
      </c>
      <c r="C1664" s="29">
        <v>301.35000000000002</v>
      </c>
      <c r="D1664" s="29">
        <v>165.45</v>
      </c>
      <c r="E1664" s="29">
        <v>220.92</v>
      </c>
      <c r="F1664" s="23">
        <v>245.92</v>
      </c>
      <c r="G1664" s="22">
        <v>298.51299999999998</v>
      </c>
      <c r="H1664" s="22"/>
    </row>
    <row r="1665" spans="1:8" x14ac:dyDescent="0.2">
      <c r="A1665" s="22" t="s">
        <v>32</v>
      </c>
      <c r="B1665" s="29">
        <f>B1662-B1664</f>
        <v>-702.19</v>
      </c>
      <c r="C1665" s="29">
        <f t="shared" ref="C1665:D1665" si="60">C1662-C1664</f>
        <v>-429.54000000000008</v>
      </c>
      <c r="D1665" s="29">
        <f t="shared" si="60"/>
        <v>-294.99000000000007</v>
      </c>
      <c r="E1665" s="29">
        <f>E1662-E1664</f>
        <v>-215.91000000000005</v>
      </c>
      <c r="F1665" s="29">
        <f>F1662-F1664</f>
        <v>-161.83000000000004</v>
      </c>
      <c r="G1665" s="23">
        <f>G1662-G1664</f>
        <v>-122.84300000000002</v>
      </c>
      <c r="H1665" s="22"/>
    </row>
    <row r="1666" spans="1:8" x14ac:dyDescent="0.2">
      <c r="A1666" s="55" t="s">
        <v>33</v>
      </c>
      <c r="B1666" s="63">
        <v>2018</v>
      </c>
      <c r="C1666" s="63">
        <v>2018</v>
      </c>
      <c r="D1666" s="63">
        <v>2019</v>
      </c>
      <c r="E1666" s="63">
        <v>2020</v>
      </c>
      <c r="F1666" s="63">
        <v>2021</v>
      </c>
      <c r="G1666" s="63">
        <v>2022</v>
      </c>
      <c r="H1666" s="63">
        <v>2023</v>
      </c>
    </row>
    <row r="1667" spans="1:8" x14ac:dyDescent="0.2">
      <c r="A1667" s="55" t="s">
        <v>593</v>
      </c>
      <c r="B1667" s="94"/>
      <c r="C1667" s="94"/>
      <c r="D1667" s="94"/>
      <c r="E1667" s="94"/>
      <c r="F1667" s="94"/>
      <c r="G1667" s="30"/>
      <c r="H1667" s="31"/>
    </row>
    <row r="1668" spans="1:8" x14ac:dyDescent="0.2">
      <c r="A1668" s="20" t="s">
        <v>597</v>
      </c>
      <c r="B1668" s="191"/>
      <c r="C1668" s="191"/>
      <c r="D1668" s="191"/>
      <c r="E1668" s="191"/>
      <c r="F1668" s="191"/>
      <c r="H1668" s="21"/>
    </row>
    <row r="1669" spans="1:8" x14ac:dyDescent="0.2">
      <c r="A1669" s="20" t="s">
        <v>598</v>
      </c>
      <c r="B1669" s="191"/>
      <c r="C1669" s="191"/>
      <c r="D1669" s="191"/>
      <c r="E1669" s="191"/>
      <c r="F1669" s="191"/>
      <c r="H1669" s="21"/>
    </row>
    <row r="1670" spans="1:8" x14ac:dyDescent="0.2">
      <c r="A1670" s="20" t="s">
        <v>600</v>
      </c>
      <c r="B1670" s="191"/>
      <c r="C1670" s="191"/>
      <c r="D1670" s="191"/>
      <c r="E1670" s="191"/>
      <c r="F1670" s="191"/>
      <c r="H1670" s="21"/>
    </row>
    <row r="1671" spans="1:8" x14ac:dyDescent="0.2">
      <c r="A1671" s="20" t="s">
        <v>602</v>
      </c>
      <c r="B1671" s="191"/>
      <c r="C1671" s="191"/>
      <c r="D1671" s="191"/>
      <c r="E1671" s="191"/>
      <c r="F1671" s="191"/>
      <c r="H1671" s="21"/>
    </row>
    <row r="1672" spans="1:8" x14ac:dyDescent="0.2">
      <c r="A1672" s="20" t="s">
        <v>808</v>
      </c>
      <c r="B1672" s="191"/>
      <c r="C1672" s="191"/>
      <c r="D1672" s="191"/>
      <c r="E1672" s="191"/>
      <c r="F1672" s="191"/>
      <c r="H1672" s="21"/>
    </row>
    <row r="1673" spans="1:8" x14ac:dyDescent="0.2">
      <c r="A1673" s="32" t="s">
        <v>592</v>
      </c>
      <c r="B1673" s="192"/>
      <c r="C1673" s="192"/>
      <c r="D1673" s="192"/>
      <c r="E1673" s="192"/>
      <c r="F1673" s="192"/>
      <c r="G1673" s="33"/>
      <c r="H1673" s="34"/>
    </row>
    <row r="1674" spans="1:8" x14ac:dyDescent="0.2">
      <c r="A1674" s="18"/>
      <c r="B1674" s="18"/>
    </row>
    <row r="1675" spans="1:8" x14ac:dyDescent="0.2">
      <c r="A1675" s="117" t="s">
        <v>14</v>
      </c>
      <c r="B1675" s="61" t="s">
        <v>708</v>
      </c>
      <c r="C1675" s="187" t="s">
        <v>26</v>
      </c>
    </row>
    <row r="1676" spans="1:8" x14ac:dyDescent="0.2">
      <c r="A1676" s="58" t="s">
        <v>27</v>
      </c>
      <c r="B1676" s="57">
        <v>2016</v>
      </c>
      <c r="C1676" s="57">
        <v>2017</v>
      </c>
      <c r="D1676" s="75">
        <v>2018</v>
      </c>
      <c r="E1676" s="57">
        <v>2019</v>
      </c>
      <c r="F1676" s="57">
        <v>2020</v>
      </c>
      <c r="G1676" s="57">
        <v>2021</v>
      </c>
      <c r="H1676" s="57">
        <v>2022</v>
      </c>
    </row>
    <row r="1677" spans="1:8" x14ac:dyDescent="0.2">
      <c r="A1677" s="22" t="s">
        <v>28</v>
      </c>
      <c r="B1677" s="29">
        <v>85</v>
      </c>
      <c r="C1677" s="29">
        <v>85</v>
      </c>
      <c r="D1677" s="29">
        <v>85</v>
      </c>
      <c r="E1677" s="29">
        <v>85</v>
      </c>
      <c r="F1677" s="23">
        <v>85</v>
      </c>
      <c r="G1677" s="23">
        <v>85</v>
      </c>
      <c r="H1677" s="23">
        <v>85</v>
      </c>
    </row>
    <row r="1678" spans="1:8" x14ac:dyDescent="0.2">
      <c r="A1678" s="22" t="s">
        <v>29</v>
      </c>
      <c r="B1678" s="29">
        <f>B1677*1.5</f>
        <v>127.5</v>
      </c>
      <c r="C1678" s="29">
        <f>C1677+0.5*B1677-12.75</f>
        <v>114.75</v>
      </c>
      <c r="D1678" s="29">
        <f>D1677+0.4*B1677-12.75</f>
        <v>106.25</v>
      </c>
      <c r="E1678" s="29">
        <f>E1677+0.4*C1677</f>
        <v>119</v>
      </c>
      <c r="F1678" s="29">
        <f>F1677+0.4*D1677</f>
        <v>119</v>
      </c>
      <c r="G1678" s="29">
        <f>G1677+0.4*E1677</f>
        <v>119</v>
      </c>
      <c r="H1678" s="29">
        <f>H1677+0.4*F1677</f>
        <v>119</v>
      </c>
    </row>
    <row r="1679" spans="1:8" x14ac:dyDescent="0.2">
      <c r="A1679" s="22" t="s">
        <v>30</v>
      </c>
      <c r="B1679" s="27" t="s">
        <v>603</v>
      </c>
      <c r="C1679" s="27" t="s">
        <v>606</v>
      </c>
      <c r="D1679" s="27" t="s">
        <v>607</v>
      </c>
      <c r="E1679" s="27" t="s">
        <v>608</v>
      </c>
      <c r="F1679" s="27" t="s">
        <v>608</v>
      </c>
      <c r="G1679" s="27" t="s">
        <v>608</v>
      </c>
      <c r="H1679" s="27" t="s">
        <v>608</v>
      </c>
    </row>
    <row r="1680" spans="1:8" x14ac:dyDescent="0.2">
      <c r="A1680" s="22" t="s">
        <v>31</v>
      </c>
      <c r="B1680" s="29">
        <v>52.75</v>
      </c>
      <c r="C1680" s="29">
        <v>52.26</v>
      </c>
      <c r="D1680" s="29">
        <v>30.79</v>
      </c>
      <c r="E1680" s="29">
        <v>31.39</v>
      </c>
      <c r="F1680" s="23">
        <v>14.36</v>
      </c>
      <c r="G1680" s="23">
        <v>13.391</v>
      </c>
      <c r="H1680" s="23"/>
    </row>
    <row r="1681" spans="1:10" x14ac:dyDescent="0.2">
      <c r="A1681" s="22" t="s">
        <v>32</v>
      </c>
      <c r="B1681" s="29">
        <f t="shared" ref="B1681:D1681" si="61">B1678-B1680</f>
        <v>74.75</v>
      </c>
      <c r="C1681" s="29">
        <f t="shared" si="61"/>
        <v>62.49</v>
      </c>
      <c r="D1681" s="29">
        <f t="shared" si="61"/>
        <v>75.460000000000008</v>
      </c>
      <c r="E1681" s="29">
        <f>E1678-E1680</f>
        <v>87.61</v>
      </c>
      <c r="F1681" s="29">
        <f>F1678-F1680</f>
        <v>104.64</v>
      </c>
      <c r="G1681" s="23">
        <f>G1678-G1680</f>
        <v>105.60899999999999</v>
      </c>
      <c r="H1681" s="23"/>
    </row>
    <row r="1682" spans="1:10" x14ac:dyDescent="0.2">
      <c r="A1682" s="55" t="s">
        <v>33</v>
      </c>
      <c r="B1682" s="63">
        <v>2018</v>
      </c>
      <c r="C1682" s="63">
        <v>2019</v>
      </c>
      <c r="D1682" s="194">
        <v>2020</v>
      </c>
      <c r="E1682" s="63">
        <v>2021</v>
      </c>
      <c r="F1682" s="63">
        <v>2022</v>
      </c>
      <c r="G1682" s="63">
        <v>2023</v>
      </c>
      <c r="H1682" s="63">
        <v>2024</v>
      </c>
    </row>
    <row r="1683" spans="1:10" ht="13.15" customHeight="1" x14ac:dyDescent="0.2">
      <c r="A1683" s="55" t="s">
        <v>551</v>
      </c>
      <c r="B1683" s="195"/>
      <c r="C1683" s="195"/>
      <c r="D1683" s="195"/>
      <c r="E1683" s="195"/>
      <c r="F1683" s="195"/>
      <c r="G1683" s="195"/>
      <c r="H1683" s="196"/>
      <c r="I1683" s="77"/>
      <c r="J1683" s="77"/>
    </row>
    <row r="1684" spans="1:10" x14ac:dyDescent="0.2">
      <c r="A1684" s="87" t="s">
        <v>552</v>
      </c>
      <c r="B1684" s="193"/>
      <c r="C1684" s="193"/>
      <c r="D1684" s="193"/>
      <c r="E1684" s="193"/>
      <c r="F1684" s="193"/>
      <c r="G1684" s="193"/>
      <c r="H1684" s="197"/>
      <c r="I1684" s="193"/>
      <c r="J1684" s="193"/>
    </row>
    <row r="1685" spans="1:10" x14ac:dyDescent="0.2">
      <c r="A1685" s="20" t="s">
        <v>604</v>
      </c>
      <c r="H1685" s="21"/>
    </row>
    <row r="1686" spans="1:10" x14ac:dyDescent="0.2">
      <c r="A1686" s="32" t="s">
        <v>605</v>
      </c>
      <c r="B1686" s="33"/>
      <c r="C1686" s="33"/>
      <c r="D1686" s="33"/>
      <c r="E1686" s="33"/>
      <c r="F1686" s="33"/>
      <c r="G1686" s="33"/>
      <c r="H1686" s="34"/>
    </row>
    <row r="1688" spans="1:10" x14ac:dyDescent="0.2">
      <c r="A1688" s="117" t="s">
        <v>14</v>
      </c>
      <c r="B1688" s="61" t="s">
        <v>82</v>
      </c>
      <c r="C1688" s="187" t="s">
        <v>26</v>
      </c>
    </row>
    <row r="1689" spans="1:10" x14ac:dyDescent="0.2">
      <c r="A1689" s="58" t="s">
        <v>27</v>
      </c>
      <c r="B1689" s="57">
        <v>2016</v>
      </c>
      <c r="C1689" s="57">
        <v>2017</v>
      </c>
      <c r="D1689" s="75">
        <v>2018</v>
      </c>
      <c r="E1689" s="57">
        <v>2019</v>
      </c>
      <c r="F1689" s="57">
        <v>2020</v>
      </c>
      <c r="G1689" s="57">
        <v>2021</v>
      </c>
      <c r="H1689" s="57">
        <v>2022</v>
      </c>
    </row>
    <row r="1690" spans="1:10" x14ac:dyDescent="0.2">
      <c r="A1690" s="22" t="s">
        <v>28</v>
      </c>
      <c r="B1690" s="29">
        <v>100</v>
      </c>
      <c r="C1690" s="29">
        <v>100</v>
      </c>
      <c r="D1690" s="29">
        <v>100</v>
      </c>
      <c r="E1690" s="29">
        <v>100</v>
      </c>
      <c r="F1690" s="23">
        <v>84.1</v>
      </c>
      <c r="G1690" s="23">
        <v>84.1</v>
      </c>
      <c r="H1690" s="23">
        <v>84.1</v>
      </c>
    </row>
    <row r="1691" spans="1:10" x14ac:dyDescent="0.2">
      <c r="A1691" s="22" t="s">
        <v>29</v>
      </c>
      <c r="B1691" s="29">
        <f>B1690*1.1</f>
        <v>110.00000000000001</v>
      </c>
      <c r="C1691" s="29">
        <f>C1690*1.1-30</f>
        <v>80.000000000000014</v>
      </c>
      <c r="D1691" s="29">
        <f>D1690+C1694+0.1*B1690</f>
        <v>92.590000000000018</v>
      </c>
      <c r="E1691" s="29">
        <v>100</v>
      </c>
      <c r="F1691" s="29">
        <f t="shared" ref="F1691:G1691" si="62">F1690+0.1*D1690</f>
        <v>94.1</v>
      </c>
      <c r="G1691" s="29">
        <f t="shared" si="62"/>
        <v>94.1</v>
      </c>
      <c r="H1691" s="29"/>
    </row>
    <row r="1692" spans="1:10" x14ac:dyDescent="0.2">
      <c r="A1692" s="22" t="s">
        <v>30</v>
      </c>
      <c r="B1692" s="27" t="s">
        <v>610</v>
      </c>
      <c r="C1692" s="27" t="s">
        <v>611</v>
      </c>
      <c r="D1692" s="188" t="s">
        <v>594</v>
      </c>
      <c r="E1692" s="27"/>
      <c r="F1692" s="27" t="s">
        <v>613</v>
      </c>
      <c r="G1692" s="27" t="s">
        <v>613</v>
      </c>
      <c r="H1692" s="27"/>
    </row>
    <row r="1693" spans="1:10" x14ac:dyDescent="0.2">
      <c r="A1693" s="22" t="s">
        <v>31</v>
      </c>
      <c r="B1693" s="29">
        <v>82.51</v>
      </c>
      <c r="C1693" s="29">
        <v>97.41</v>
      </c>
      <c r="D1693" s="29">
        <v>61.54</v>
      </c>
      <c r="E1693" s="29">
        <v>60.49</v>
      </c>
      <c r="F1693" s="23">
        <v>42.46</v>
      </c>
      <c r="G1693" s="23">
        <v>42.97</v>
      </c>
      <c r="H1693" s="23"/>
    </row>
    <row r="1694" spans="1:10" x14ac:dyDescent="0.2">
      <c r="A1694" s="22" t="s">
        <v>32</v>
      </c>
      <c r="B1694" s="29">
        <f t="shared" ref="B1694:D1694" si="63">B1691-B1693</f>
        <v>27.490000000000009</v>
      </c>
      <c r="C1694" s="29">
        <f t="shared" si="63"/>
        <v>-17.409999999999982</v>
      </c>
      <c r="D1694" s="29">
        <f t="shared" si="63"/>
        <v>31.050000000000018</v>
      </c>
      <c r="E1694" s="29">
        <f>E1691-E1693</f>
        <v>39.51</v>
      </c>
      <c r="F1694" s="29">
        <f>F1691-F1693</f>
        <v>51.639999999999993</v>
      </c>
      <c r="G1694" s="23">
        <f>G1691-G1693</f>
        <v>51.129999999999995</v>
      </c>
      <c r="H1694" s="23"/>
    </row>
    <row r="1695" spans="1:10" x14ac:dyDescent="0.2">
      <c r="A1695" s="55" t="s">
        <v>33</v>
      </c>
      <c r="B1695" s="63">
        <v>2018</v>
      </c>
      <c r="C1695" s="63">
        <v>2018</v>
      </c>
      <c r="D1695" s="194">
        <v>2020</v>
      </c>
      <c r="E1695" s="63">
        <v>2021</v>
      </c>
      <c r="F1695" s="63"/>
      <c r="G1695" s="63"/>
      <c r="H1695" s="63"/>
    </row>
    <row r="1696" spans="1:10" x14ac:dyDescent="0.2">
      <c r="A1696" s="55" t="s">
        <v>609</v>
      </c>
      <c r="B1696" s="195"/>
      <c r="C1696" s="195"/>
      <c r="D1696" s="195"/>
      <c r="E1696" s="195"/>
      <c r="F1696" s="195"/>
      <c r="G1696" s="195"/>
      <c r="H1696" s="196"/>
    </row>
    <row r="1697" spans="1:8" x14ac:dyDescent="0.2">
      <c r="A1697" s="20" t="s">
        <v>614</v>
      </c>
      <c r="B1697" s="77"/>
      <c r="C1697" s="77"/>
      <c r="D1697" s="77"/>
      <c r="E1697" s="77"/>
      <c r="F1697" s="77"/>
      <c r="G1697" s="77"/>
      <c r="H1697" s="198"/>
    </row>
    <row r="1698" spans="1:8" x14ac:dyDescent="0.2">
      <c r="A1698" s="32" t="s">
        <v>612</v>
      </c>
      <c r="B1698" s="33"/>
      <c r="C1698" s="33"/>
      <c r="D1698" s="33"/>
      <c r="E1698" s="33"/>
      <c r="F1698" s="33"/>
      <c r="G1698" s="33"/>
      <c r="H1698" s="34"/>
    </row>
    <row r="1700" spans="1:8" x14ac:dyDescent="0.2">
      <c r="A1700" s="401" t="s">
        <v>14</v>
      </c>
      <c r="B1700" s="402" t="s">
        <v>87</v>
      </c>
      <c r="C1700" s="403" t="s">
        <v>26</v>
      </c>
      <c r="D1700" s="362"/>
      <c r="E1700" s="362"/>
      <c r="F1700" s="362"/>
      <c r="G1700" s="362"/>
      <c r="H1700" s="362"/>
    </row>
    <row r="1701" spans="1:8" x14ac:dyDescent="0.2">
      <c r="A1701" s="404" t="s">
        <v>27</v>
      </c>
      <c r="B1701" s="379">
        <v>2016</v>
      </c>
      <c r="C1701" s="379">
        <v>2017</v>
      </c>
      <c r="D1701" s="552">
        <v>2018</v>
      </c>
      <c r="E1701" s="379">
        <v>2019</v>
      </c>
      <c r="F1701" s="379">
        <v>2020</v>
      </c>
      <c r="G1701" s="379">
        <v>2021</v>
      </c>
      <c r="H1701" s="379">
        <v>2022</v>
      </c>
    </row>
    <row r="1702" spans="1:8" x14ac:dyDescent="0.2">
      <c r="A1702" s="391" t="s">
        <v>28</v>
      </c>
      <c r="B1702" s="386">
        <v>50</v>
      </c>
      <c r="C1702" s="386">
        <v>50</v>
      </c>
      <c r="D1702" s="386">
        <v>50</v>
      </c>
      <c r="E1702" s="386">
        <v>50</v>
      </c>
      <c r="F1702" s="386">
        <v>50</v>
      </c>
      <c r="G1702" s="386">
        <v>50</v>
      </c>
      <c r="H1702" s="386">
        <v>50</v>
      </c>
    </row>
    <row r="1703" spans="1:8" x14ac:dyDescent="0.2">
      <c r="A1703" s="391" t="s">
        <v>29</v>
      </c>
      <c r="B1703" s="386"/>
      <c r="C1703" s="386">
        <f>C1702+B1706</f>
        <v>-57.97999999999999</v>
      </c>
      <c r="D1703" s="386">
        <f>D1702+C1706</f>
        <v>-158.07</v>
      </c>
      <c r="E1703" s="386">
        <f>D1706+E1702</f>
        <v>-175.964</v>
      </c>
      <c r="F1703" s="386">
        <f>E1706+F1702</f>
        <v>-177.393</v>
      </c>
      <c r="G1703" s="386">
        <f>F1706+G1702</f>
        <v>-162.78800000000001</v>
      </c>
      <c r="H1703" s="386">
        <f>G1706+H1702</f>
        <v>-144.55900000000003</v>
      </c>
    </row>
    <row r="1704" spans="1:8" x14ac:dyDescent="0.2">
      <c r="A1704" s="391" t="s">
        <v>30</v>
      </c>
      <c r="B1704" s="387"/>
      <c r="C1704" s="553" t="s">
        <v>594</v>
      </c>
      <c r="D1704" s="405" t="s">
        <v>595</v>
      </c>
      <c r="E1704" s="553" t="s">
        <v>596</v>
      </c>
      <c r="F1704" s="553" t="s">
        <v>599</v>
      </c>
      <c r="G1704" s="553" t="s">
        <v>601</v>
      </c>
      <c r="H1704" s="553" t="s">
        <v>807</v>
      </c>
    </row>
    <row r="1705" spans="1:8" x14ac:dyDescent="0.2">
      <c r="A1705" s="391" t="s">
        <v>31</v>
      </c>
      <c r="B1705" s="386">
        <v>157.97999999999999</v>
      </c>
      <c r="C1705" s="386">
        <v>150.09</v>
      </c>
      <c r="D1705" s="386">
        <v>67.894000000000005</v>
      </c>
      <c r="E1705" s="386">
        <v>51.429000000000002</v>
      </c>
      <c r="F1705" s="51">
        <v>35.395000000000003</v>
      </c>
      <c r="G1705" s="51">
        <v>31.771000000000001</v>
      </c>
      <c r="H1705" s="51"/>
    </row>
    <row r="1706" spans="1:8" x14ac:dyDescent="0.2">
      <c r="A1706" s="391" t="s">
        <v>32</v>
      </c>
      <c r="B1706" s="386">
        <f>B1702-B1705</f>
        <v>-107.97999999999999</v>
      </c>
      <c r="C1706" s="386">
        <f>C1703-C1705</f>
        <v>-208.07</v>
      </c>
      <c r="D1706" s="386">
        <f>D1703-D1705</f>
        <v>-225.964</v>
      </c>
      <c r="E1706" s="386">
        <f>E1703-E1705</f>
        <v>-227.393</v>
      </c>
      <c r="F1706" s="386">
        <f>F1703-F1705</f>
        <v>-212.78800000000001</v>
      </c>
      <c r="G1706" s="386">
        <f>G1703-G1705</f>
        <v>-194.55900000000003</v>
      </c>
      <c r="H1706" s="386"/>
    </row>
    <row r="1707" spans="1:8" x14ac:dyDescent="0.2">
      <c r="A1707" s="406" t="s">
        <v>33</v>
      </c>
      <c r="B1707" s="383">
        <v>2017</v>
      </c>
      <c r="C1707" s="383">
        <v>2018</v>
      </c>
      <c r="D1707" s="383">
        <v>2019</v>
      </c>
      <c r="E1707" s="383">
        <v>2020</v>
      </c>
      <c r="F1707" s="383">
        <v>2021</v>
      </c>
      <c r="G1707" s="383">
        <v>2022</v>
      </c>
      <c r="H1707" s="383">
        <v>2023</v>
      </c>
    </row>
    <row r="1708" spans="1:8" x14ac:dyDescent="0.2">
      <c r="A1708" s="406" t="s">
        <v>809</v>
      </c>
      <c r="B1708" s="554"/>
      <c r="C1708" s="554"/>
      <c r="D1708" s="554"/>
      <c r="E1708" s="554"/>
      <c r="F1708" s="554"/>
      <c r="G1708" s="554"/>
      <c r="H1708" s="555"/>
    </row>
    <row r="1709" spans="1:8" x14ac:dyDescent="0.2">
      <c r="A1709" s="409" t="s">
        <v>597</v>
      </c>
      <c r="B1709" s="556"/>
      <c r="C1709" s="556"/>
      <c r="D1709" s="556"/>
      <c r="E1709" s="556"/>
      <c r="F1709" s="556"/>
      <c r="G1709" s="556"/>
      <c r="H1709" s="557"/>
    </row>
    <row r="1710" spans="1:8" x14ac:dyDescent="0.2">
      <c r="A1710" s="409" t="s">
        <v>598</v>
      </c>
      <c r="B1710" s="362"/>
      <c r="C1710" s="362"/>
      <c r="D1710" s="362"/>
      <c r="E1710" s="362"/>
      <c r="F1710" s="362"/>
      <c r="G1710" s="362"/>
      <c r="H1710" s="558"/>
    </row>
    <row r="1711" spans="1:8" x14ac:dyDescent="0.2">
      <c r="A1711" s="409" t="s">
        <v>600</v>
      </c>
      <c r="B1711" s="362"/>
      <c r="C1711" s="362"/>
      <c r="D1711" s="362"/>
      <c r="E1711" s="362"/>
      <c r="F1711" s="362"/>
      <c r="G1711" s="362"/>
      <c r="H1711" s="558"/>
    </row>
    <row r="1712" spans="1:8" x14ac:dyDescent="0.2">
      <c r="A1712" s="409" t="s">
        <v>602</v>
      </c>
      <c r="B1712" s="362"/>
      <c r="C1712" s="362"/>
      <c r="D1712" s="362"/>
      <c r="E1712" s="362"/>
      <c r="F1712" s="362"/>
      <c r="G1712" s="362"/>
      <c r="H1712" s="558"/>
    </row>
    <row r="1713" spans="1:8" x14ac:dyDescent="0.2">
      <c r="A1713" s="359" t="s">
        <v>808</v>
      </c>
      <c r="B1713" s="559"/>
      <c r="C1713" s="559"/>
      <c r="D1713" s="559"/>
      <c r="E1713" s="559"/>
      <c r="F1713" s="559"/>
      <c r="G1713" s="559"/>
      <c r="H1713" s="560"/>
    </row>
  </sheetData>
  <mergeCells count="69">
    <mergeCell ref="A1168:G1168"/>
    <mergeCell ref="A1167:G1167"/>
    <mergeCell ref="A1396:F1396"/>
    <mergeCell ref="A550:H550"/>
    <mergeCell ref="E56:I56"/>
    <mergeCell ref="C74:I74"/>
    <mergeCell ref="C88:I88"/>
    <mergeCell ref="C103:I103"/>
    <mergeCell ref="A192:F192"/>
    <mergeCell ref="A136:G136"/>
    <mergeCell ref="A149:G149"/>
    <mergeCell ref="A160:G160"/>
    <mergeCell ref="A60:F60"/>
    <mergeCell ref="A61:F61"/>
    <mergeCell ref="A564:D564"/>
    <mergeCell ref="A525:I525"/>
    <mergeCell ref="A1530:E1530"/>
    <mergeCell ref="A1552:E1552"/>
    <mergeCell ref="A724:G724"/>
    <mergeCell ref="A182:I182"/>
    <mergeCell ref="A193:I193"/>
    <mergeCell ref="A456:F456"/>
    <mergeCell ref="A397:F397"/>
    <mergeCell ref="A442:F442"/>
    <mergeCell ref="A261:M261"/>
    <mergeCell ref="A354:G354"/>
    <mergeCell ref="A349:G349"/>
    <mergeCell ref="A365:F365"/>
    <mergeCell ref="A379:F379"/>
    <mergeCell ref="A272:M272"/>
    <mergeCell ref="A717:F717"/>
    <mergeCell ref="A719:F719"/>
    <mergeCell ref="A1550:E1550"/>
    <mergeCell ref="A1551:E1551"/>
    <mergeCell ref="A1582:E1582"/>
    <mergeCell ref="A576:E576"/>
    <mergeCell ref="A720:F720"/>
    <mergeCell ref="A635:J635"/>
    <mergeCell ref="A721:G721"/>
    <mergeCell ref="A1303:E1303"/>
    <mergeCell ref="A1321:F1321"/>
    <mergeCell ref="A1181:H1181"/>
    <mergeCell ref="A1182:H1182"/>
    <mergeCell ref="A1183:H1183"/>
    <mergeCell ref="A1184:H1184"/>
    <mergeCell ref="A864:N864"/>
    <mergeCell ref="A1165:G1165"/>
    <mergeCell ref="A1166:G1166"/>
    <mergeCell ref="A1464:I1464"/>
    <mergeCell ref="A1468:I1468"/>
    <mergeCell ref="A1515:G1515"/>
    <mergeCell ref="A1466:I1466"/>
    <mergeCell ref="A1465:I1465"/>
    <mergeCell ref="A1397:F1397"/>
    <mergeCell ref="A621:J621"/>
    <mergeCell ref="A1572:E1572"/>
    <mergeCell ref="A1364:G1364"/>
    <mergeCell ref="A726:G726"/>
    <mergeCell ref="A725:G725"/>
    <mergeCell ref="A723:G723"/>
    <mergeCell ref="A722:G722"/>
    <mergeCell ref="A1322:F1322"/>
    <mergeCell ref="A1395:F1395"/>
    <mergeCell ref="A1394:F1394"/>
    <mergeCell ref="A1540:E1540"/>
    <mergeCell ref="A1467:I1467"/>
    <mergeCell ref="A1562:E1562"/>
    <mergeCell ref="A1528:E1528"/>
    <mergeCell ref="A1529:E1529"/>
  </mergeCells>
  <phoneticPr fontId="13" type="noConversion"/>
  <pageMargins left="0.7" right="0.7" top="0.75" bottom="0.75" header="0.3" footer="0.3"/>
  <pageSetup paperSize="9" scale="10" orientation="landscape" r:id="rId1"/>
  <ignoredErrors>
    <ignoredError sqref="F1279 D1241 K871 E1662:F1662 D548 H1431 H102 D1405" formula="1"/>
    <ignoredError sqref="H1489 I597:J597 I627:J627 H654 C640 H609 H1473" unlockedFormula="1"/>
    <ignoredError sqref="C1329 D1403:E14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2022-10-18T12:58:20Z</dcterms:modified>
</cp:coreProperties>
</file>