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tunadata\Compliance\2021_SharedDocs\ComplianceTables\COC-304-2021\"/>
    </mc:Choice>
  </mc:AlternateContent>
  <xr:revisionPtr revIDLastSave="0" documentId="13_ncr:1_{7BBF3DFB-7814-4AA3-B6C0-79F93FD187F4}" xr6:coauthVersionLast="47" xr6:coauthVersionMax="47" xr10:uidLastSave="{00000000-0000-0000-0000-000000000000}"/>
  <bookViews>
    <workbookView xWindow="-108" yWindow="-108" windowWidth="30936" windowHeight="16896" xr2:uid="{00000000-000D-0000-FFFF-FFFF00000000}"/>
  </bookViews>
  <sheets>
    <sheet name="Adjustement data" sheetId="1" r:id="rId1"/>
  </sheets>
  <definedNames>
    <definedName name="_xlnm.Print_Area" localSheetId="0">'Adjustement data'!$A$1:$R$1345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2" i="1" l="1"/>
  <c r="J908" i="1" l="1"/>
  <c r="H1389" i="1"/>
  <c r="H84" i="1" l="1"/>
  <c r="H71" i="1"/>
  <c r="H55" i="1"/>
  <c r="G55" i="1"/>
  <c r="G1077" i="1" l="1"/>
  <c r="F1077" i="1"/>
  <c r="F1080" i="1" s="1"/>
  <c r="E1077" i="1"/>
  <c r="E1080" i="1" s="1"/>
  <c r="D1077" i="1"/>
  <c r="D1080" i="1" s="1"/>
  <c r="C1077" i="1"/>
  <c r="C1080" i="1" s="1"/>
  <c r="B1077" i="1"/>
  <c r="B1080" i="1" s="1"/>
  <c r="E1039" i="1"/>
  <c r="D1039" i="1"/>
  <c r="C1039" i="1"/>
  <c r="B1039" i="1"/>
  <c r="I908" i="1"/>
  <c r="G911" i="1"/>
  <c r="H911" i="1"/>
  <c r="N878" i="1"/>
  <c r="N860" i="1"/>
  <c r="M836" i="1"/>
  <c r="M777" i="1"/>
  <c r="D364" i="1"/>
  <c r="C364" i="1"/>
  <c r="C1244" i="1" l="1"/>
  <c r="C164" i="1"/>
  <c r="C1453" i="1" l="1"/>
  <c r="C1456" i="1" s="1"/>
  <c r="D1453" i="1" s="1"/>
  <c r="D1456" i="1" s="1"/>
  <c r="E1456" i="1"/>
  <c r="F1453" i="1"/>
  <c r="F1456" i="1" s="1"/>
  <c r="G1453" i="1"/>
  <c r="B1453" i="1"/>
  <c r="B1456" i="1" s="1"/>
  <c r="G1440" i="1"/>
  <c r="F1440" i="1"/>
  <c r="F1443" i="1" s="1"/>
  <c r="E1440" i="1"/>
  <c r="E1443" i="1" s="1"/>
  <c r="D1440" i="1"/>
  <c r="D1443" i="1" s="1"/>
  <c r="C1440" i="1"/>
  <c r="C1443" i="1" s="1"/>
  <c r="B1440" i="1"/>
  <c r="B1443" i="1" s="1"/>
  <c r="B1428" i="1"/>
  <c r="C1425" i="1" s="1"/>
  <c r="C1428" i="1" l="1"/>
  <c r="D1425" i="1" s="1"/>
  <c r="D1428" i="1" s="1"/>
  <c r="E1425" i="1" s="1"/>
  <c r="E1428" i="1" s="1"/>
  <c r="F1425" i="1" s="1"/>
  <c r="F1428" i="1" s="1"/>
  <c r="G1425" i="1" s="1"/>
  <c r="G1408" i="1" l="1"/>
  <c r="E1377" i="1"/>
  <c r="F1377" i="1"/>
  <c r="H1356" i="1"/>
  <c r="G1359" i="1"/>
  <c r="H1296" i="1" l="1"/>
  <c r="I510" i="1" l="1"/>
  <c r="H510" i="1"/>
  <c r="F1213" i="1" l="1"/>
  <c r="F1212" i="1" s="1"/>
  <c r="G194" i="1"/>
  <c r="F1172" i="1" l="1"/>
  <c r="F1175" i="1" s="1"/>
  <c r="G1023" i="1"/>
  <c r="F1023" i="1"/>
  <c r="H996" i="1" l="1"/>
  <c r="G996" i="1"/>
  <c r="H984" i="1"/>
  <c r="I965" i="1"/>
  <c r="H965" i="1"/>
  <c r="H968" i="1" s="1"/>
  <c r="H954" i="1"/>
  <c r="I951" i="1" s="1"/>
  <c r="I940" i="1"/>
  <c r="H931" i="1"/>
  <c r="H641" i="1"/>
  <c r="E641" i="1"/>
  <c r="C641" i="1"/>
  <c r="B644" i="1" l="1"/>
  <c r="H921" i="1" l="1"/>
  <c r="J918" i="1" s="1"/>
  <c r="G592" i="1" l="1"/>
  <c r="G609" i="1"/>
  <c r="C538" i="1" l="1"/>
  <c r="H579" i="1"/>
  <c r="I564" i="1"/>
  <c r="H567" i="1"/>
  <c r="B541" i="1" l="1"/>
  <c r="D538" i="1" s="1"/>
  <c r="J526" i="1"/>
  <c r="I526" i="1"/>
  <c r="J510" i="1"/>
  <c r="H501" i="1" l="1"/>
  <c r="J498" i="1"/>
  <c r="H488" i="1"/>
  <c r="F1268" i="1" l="1"/>
  <c r="F1271" i="1" s="1"/>
  <c r="G1268" i="1"/>
  <c r="G1271" i="1" s="1"/>
  <c r="H1268" i="1"/>
  <c r="E1268" i="1"/>
  <c r="E1271" i="1" s="1"/>
  <c r="D1268" i="1"/>
  <c r="D1271" i="1" s="1"/>
  <c r="C1268" i="1"/>
  <c r="C1271" i="1" s="1"/>
  <c r="N833" i="1" l="1"/>
  <c r="N796" i="1"/>
  <c r="F1155" i="1" l="1"/>
  <c r="F1158" i="1" s="1"/>
  <c r="G1155" i="1"/>
  <c r="G1158" i="1" s="1"/>
  <c r="E1155" i="1"/>
  <c r="E1158" i="1" s="1"/>
  <c r="D1155" i="1"/>
  <c r="D1158" i="1" s="1"/>
  <c r="C1155" i="1"/>
  <c r="C1158" i="1" s="1"/>
  <c r="D1151" i="1" l="1"/>
  <c r="C1151" i="1"/>
  <c r="H406" i="1" l="1"/>
  <c r="G380" i="1"/>
  <c r="G334" i="1" l="1"/>
  <c r="H331" i="1"/>
  <c r="H433" i="1"/>
  <c r="H420" i="1"/>
  <c r="H393" i="1"/>
  <c r="H361" i="1"/>
  <c r="L316" i="1" l="1"/>
  <c r="L319" i="1" s="1"/>
  <c r="L301" i="1"/>
  <c r="L304" i="1" s="1"/>
  <c r="L287" i="1"/>
  <c r="L290" i="1" l="1"/>
  <c r="M287" i="1"/>
  <c r="M273" i="1"/>
  <c r="L276" i="1"/>
  <c r="L261" i="1"/>
  <c r="L245" i="1"/>
  <c r="M228" i="1"/>
  <c r="L231" i="1"/>
  <c r="H194" i="1" l="1"/>
  <c r="G197" i="1"/>
  <c r="D12" i="1"/>
  <c r="C12" i="1"/>
  <c r="C671" i="1" l="1"/>
  <c r="B671" i="1"/>
  <c r="B691" i="1"/>
  <c r="C691" i="1"/>
  <c r="C694" i="1" s="1"/>
  <c r="D691" i="1" s="1"/>
  <c r="D694" i="1" s="1"/>
  <c r="E691" i="1" s="1"/>
  <c r="E694" i="1" s="1"/>
  <c r="F691" i="1" s="1"/>
  <c r="F694" i="1" s="1"/>
  <c r="G691" i="1" s="1"/>
  <c r="B684" i="1"/>
  <c r="C681" i="1" s="1"/>
  <c r="C684" i="1" s="1"/>
  <c r="D681" i="1" s="1"/>
  <c r="C662" i="1" l="1"/>
  <c r="D476" i="1" l="1"/>
  <c r="H150" i="1" l="1"/>
  <c r="H153" i="1" s="1"/>
  <c r="H139" i="1"/>
  <c r="H142" i="1" s="1"/>
  <c r="H126" i="1"/>
  <c r="H129" i="1" l="1"/>
  <c r="H116" i="1"/>
  <c r="H119" i="1" s="1"/>
  <c r="G98" i="1" l="1"/>
  <c r="G84" i="1"/>
  <c r="G71" i="1"/>
  <c r="D23" i="1" l="1"/>
  <c r="E9" i="1"/>
  <c r="G1286" i="1" l="1"/>
  <c r="J1137" i="1" l="1"/>
  <c r="J1136" i="1" s="1"/>
  <c r="I1137" i="1"/>
  <c r="I1136" i="1" s="1"/>
  <c r="I1139" i="1" s="1"/>
  <c r="I1120" i="1" l="1"/>
  <c r="I1122" i="1"/>
  <c r="I1090" i="1"/>
  <c r="B1009" i="1" l="1"/>
  <c r="C1006" i="1" s="1"/>
  <c r="C1009" i="1" s="1"/>
  <c r="D1006" i="1" s="1"/>
  <c r="D1009" i="1" s="1"/>
  <c r="E1006" i="1" s="1"/>
  <c r="E1009" i="1" s="1"/>
  <c r="F1006" i="1" s="1"/>
  <c r="F1009" i="1" s="1"/>
  <c r="G1006" i="1" s="1"/>
  <c r="K748" i="1" l="1"/>
  <c r="K751" i="1" s="1"/>
  <c r="L748" i="1" s="1"/>
  <c r="L751" i="1" s="1"/>
  <c r="M748" i="1" s="1"/>
  <c r="M751" i="1" s="1"/>
  <c r="N748" i="1" s="1"/>
  <c r="H748" i="1"/>
  <c r="H751" i="1" s="1"/>
  <c r="I748" i="1" s="1"/>
  <c r="I751" i="1" s="1"/>
  <c r="J748" i="1" s="1"/>
  <c r="J751" i="1" s="1"/>
  <c r="H1198" i="1" l="1"/>
  <c r="D1198" i="1"/>
  <c r="D1201" i="1" s="1"/>
  <c r="C1198" i="1"/>
  <c r="C1201" i="1" s="1"/>
  <c r="E1198" i="1" s="1"/>
  <c r="E1201" i="1" s="1"/>
  <c r="G116" i="1" l="1"/>
  <c r="G119" i="1" s="1"/>
  <c r="F623" i="1" l="1"/>
  <c r="F626" i="1" s="1"/>
  <c r="G623" i="1" s="1"/>
  <c r="F609" i="1"/>
  <c r="E609" i="1"/>
  <c r="D609" i="1"/>
  <c r="C606" i="1"/>
  <c r="C609" i="1" s="1"/>
  <c r="B606" i="1"/>
  <c r="B609" i="1" s="1"/>
  <c r="F592" i="1"/>
  <c r="E589" i="1"/>
  <c r="D589" i="1"/>
  <c r="D592" i="1" s="1"/>
  <c r="C589" i="1"/>
  <c r="C592" i="1" s="1"/>
  <c r="B589" i="1"/>
  <c r="B592" i="1" s="1"/>
  <c r="B1137" i="1" l="1"/>
  <c r="B1120" i="1"/>
  <c r="B245" i="1"/>
  <c r="B129" i="1"/>
  <c r="B23" i="1"/>
  <c r="H940" i="1" l="1"/>
  <c r="H943" i="1" s="1"/>
  <c r="F436" i="1" l="1"/>
  <c r="G433" i="1"/>
  <c r="G436" i="1" s="1"/>
  <c r="G420" i="1"/>
  <c r="G423" i="1" s="1"/>
  <c r="F423" i="1"/>
  <c r="F409" i="1"/>
  <c r="G406" i="1"/>
  <c r="G409" i="1" s="1"/>
  <c r="F396" i="1" l="1"/>
  <c r="G393" i="1"/>
  <c r="G396" i="1" s="1"/>
  <c r="F364" i="1"/>
  <c r="G361" i="1"/>
  <c r="G364" i="1" s="1"/>
  <c r="G347" i="1"/>
  <c r="G350" i="1" s="1"/>
  <c r="I347" i="1" s="1"/>
  <c r="F347" i="1"/>
  <c r="F350" i="1" s="1"/>
  <c r="H347" i="1" s="1"/>
  <c r="K319" i="1" l="1"/>
  <c r="M316" i="1"/>
  <c r="K304" i="1"/>
  <c r="M301" i="1" s="1"/>
  <c r="K290" i="1"/>
  <c r="K276" i="1" l="1"/>
  <c r="K258" i="1" l="1"/>
  <c r="K261" i="1" s="1"/>
  <c r="M258" i="1" s="1"/>
  <c r="M242" i="1" l="1"/>
  <c r="J245" i="1"/>
  <c r="C245" i="1"/>
  <c r="D245" i="1"/>
  <c r="E245" i="1"/>
  <c r="F245" i="1"/>
  <c r="G245" i="1"/>
  <c r="I242" i="1" s="1"/>
  <c r="I245" i="1" s="1"/>
  <c r="K242" i="1" s="1"/>
  <c r="K245" i="1" s="1"/>
  <c r="H245" i="1"/>
  <c r="G458" i="1"/>
  <c r="G461" i="1" s="1"/>
  <c r="H458" i="1"/>
  <c r="H461" i="1" s="1"/>
  <c r="F458" i="1"/>
  <c r="F461" i="1" s="1"/>
  <c r="E458" i="1"/>
  <c r="E461" i="1" s="1"/>
  <c r="D458" i="1"/>
  <c r="D461" i="1" s="1"/>
  <c r="C458" i="1"/>
  <c r="C461" i="1" s="1"/>
  <c r="G451" i="1"/>
  <c r="F1253" i="1" l="1"/>
  <c r="F1256" i="1" s="1"/>
  <c r="H1253" i="1" s="1"/>
  <c r="D1256" i="1"/>
  <c r="E1253" i="1"/>
  <c r="E1256" i="1" s="1"/>
  <c r="G1253" i="1" s="1"/>
  <c r="G150" i="1" l="1"/>
  <c r="G153" i="1" s="1"/>
  <c r="C150" i="1"/>
  <c r="C153" i="1" s="1"/>
  <c r="D150" i="1"/>
  <c r="D153" i="1" s="1"/>
  <c r="E150" i="1"/>
  <c r="E153" i="1" s="1"/>
  <c r="B150" i="1"/>
  <c r="B153" i="1" s="1"/>
  <c r="F150" i="1"/>
  <c r="F153" i="1" s="1"/>
  <c r="C142" i="1" l="1"/>
  <c r="D142" i="1"/>
  <c r="B142" i="1"/>
  <c r="G139" i="1"/>
  <c r="G142" i="1" s="1"/>
  <c r="F139" i="1"/>
  <c r="F142" i="1" s="1"/>
  <c r="E139" i="1"/>
  <c r="E142" i="1" s="1"/>
  <c r="G129" i="1"/>
  <c r="F129" i="1"/>
  <c r="E129" i="1"/>
  <c r="D129" i="1"/>
  <c r="C129" i="1"/>
  <c r="D1230" i="1" l="1"/>
  <c r="E1228" i="1"/>
  <c r="E1227" i="1" s="1"/>
  <c r="E1213" i="1"/>
  <c r="E1212" i="1" s="1"/>
  <c r="E1215" i="1" s="1"/>
  <c r="H1137" i="1" l="1"/>
  <c r="H1090" i="1" l="1"/>
  <c r="F1408" i="1" l="1"/>
  <c r="E1408" i="1"/>
  <c r="D1408" i="1"/>
  <c r="C1408" i="1"/>
  <c r="D1377" i="1"/>
  <c r="F1359" i="1"/>
  <c r="E1359" i="1"/>
  <c r="C42" i="1" l="1"/>
  <c r="C45" i="1" s="1"/>
  <c r="E42" i="1" s="1"/>
  <c r="B42" i="1"/>
  <c r="B45" i="1" s="1"/>
  <c r="D42" i="1" s="1"/>
  <c r="D45" i="1" s="1"/>
  <c r="C23" i="1"/>
  <c r="G984" i="1" l="1"/>
  <c r="G968" i="1"/>
  <c r="G943" i="1"/>
  <c r="F943" i="1"/>
  <c r="G931" i="1"/>
  <c r="G921" i="1"/>
  <c r="E213" i="1" l="1"/>
  <c r="D213" i="1"/>
  <c r="C213" i="1"/>
  <c r="F210" i="1"/>
  <c r="F213" i="1" s="1"/>
  <c r="G210" i="1" s="1"/>
  <c r="G213" i="1" s="1"/>
  <c r="H210" i="1" s="1"/>
  <c r="G579" i="1" l="1"/>
  <c r="F579" i="1"/>
  <c r="E579" i="1"/>
  <c r="D567" i="1"/>
  <c r="G567" i="1"/>
  <c r="E567" i="1"/>
  <c r="H551" i="1"/>
  <c r="G554" i="1"/>
  <c r="H513" i="1"/>
  <c r="G501" i="1"/>
  <c r="I498" i="1"/>
  <c r="G488" i="1"/>
  <c r="I485" i="1" s="1"/>
  <c r="D1175" i="1" l="1"/>
  <c r="E1172" i="1"/>
  <c r="E1175" i="1" s="1"/>
  <c r="G1327" i="1" l="1"/>
  <c r="H1324" i="1" s="1"/>
  <c r="H1327" i="1" s="1"/>
  <c r="I1324" i="1" s="1"/>
  <c r="G1312" i="1"/>
  <c r="H1309" i="1" s="1"/>
  <c r="H1312" i="1" s="1"/>
  <c r="I1309" i="1" s="1"/>
  <c r="G1299" i="1"/>
  <c r="G1297" i="1"/>
  <c r="F1299" i="1"/>
  <c r="F1297" i="1"/>
  <c r="F1286" i="1" l="1"/>
  <c r="F98" i="1" l="1"/>
  <c r="F101" i="1" s="1"/>
  <c r="E98" i="1"/>
  <c r="E101" i="1" s="1"/>
  <c r="D101" i="1"/>
  <c r="C101" i="1"/>
  <c r="F84" i="1"/>
  <c r="F87" i="1" s="1"/>
  <c r="E84" i="1"/>
  <c r="E87" i="1" s="1"/>
  <c r="D87" i="1"/>
  <c r="C87" i="1"/>
  <c r="D74" i="1"/>
  <c r="F71" i="1" s="1"/>
  <c r="F74" i="1" s="1"/>
  <c r="E74" i="1"/>
  <c r="C74" i="1"/>
  <c r="D58" i="1"/>
  <c r="C58" i="1"/>
  <c r="E55" i="1" s="1"/>
  <c r="E58" i="1" s="1"/>
  <c r="C644" i="1" l="1"/>
  <c r="D641" i="1" s="1"/>
  <c r="D644" i="1" s="1"/>
  <c r="F641" i="1" s="1"/>
  <c r="F644" i="1" s="1"/>
  <c r="E644" i="1" l="1"/>
  <c r="G641" i="1" s="1"/>
  <c r="G644" i="1" s="1"/>
  <c r="G1090" i="1" l="1"/>
  <c r="F1090" i="1"/>
  <c r="E1090" i="1"/>
  <c r="D1090" i="1"/>
  <c r="F451" i="1"/>
  <c r="H448" i="1" s="1"/>
  <c r="H451" i="1" s="1"/>
  <c r="E451" i="1"/>
  <c r="D451" i="1"/>
  <c r="D1137" i="1" l="1"/>
  <c r="D1136" i="1" s="1"/>
  <c r="D1139" i="1" s="1"/>
  <c r="E1137" i="1" s="1"/>
  <c r="E1136" i="1" s="1"/>
  <c r="E1139" i="1" s="1"/>
  <c r="B1136" i="1"/>
  <c r="H1136" i="1"/>
  <c r="H1139" i="1" s="1"/>
  <c r="F1136" i="1"/>
  <c r="F1139" i="1" s="1"/>
  <c r="D1122" i="1"/>
  <c r="C1120" i="1"/>
  <c r="C1122" i="1" s="1"/>
  <c r="B1122" i="1"/>
  <c r="D1120" i="1" s="1"/>
  <c r="E1120" i="1" l="1"/>
  <c r="E1119" i="1" s="1"/>
  <c r="E1122" i="1" s="1"/>
  <c r="F1120" i="1" s="1"/>
  <c r="F1119" i="1" s="1"/>
  <c r="F1122" i="1" s="1"/>
  <c r="G1120" i="1" s="1"/>
  <c r="G1119" i="1" s="1"/>
  <c r="G1122" i="1" s="1"/>
  <c r="H1120" i="1" s="1"/>
  <c r="H1119" i="1" s="1"/>
  <c r="H1122" i="1" s="1"/>
  <c r="B1119" i="1"/>
  <c r="C1119" i="1"/>
  <c r="D406" i="1" l="1"/>
  <c r="B1098" i="1"/>
  <c r="B1097" i="1" s="1"/>
  <c r="C1088" i="1"/>
  <c r="C1087" i="1" s="1"/>
  <c r="C1090" i="1" s="1"/>
  <c r="B1088" i="1"/>
  <c r="B1087" i="1" s="1"/>
  <c r="B1090" i="1" s="1"/>
  <c r="C1286" i="1"/>
  <c r="D1286" i="1"/>
  <c r="E1286" i="1"/>
  <c r="B1100" i="1" l="1"/>
  <c r="C1098" i="1" s="1"/>
  <c r="C1097" i="1" s="1"/>
  <c r="C1100" i="1" s="1"/>
  <c r="D1098" i="1" s="1"/>
  <c r="D1097" i="1" s="1"/>
  <c r="D1100" i="1" s="1"/>
  <c r="E1098" i="1" s="1"/>
  <c r="E1097" i="1" s="1"/>
  <c r="E1100" i="1" s="1"/>
  <c r="F1098" i="1" s="1"/>
  <c r="F1097" i="1" s="1"/>
  <c r="F1100" i="1" s="1"/>
  <c r="G1098" i="1" s="1"/>
  <c r="G1097" i="1" s="1"/>
  <c r="G1100" i="1" s="1"/>
  <c r="H1098" i="1" s="1"/>
  <c r="H1097" i="1" s="1"/>
  <c r="H1100" i="1" s="1"/>
  <c r="I1098" i="1" s="1"/>
  <c r="I1097" i="1" s="1"/>
  <c r="I1100" i="1" s="1"/>
  <c r="J1098" i="1" s="1"/>
  <c r="J1097" i="1" s="1"/>
  <c r="J1100" i="1" s="1"/>
  <c r="K1098" i="1" s="1"/>
  <c r="K1097" i="1" s="1"/>
  <c r="K1100" i="1" s="1"/>
  <c r="L1098" i="1" l="1"/>
  <c r="L1097" i="1" s="1"/>
  <c r="L1100" i="1" s="1"/>
  <c r="M1098" i="1" s="1"/>
  <c r="M1097" i="1" s="1"/>
  <c r="C674" i="1"/>
  <c r="D671" i="1" s="1"/>
  <c r="D674" i="1" s="1"/>
  <c r="E671" i="1" s="1"/>
  <c r="E674" i="1" s="1"/>
  <c r="F671" i="1" s="1"/>
  <c r="F674" i="1" s="1"/>
  <c r="G671" i="1" s="1"/>
</calcChain>
</file>

<file path=xl/sharedStrings.xml><?xml version="1.0" encoding="utf-8"?>
<sst xmlns="http://schemas.openxmlformats.org/spreadsheetml/2006/main" count="1897" uniqueCount="699">
  <si>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</si>
  <si>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</si>
  <si>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</si>
  <si>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</si>
  <si>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</si>
  <si>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</si>
  <si>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</si>
  <si>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</si>
  <si>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</si>
  <si>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</si>
  <si>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</si>
  <si>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</si>
  <si>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</si>
  <si>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</si>
  <si>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</si>
  <si>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</si>
  <si>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</si>
  <si>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</si>
  <si>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</si>
  <si>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</si>
  <si>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</si>
  <si>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</si>
  <si>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</si>
  <si>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</si>
  <si>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</si>
  <si>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</si>
  <si>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</si>
  <si>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</si>
  <si>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</si>
  <si>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</si>
  <si>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</si>
  <si>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</si>
  <si>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</si>
  <si>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</si>
  <si>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</si>
  <si>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</si>
  <si>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</si>
  <si>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</si>
  <si>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</si>
  <si>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</si>
  <si>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</si>
  <si>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</si>
  <si>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</si>
  <si>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</si>
  <si>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</si>
  <si>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</si>
  <si>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</si>
  <si>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</si>
  <si>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</si>
  <si>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</si>
  <si>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</si>
  <si>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</si>
  <si>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</si>
  <si>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</si>
  <si>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</si>
  <si>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</si>
  <si>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</si>
  <si>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</si>
  <si>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</si>
  <si>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</si>
  <si>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</si>
  <si>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</si>
  <si>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</si>
  <si>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</si>
  <si>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</si>
  <si>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</si>
  <si>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</si>
  <si>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</si>
  <si>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</si>
  <si>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</si>
  <si>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</si>
  <si>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</si>
  <si>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</si>
  <si>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</si>
  <si>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</si>
  <si>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</si>
  <si>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</si>
  <si>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</si>
  <si>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</si>
  <si>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</si>
  <si>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</si>
  <si>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</si>
  <si>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</si>
  <si>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</si>
  <si>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</si>
  <si>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</si>
  <si>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</si>
  <si>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</si>
  <si>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</si>
  <si>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</si>
  <si>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</si>
  <si>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</si>
  <si>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</si>
  <si>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</si>
  <si>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</si>
  <si>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</si>
  <si>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</si>
  <si>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</si>
  <si>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</si>
  <si>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</si>
  <si>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</si>
  <si>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</si>
  <si>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</si>
  <si>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</si>
  <si>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</si>
  <si>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</si>
  <si>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</si>
  <si>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</si>
  <si>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</si>
  <si>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</si>
  <si>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</si>
  <si>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</si>
  <si>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</si>
  <si>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</si>
  <si>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</si>
  <si>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</si>
  <si>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</si>
  <si>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</si>
  <si>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</si>
  <si>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</si>
  <si>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</si>
  <si>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</si>
  <si>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</si>
  <si>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</si>
  <si>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</si>
  <si>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</si>
  <si>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</si>
  <si>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</si>
  <si>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</si>
  <si>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</si>
  <si>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</si>
  <si>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</si>
  <si>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</si>
  <si>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</si>
  <si>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</si>
  <si>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</si>
  <si>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</si>
  <si>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</si>
  <si>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</si>
  <si>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</si>
  <si>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</si>
  <si>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</si>
  <si>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</si>
  <si>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</si>
  <si>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</si>
  <si>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</si>
  <si>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</si>
  <si>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</si>
  <si>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</si>
  <si>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</si>
  <si>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</si>
  <si>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</si>
  <si>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</si>
  <si>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</si>
  <si>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</si>
  <si>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</si>
  <si>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</si>
  <si>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</si>
  <si>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</si>
  <si>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</si>
  <si>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</si>
  <si>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</si>
  <si>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</si>
  <si>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</si>
  <si>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</si>
  <si>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</si>
  <si>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</si>
  <si>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</si>
  <si>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</si>
  <si>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</si>
  <si>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</si>
  <si>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</si>
  <si>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</si>
  <si>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</si>
  <si>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</si>
  <si>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</si>
  <si>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</si>
  <si>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</si>
  <si>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</si>
  <si>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</si>
  <si>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</si>
  <si>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</si>
  <si>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</si>
  <si>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</si>
  <si>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</si>
  <si>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</si>
  <si>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</si>
  <si>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</si>
  <si>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</si>
  <si>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</si>
  <si>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</si>
  <si>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</si>
  <si>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</si>
  <si>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</si>
  <si>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</si>
  <si>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</si>
  <si>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</si>
  <si>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</si>
  <si>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</si>
  <si>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</si>
  <si>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</si>
  <si>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</si>
  <si>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</si>
  <si>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</si>
  <si>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</si>
  <si>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</si>
  <si>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</si>
  <si>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</si>
  <si>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</si>
  <si>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</si>
  <si>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</si>
  <si>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</si>
  <si>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</si>
  <si>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</si>
  <si>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</si>
  <si>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</si>
  <si>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</si>
  <si>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</si>
  <si>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</si>
  <si>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</si>
  <si>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</si>
  <si>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</si>
  <si>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Flag: </t>
  </si>
  <si>
    <t>SOUTH AFRICA</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</si>
  <si>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</si>
  <si>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</si>
  <si>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</si>
  <si>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</si>
  <si>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</si>
  <si>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</si>
  <si>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</si>
  <si>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</si>
  <si>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</si>
  <si>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</si>
  <si>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</si>
  <si>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</si>
  <si>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</si>
  <si>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</si>
  <si>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</si>
  <si>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</si>
  <si>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</si>
  <si>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5"/>
  </si>
  <si>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</si>
  <si>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5"/>
  </si>
  <si>
    <t>JAPAN-S-ALB: Japan's overage in 2017 was deducted from the 2019 initial limit [Rec.16-07]</t>
    <phoneticPr fontId="15"/>
  </si>
  <si>
    <t>JAPAN-S-ALB: Japan's underage in 2018 was carried over to the 2020 initial limit [Rec.16-07]</t>
    <phoneticPr fontId="15"/>
  </si>
  <si>
    <t>Japan's 2019 adjusted limit = 1355t(Limit)-418.7t(2017 overage(Para5 of Rec16-07))+100t(transfer from Brasil (Para3 of Rec.16-07))+100t(transfer from S.Africa(Para3 of Rec.16-07))+800t(transfer from S.Africa(circular#888/2019))</t>
    <phoneticPr fontId="15"/>
  </si>
  <si>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</si>
  <si>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</si>
  <si>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</si>
  <si>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5"/>
  </si>
  <si>
    <t>Japan's 2020 adjusted limit  = 901t(Limit)+600t(2018 carry over(Para1(3) of Rec17-03))-50t(transfer to Namibia(Para5 of Rec.17-03))</t>
    <phoneticPr fontId="15"/>
  </si>
  <si>
    <t>JAPAN-E-BFT: current catch for 2018 includes 7.42 t of dead discard.</t>
    <phoneticPr fontId="5" type="noConversion"/>
  </si>
  <si>
    <t>Japan's 2019 adjusted limit = 2544.00t(Limit)(Para5 of Rec18-02)</t>
    <phoneticPr fontId="15"/>
  </si>
  <si>
    <t>JAPAN-W-BFT: current catch for 2018 includes 1.10 t of dead discard.</t>
    <phoneticPr fontId="5" type="noConversion"/>
  </si>
  <si>
    <t>Japan's 2018 adjusted limit =15415.88(It was deducted by the "pay back" provision  in para 2(a) of Rec 16-01.)</t>
    <phoneticPr fontId="15"/>
  </si>
  <si>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</si>
  <si>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</si>
  <si>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</si>
  <si>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</si>
  <si>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</si>
  <si>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5"/>
  </si>
  <si>
    <t>Japan's 2018 adjusted limit = 390t(Limt)+16.6t(2016 carry over(Para3 of Rec15-05))</t>
    <phoneticPr fontId="15"/>
  </si>
  <si>
    <t>Japan's 2018 adjusted limit =35t(Limt)+7t(2016 carry over(35*20%)(Para3 of Rec15-05))</t>
    <phoneticPr fontId="15"/>
  </si>
  <si>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</si>
  <si>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</si>
  <si>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</si>
  <si>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</si>
  <si>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</si>
  <si>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</si>
  <si>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</si>
  <si>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</si>
  <si>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</si>
  <si>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</si>
  <si>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</si>
  <si>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</si>
  <si>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</si>
  <si>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</si>
  <si>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</si>
  <si>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</si>
  <si>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</si>
  <si>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</si>
  <si>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</si>
  <si>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</si>
  <si>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</si>
  <si>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</si>
  <si>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</si>
  <si>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</si>
  <si>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</si>
  <si>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</si>
  <si>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</si>
  <si>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</si>
  <si>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</si>
  <si>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</si>
  <si>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</si>
  <si>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</si>
  <si>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</si>
  <si>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</si>
  <si>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</si>
  <si>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</si>
  <si>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</si>
  <si>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</si>
  <si>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</si>
  <si>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</si>
  <si>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</si>
  <si>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</si>
  <si>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</si>
  <si>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</si>
  <si>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</si>
  <si>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</si>
  <si>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</si>
  <si>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</si>
  <si>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</si>
  <si>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</si>
  <si>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</si>
  <si>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</si>
  <si>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</si>
  <si>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</si>
  <si>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</si>
  <si>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</si>
  <si>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</si>
  <si>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</si>
  <si>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</si>
  <si>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</si>
  <si>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</si>
  <si>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</si>
  <si>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</si>
  <si>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</si>
  <si>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</si>
  <si>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</si>
  <si>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</si>
  <si>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</si>
  <si>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</si>
  <si>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</si>
  <si>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</si>
  <si>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</si>
  <si>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</si>
  <si>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</si>
  <si>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2019=128.44+15.90-79.44 (transfer to Canada) por Rec. 17-06</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</si>
  <si>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</si>
  <si>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</si>
  <si>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</si>
  <si>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</si>
  <si>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</si>
  <si>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</si>
  <si>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</si>
  <si>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</si>
  <si>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</si>
  <si>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</si>
  <si>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</si>
  <si>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</si>
  <si>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</si>
  <si>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</si>
  <si>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</si>
  <si>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2015-2019: 25t transferred to Mauritania</t>
  </si>
  <si>
    <t>50+(0.5*50)</t>
  </si>
  <si>
    <t>50+(0.5*50)-25</t>
  </si>
  <si>
    <t>50+(0.4*50)-25</t>
  </si>
  <si>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</si>
  <si>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</si>
  <si>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</si>
  <si>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</si>
  <si>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</si>
  <si>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</si>
  <si>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</si>
  <si>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</si>
  <si>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</si>
  <si>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</si>
  <si>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</si>
  <si>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</si>
  <si>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</si>
  <si>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</si>
  <si>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</si>
  <si>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</si>
  <si>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</si>
  <si>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</si>
  <si>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</si>
  <si>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</si>
  <si>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</si>
  <si>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</si>
  <si>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</si>
  <si>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</si>
  <si>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</si>
  <si>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</si>
  <si>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</si>
  <si>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</si>
  <si>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</si>
  <si>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</si>
  <si>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</si>
  <si>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</si>
  <si>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</si>
  <si>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</si>
  <si>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</si>
  <si>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</si>
  <si>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</si>
  <si>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</si>
  <si>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</si>
  <si>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</si>
  <si>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</si>
  <si>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</si>
  <si>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</si>
  <si>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</si>
  <si>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</si>
  <si>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</si>
  <si>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</si>
  <si>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</si>
  <si>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</si>
  <si>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</si>
  <si>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</si>
  <si>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</si>
  <si>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</si>
  <si>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</si>
  <si>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</si>
  <si>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</si>
  <si>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</si>
  <si>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</si>
  <si>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</si>
  <si>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</si>
  <si>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</si>
  <si>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</si>
  <si>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</si>
  <si>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</si>
  <si>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</si>
  <si>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</si>
  <si>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</si>
  <si>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</si>
  <si>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</si>
  <si>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</si>
  <si>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</si>
  <si>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</si>
  <si>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</si>
  <si>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</si>
  <si>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</si>
  <si>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</si>
  <si>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</si>
  <si>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</si>
  <si>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</si>
  <si>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</si>
  <si>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</si>
  <si>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</si>
  <si>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</si>
  <si>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</si>
  <si>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</si>
  <si>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</si>
  <si>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</si>
  <si>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</si>
  <si>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</si>
  <si>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</si>
  <si>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</si>
  <si>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</si>
  <si>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</si>
  <si>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</si>
  <si>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</si>
  <si>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</si>
  <si>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</si>
  <si>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</si>
  <si>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 128.44+25.90-100.44 (transfer to Canada) por Rec. 17-06</t>
  </si>
  <si>
    <t>2020=58.9 + (Saldo Máx. 2019 = 10% Q2019) = 58.9 + 7</t>
  </si>
  <si>
    <t>2021= 128.44+25.90-transfer to Canada (to be determined) por Rec. 20-06</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</si>
  <si>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</si>
  <si>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</si>
  <si>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</si>
  <si>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</si>
  <si>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</si>
  <si>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</si>
  <si>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</si>
  <si>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</si>
  <si>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</si>
  <si>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</si>
  <si>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</si>
  <si>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</si>
  <si>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</si>
  <si>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</si>
  <si>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</si>
  <si>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</si>
  <si>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</si>
  <si>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</si>
  <si>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</si>
  <si>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</si>
  <si>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</si>
  <si>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</si>
  <si>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</si>
  <si>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</si>
  <si>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</si>
  <si>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</si>
  <si>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</si>
  <si>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</si>
  <si>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</si>
  <si>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</si>
  <si>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</si>
  <si>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</si>
  <si>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</si>
  <si>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</si>
  <si>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50+(0.4*50)</t>
  </si>
  <si>
    <t>GUATEMALA</t>
  </si>
  <si>
    <t>GUYANA</t>
  </si>
  <si>
    <t>* As the balance is negative, Adjusted limit (A) = Year Limit + Balance from the previous limit</t>
  </si>
  <si>
    <t>Quota2021+25%Q2019=242+0.25*215</t>
  </si>
  <si>
    <t>242+(215*0.25)</t>
  </si>
  <si>
    <t>2021 = Initial allocation +Mexican transfer (100.44) + SPM transfer (4.78)+ underharvest from 2020 (44.05)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</si>
  <si>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</si>
  <si>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</si>
  <si>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</si>
  <si>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</si>
  <si>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</si>
  <si>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</si>
  <si>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</si>
  <si>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limite for 2021=initial quota(4462.08)+5376*10%+600 ton transfer from Japan=5599.68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</si>
  <si>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</si>
  <si>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</si>
  <si>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</si>
  <si>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</si>
  <si>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</si>
  <si>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</si>
  <si>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</si>
  <si>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</si>
  <si>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</si>
  <si>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</si>
  <si>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</si>
  <si>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</si>
  <si>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2021 adjusted quota is 10617.31 t = 9226.41 (initial quota) + 11679*10% (carry over of 10% of 2019 initial quota pursuant to Rec.19-02) +223 (transfer from Korea)</t>
  </si>
  <si>
    <t>=9226.41+(11679*15%)+223</t>
  </si>
  <si>
    <t>=9226.41+(11679*10%)+223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</si>
  <si>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</si>
  <si>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</si>
  <si>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</si>
  <si>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</si>
  <si>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</si>
  <si>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From 2016 to 2020, USA has transferred 50t to Namibia in accordance with Rec. 16-04/17-03.</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</si>
  <si>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</si>
  <si>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</si>
  <si>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</si>
  <si>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</si>
  <si>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</si>
  <si>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</si>
  <si>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</si>
  <si>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</si>
  <si>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</si>
  <si>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JAPAN-BIGEYE:Japan's 2021 adjusted limit = 17,696(Para.3 of Rec.16-01)*(1-0.21) (Para4-(a) of Rec 19-02)+1769.6(2019 carry over(17696*10%)(Para12 of Rec19-02)-600(transfer to China (Footnote2 of Para.8  of Rec.19-02))-300(transfer to Europian Union (Footnote 2 of Para.8 of Rec.19-02))</t>
  </si>
  <si>
    <t>JAPAN-BUM:Japan's 2022 adjusted limit = 328.1t(Limit)</t>
  </si>
  <si>
    <t>JAPAN-WHM・SPF:Japan's 2022 adjusted limit =35t(Limit)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</si>
  <si>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</si>
  <si>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</si>
  <si>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</si>
  <si>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</si>
  <si>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</si>
  <si>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</si>
  <si>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</si>
  <si>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</si>
  <si>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</si>
  <si>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</si>
  <si>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</si>
  <si>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</si>
  <si>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</si>
  <si>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</si>
  <si>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</si>
  <si>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</si>
  <si>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</si>
  <si>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</si>
  <si>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</si>
  <si>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2022 limit + 0,15*2020 limit-40-300-0,01% 2022 limit</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</si>
  <si>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</si>
  <si>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</si>
  <si>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</si>
  <si>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</si>
  <si>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</si>
  <si>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</si>
  <si>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r>
      <rPr>
        <vertAlign val="superscript"/>
        <sz val="10"/>
        <rFont val="Cambria"/>
        <family val="1"/>
      </rPr>
      <t>1</t>
    </r>
    <r>
      <rPr>
        <sz val="10"/>
        <rFont val="Cambria"/>
        <family val="1"/>
      </rPr>
      <t xml:space="preserve"> Transfer from Japan</t>
    </r>
  </si>
  <si>
    <t xml:space="preserve">Limit 2022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</si>
  <si>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</si>
  <si>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</si>
  <si>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</si>
  <si>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</si>
  <si>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</si>
  <si>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</si>
  <si>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</si>
  <si>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</si>
  <si>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</si>
  <si>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</si>
  <si>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</si>
  <si>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</si>
  <si>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</si>
  <si>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</si>
  <si>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</si>
  <si>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</si>
  <si>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1 (A) = Limit 2016 -337 (payback Rec.16-01 9b) + 70 (Transfer Japan Rec.16-01 7b) + Carry over from Balance 2014 MAX. 15%4722=708.3 (583)</t>
  </si>
  <si>
    <r>
      <t xml:space="preserve">3 (A) = Limit 2018 -337 (payback Rec.16-01 9b) + 70 (Transfer Japan Rec.16-01 7b) </t>
    </r>
    <r>
      <rPr>
        <strike/>
        <sz val="10"/>
        <color rgb="FFFF0000"/>
        <rFont val="Cambria"/>
        <family val="1"/>
      </rPr>
      <t>- 295.50 (Balance 2017)</t>
    </r>
  </si>
  <si>
    <t>4 (A) = Limit 2019 + 70 (Transfer Japan Rec.16-01 7b)  + Carry over from Balance 2017 MAX. 15%4250 (155.20). No more payback since 18-01 Para 2</t>
  </si>
  <si>
    <t>5 (A) = Limit 2020 + Carry over from Balance 2018 MAX. 15%4250 (347.50)</t>
  </si>
  <si>
    <t>2 (A) = Limit 2017 -337 (payback Rec.16-01 9b) + 70 (Transfer Japan Rec.16-01 7b) - 627.60 (Balance 2016) + Carry over from Balance 2015 MAX. 15%4250 (637.50)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</si>
  <si>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</si>
  <si>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</si>
  <si>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</si>
  <si>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</si>
  <si>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</si>
  <si>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</si>
  <si>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</si>
  <si>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</si>
  <si>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</si>
  <si>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(1486*0.10)+1000 - 223</t>
  </si>
  <si>
    <t>Rec. 19-02 Para 3c): Starting with 2020 catches, any underharvest by a CPC of its annual landings limit may not be carried forward to a subsequent year</t>
  </si>
  <si>
    <r>
      <rPr>
        <b/>
        <sz val="10"/>
        <rFont val="Cambria"/>
        <family val="1"/>
      </rPr>
      <t>Quota ajustée 2020: 265</t>
    </r>
    <r>
      <rPr>
        <sz val="10"/>
        <rFont val="Cambria"/>
        <family val="1"/>
      </rPr>
      <t xml:space="preserve"> tonnes  = quota initial alloué au Maroc 2020 (215 t) +</t>
    </r>
    <r>
      <rPr>
        <b/>
        <sz val="10"/>
        <rFont val="Cambria"/>
        <family val="1"/>
      </rPr>
      <t xml:space="preserve"> 50 tonnes</t>
    </r>
    <r>
      <rPr>
        <sz val="10"/>
        <rFont val="Cambria"/>
        <family val="1"/>
      </rPr>
      <t xml:space="preserve"> ( reliquat= 25% du quota initial (200)). Recommandation ICCAT 17-04</t>
    </r>
  </si>
  <si>
    <r>
      <t xml:space="preserve">Quota ajustée 2021: 295,75 tonnes  </t>
    </r>
    <r>
      <rPr>
        <sz val="10"/>
        <rFont val="Cambria"/>
        <family val="1"/>
      </rPr>
      <t>= quota initial alloué au Maroc 2021</t>
    </r>
    <r>
      <rPr>
        <b/>
        <sz val="10"/>
        <rFont val="Cambria"/>
        <family val="1"/>
      </rPr>
      <t xml:space="preserve"> (242 t) + 53,75 tonnes ( reliquat= 25% du quota initial 2019 (215 tonnes) ). </t>
    </r>
    <r>
      <rPr>
        <sz val="10"/>
        <rFont val="Cambria"/>
        <family val="1"/>
      </rPr>
      <t>Rec ICCAT 17-04, 20-04</t>
    </r>
  </si>
  <si>
    <r>
      <t xml:space="preserve">Quota ajustée 2022: 295,75 tonnes  </t>
    </r>
    <r>
      <rPr>
        <sz val="10"/>
        <rFont val="Cambria"/>
        <family val="1"/>
      </rPr>
      <t>= quota initial alloué au Maroc 2022</t>
    </r>
    <r>
      <rPr>
        <b/>
        <sz val="10"/>
        <rFont val="Cambria"/>
        <family val="1"/>
      </rPr>
      <t xml:space="preserve"> (242 t) + 53,75 tonnes ( reliquat= 25% du quota initial 2020 (215 tonnes) )</t>
    </r>
    <r>
      <rPr>
        <sz val="10"/>
        <rFont val="Cambria"/>
        <family val="1"/>
      </rPr>
      <t>. Rec ICCAT 17-04, 20-04</t>
    </r>
  </si>
  <si>
    <r>
      <rPr>
        <b/>
        <sz val="10"/>
        <rFont val="Cambria"/>
        <family val="1"/>
      </rPr>
      <t>Quota ajustée 2021:</t>
    </r>
    <r>
      <rPr>
        <sz val="10"/>
        <rFont val="Cambria"/>
        <family val="1"/>
      </rPr>
      <t xml:space="preserve"> </t>
    </r>
    <r>
      <rPr>
        <b/>
        <sz val="10"/>
        <rFont val="Cambria"/>
        <family val="1"/>
      </rPr>
      <t>3318,91 tonnes</t>
    </r>
    <r>
      <rPr>
        <sz val="10"/>
        <rFont val="Cambria"/>
        <family val="1"/>
      </rPr>
      <t xml:space="preserve"> = quota initial alloué au Maroc 2020 (3284 t) + </t>
    </r>
    <r>
      <rPr>
        <b/>
        <sz val="10"/>
        <rFont val="Cambria"/>
        <family val="1"/>
      </rPr>
      <t>34,91 tonnes</t>
    </r>
    <r>
      <rPr>
        <sz val="10"/>
        <rFont val="Cambria"/>
        <family val="1"/>
      </rPr>
      <t xml:space="preserve"> (reliquat de l'année 2020). Rec. 20-07</t>
    </r>
  </si>
  <si>
    <t>Quota ajustée 2021: -32 tonnes = quota initial alloué au Maroc 2020 (10t) - 42 tonnes (surconsommation). Recommandation ICCAT 19-05/para 3 amendant la Rec 15-05</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</si>
  <si>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</si>
  <si>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</si>
  <si>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</si>
  <si>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</si>
  <si>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</si>
  <si>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</si>
  <si>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</si>
  <si>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le calcul du quota ajusté 2021 prend en compte le solde  MAX de 2020 (Limite 2020 * 0.2 = 417*0.2=83.4) auquel est ajouté la limite 2020 417 t) ce qui donne (83.4+417=500.4)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</si>
  <si>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</si>
  <si>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</si>
  <si>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</si>
  <si>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</si>
  <si>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</si>
  <si>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</si>
  <si>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</si>
  <si>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</si>
  <si>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</si>
  <si>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</si>
  <si>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</si>
  <si>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6 (A)=IQ2021+Balance2019+2t EU transfer provided by Rec. 19-05.</t>
  </si>
  <si>
    <t>5 (A)=IQ2020+Balance2019</t>
  </si>
  <si>
    <t>6 (A)=IQ2021+Balance2020</t>
  </si>
  <si>
    <t>Pour l'année 2020 les prises realisées par les senneurs sont de 2648,138</t>
  </si>
  <si>
    <t>Pour l'année 2021 le quota ajusté est de 2757.82  ( le quota initial 2655T+transfert syrie (79,2)+quota non consommé 2020 (23.62T) , les prises réalisées par les senneurs  en 2021 est de 2728,58T , les prise accessoires ( 26,55T) n'ont pas encore été arrétées,</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</si>
  <si>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</si>
  <si>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</si>
  <si>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</si>
  <si>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</si>
  <si>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</si>
  <si>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</si>
  <si>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</si>
  <si>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</si>
  <si>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</si>
  <si>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</si>
  <si>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</si>
  <si>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</si>
  <si>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</si>
  <si>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</si>
  <si>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</si>
  <si>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</si>
  <si>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</si>
  <si>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</si>
  <si>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</si>
  <si>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</si>
  <si>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</si>
  <si>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</si>
  <si>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</si>
  <si>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</si>
  <si>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</si>
  <si>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</si>
  <si>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</si>
  <si>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</si>
  <si>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</si>
  <si>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</si>
  <si>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</si>
  <si>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</si>
  <si>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</si>
  <si>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</si>
  <si>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</si>
  <si>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</si>
  <si>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</si>
  <si>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</si>
  <si>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</si>
  <si>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</si>
  <si>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</si>
  <si>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</si>
  <si>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JAPAN-N-BSH:Japan's 2020 adjusted limit = 4,010t(Para3 of Rec19-07)</t>
    <phoneticPr fontId="7" type="noConversion"/>
  </si>
  <si>
    <r>
      <rPr>
        <b/>
        <sz val="10"/>
        <color rgb="FFFF0000"/>
        <rFont val="Cambria"/>
        <family val="1"/>
      </rPr>
      <t>Quota ajustée 2018</t>
    </r>
    <r>
      <rPr>
        <sz val="10"/>
        <color rgb="FFFF0000"/>
        <rFont val="Cambria"/>
        <family val="1"/>
      </rPr>
      <t xml:space="preserve"> : 900 tonnes = 950 (quota initial 850+100 tranféré du japon) - 50 de surconsommation de 2016</t>
    </r>
  </si>
  <si>
    <r>
      <rPr>
        <b/>
        <sz val="10"/>
        <color rgb="FFFF0000"/>
        <rFont val="Cambria"/>
        <family val="1"/>
      </rPr>
      <t>Quota ajustée 2019</t>
    </r>
    <r>
      <rPr>
        <sz val="10"/>
        <color rgb="FFFF0000"/>
        <rFont val="Cambria"/>
        <family val="1"/>
      </rPr>
      <t>: 1000 tonnes = quota initial alloué au Maroc 2019 (850t)+ 100t (transférées par le Japon au Maroc) + 50 de sousconsommation de 2017</t>
    </r>
  </si>
  <si>
    <r>
      <rPr>
        <b/>
        <sz val="10"/>
        <color rgb="FFFF0000"/>
        <rFont val="Cambria"/>
        <family val="1"/>
      </rPr>
      <t>Quota ajustée 2020</t>
    </r>
    <r>
      <rPr>
        <sz val="10"/>
        <color rgb="FFFF0000"/>
        <rFont val="Cambria"/>
        <family val="1"/>
      </rPr>
      <t>: 995 tonnes = quota initial alloué au Maroc 2020 (850t) + 150t (transférées par le Japon au Maroc)+20t (transférée par le Taipei Chinois)+ 25t (transférée par le Trinité-et-Tobago) - 50 de surconsommation de 2018</t>
    </r>
  </si>
  <si>
    <r>
      <rPr>
        <b/>
        <sz val="10"/>
        <color rgb="FFFF0000"/>
        <rFont val="Cambria"/>
        <family val="1"/>
      </rPr>
      <t>Quota ajustée 2021</t>
    </r>
    <r>
      <rPr>
        <sz val="10"/>
        <color rgb="FFFF0000"/>
        <rFont val="Cambria"/>
        <family val="1"/>
      </rPr>
      <t>: 1095 tonnes = quota initial alloué au Maroc 2020 (850t) + 150t (transférées par le Japon au Maroc)+20t (transférée par le Taipei Chinois)+ 25t (transférée par le Trinité-et-Tobago) + 50 de sousconsommation de 2019</t>
    </r>
  </si>
  <si>
    <r>
      <rPr>
        <b/>
        <sz val="10"/>
        <color rgb="FFFF0000"/>
        <rFont val="Cambria"/>
        <family val="1"/>
      </rPr>
      <t>Quota ajusté 2022</t>
    </r>
    <r>
      <rPr>
        <sz val="10"/>
        <color rgb="FFFF0000"/>
        <rFont val="Cambria"/>
        <family val="1"/>
      </rPr>
      <t>: 1101,66 tonnes = quota initial alloué au Maroc (850t)+ + 150t (transférées par le Japon au Maroc)+20t (transférée par le Taipei Chinois)+ 25t (transférée par le Trinité-et-Tobago) + 56,66 (15% du quota initail) de sousconsommation de 2020</t>
    </r>
  </si>
  <si>
    <t>Initial quota/catch limit includes 15 t allocation for by-catch, as per Rec. 17-06 para 6a.</t>
  </si>
  <si>
    <t>Initial quota/catch limit includes 15 t allocation for by-catch, as per Rec. 17-06 para 6a &amp; Rec. 20-06 Para 1 (4).</t>
  </si>
  <si>
    <t>Initial quota/catch limit includes 25 t allocation for by-catch, as per Rec. 17-06 para 6a &amp; Rec. 20-06 Para 1 (4).</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</si>
  <si>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</si>
  <si>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</si>
  <si>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</si>
  <si>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</si>
  <si>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</si>
  <si>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</si>
  <si>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2021: 100 t (transfer to JPN according to Rec.16-07 Para 3)</t>
  </si>
  <si>
    <t>Adjusted limit for 2022=initial quota(200)+200*25%(not exceeding the balance of 2020)=250</t>
  </si>
  <si>
    <t>JAPAN-S-ALB: 2022 adjusted limit = 1,355 t(Limit)+338.75t(2020 carry over(1355*25%) (para 4a of Rec. 16-07))</t>
  </si>
  <si>
    <t>* Adjusted limit 2022 = initial limit 2022 (4400) + available balance 2020(not to exceed 25% of initial quota) (874.08)</t>
  </si>
  <si>
    <t>=9400+1699+145</t>
  </si>
  <si>
    <t>2022 adjusted quota is 11244.00 t (=9400+1699) due to the inclusion of 2020 underage and 2021 initial catch quota + 145t (Rec. 16-07 Para 4b) as complement from total underage from the TAC</t>
  </si>
  <si>
    <t xml:space="preserve">COC-304-C/21 Annex 1: APPLICATION OF OVER/UNDERHARVEST </t>
  </si>
  <si>
    <t xml:space="preserve">COC-304-C/21 Annexe 1: APPLICATION DE SUR/SOUS-CONSOMMATION </t>
  </si>
  <si>
    <t xml:space="preserve">COC-304-C/21 Anexo 1: APLICACIÓN DE EXCESO/REMANENTE DE CAPTURA </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</si>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</sst>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5"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b/>
      <sz val="10"/>
      <color theme="1"/>
      <name val="Cambria"/>
      <family val="1"/>
    </font>
    <font>
      <strike/>
      <sz val="1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
      <sz val="8"/>
      <color rgb="FFFF0000"/>
      <name val="Cambria"/>
      <family val="1"/>
    </font>
    <font>
      <sz val="11"/>
      <name val="Calibri"/>
      <family val="2"/>
      <scheme val="minor"/>
    </font>
    <font>
      <strike/>
      <sz val="10"/>
      <color rgb="FFFF0000"/>
      <name val="Cambria"/>
      <family val="1"/>
    </font>
    <font>
      <sz val="10"/>
      <color rgb="FFFF0000"/>
      <name val="Times New Roman"/>
      <family val="1"/>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3" fillId="0" borderId="0"/>
    <xf numFmtId="0" fontId="1" fillId="0" borderId="0"/>
  </cellStyleXfs>
  <cellXfs count="923">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0" fontId="6" fillId="0" borderId="4" xfId="1" applyFont="1" applyFill="1" applyBorder="1"/>
    <xf numFmtId="0" fontId="7" fillId="0" borderId="0" xfId="1" applyFont="1" applyBorder="1"/>
    <xf numFmtId="0" fontId="6" fillId="2" borderId="1" xfId="0" applyFont="1" applyFill="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9" fillId="0" borderId="0" xfId="1" applyFont="1"/>
    <xf numFmtId="0" fontId="9" fillId="0" borderId="0" xfId="1" applyFont="1" applyBorder="1"/>
    <xf numFmtId="0" fontId="9" fillId="0" borderId="1" xfId="1" applyFont="1" applyBorder="1"/>
    <xf numFmtId="0" fontId="9" fillId="0" borderId="4" xfId="1" applyFont="1" applyBorder="1"/>
    <xf numFmtId="0" fontId="9" fillId="0" borderId="2" xfId="1" applyFont="1" applyBorder="1"/>
    <xf numFmtId="166" fontId="9" fillId="0" borderId="4" xfId="1" applyNumberFormat="1" applyFont="1" applyFill="1" applyBorder="1" applyAlignment="1">
      <alignment horizontal="right" vertical="center"/>
    </xf>
    <xf numFmtId="0" fontId="9" fillId="0" borderId="4" xfId="1" applyFont="1" applyBorder="1" applyAlignment="1">
      <alignment horizontal="right"/>
    </xf>
    <xf numFmtId="0" fontId="11"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1" fillId="0" borderId="1" xfId="1" applyFont="1" applyBorder="1"/>
    <xf numFmtId="0" fontId="9" fillId="0" borderId="12" xfId="1" applyFont="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2" fillId="0" borderId="0" xfId="0" applyFont="1"/>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6" fillId="0" borderId="0" xfId="4" applyFont="1"/>
    <xf numFmtId="0" fontId="5" fillId="0" borderId="17" xfId="4" applyFont="1" applyBorder="1"/>
    <xf numFmtId="0" fontId="5" fillId="0" borderId="20" xfId="4" applyFont="1" applyBorder="1" applyAlignment="1"/>
    <xf numFmtId="0" fontId="5" fillId="0" borderId="4"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1"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0" fontId="14" fillId="0" borderId="0" xfId="0" applyFont="1"/>
    <xf numFmtId="0" fontId="14" fillId="0" borderId="0" xfId="0" applyFont="1" applyAlignment="1">
      <alignment vertical="center"/>
    </xf>
    <xf numFmtId="0" fontId="16" fillId="0" borderId="0" xfId="2" applyFont="1"/>
    <xf numFmtId="0" fontId="17" fillId="0" borderId="0" xfId="0" applyFont="1"/>
    <xf numFmtId="0" fontId="12" fillId="0" borderId="0" xfId="2" applyFont="1"/>
    <xf numFmtId="166" fontId="6" fillId="0" borderId="4" xfId="1" applyNumberFormat="1" applyFont="1" applyBorder="1"/>
    <xf numFmtId="166"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12"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0" fontId="5" fillId="0" borderId="15"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1"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1" fillId="0" borderId="4" xfId="0" applyFont="1" applyBorder="1" applyAlignment="1">
      <alignment horizontal="right" vertical="center"/>
    </xf>
    <xf numFmtId="0" fontId="9" fillId="0" borderId="0" xfId="0" applyFont="1" applyFill="1"/>
    <xf numFmtId="0" fontId="16" fillId="0" borderId="0" xfId="2" applyFont="1" applyFill="1"/>
    <xf numFmtId="40" fontId="6" fillId="0" borderId="4" xfId="2" applyNumberFormat="1" applyFont="1" applyFill="1" applyBorder="1"/>
    <xf numFmtId="167"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0" fontId="6" fillId="0" borderId="0" xfId="2" applyFont="1" applyFill="1" applyBorder="1" applyAlignment="1">
      <alignment horizontal="left"/>
    </xf>
    <xf numFmtId="0" fontId="6" fillId="0" borderId="0" xfId="2" applyFont="1" applyFill="1" applyBorder="1" applyAlignment="1">
      <alignment horizontal="center"/>
    </xf>
    <xf numFmtId="168" fontId="6" fillId="0" borderId="0" xfId="2" applyNumberFormat="1" applyFont="1" applyFill="1" applyBorder="1"/>
    <xf numFmtId="0" fontId="6" fillId="0" borderId="12" xfId="3" applyFont="1" applyFill="1" applyBorder="1" applyAlignment="1">
      <alignment horizontal="left"/>
    </xf>
    <xf numFmtId="0" fontId="12" fillId="0" borderId="0" xfId="2" applyFont="1" applyFill="1" applyBorder="1"/>
    <xf numFmtId="0" fontId="12" fillId="0" borderId="0" xfId="2" applyFont="1" applyFill="1" applyBorder="1" applyAlignment="1">
      <alignment horizontal="center"/>
    </xf>
    <xf numFmtId="0" fontId="12" fillId="0" borderId="10" xfId="2" applyFont="1" applyFill="1" applyBorder="1"/>
    <xf numFmtId="166" fontId="12" fillId="0" borderId="0" xfId="2" applyNumberFormat="1" applyFont="1" applyFill="1" applyBorder="1" applyAlignment="1">
      <alignment horizontal="center"/>
    </xf>
    <xf numFmtId="169" fontId="6" fillId="0" borderId="4" xfId="2" applyNumberFormat="1" applyFont="1" applyFill="1" applyBorder="1"/>
    <xf numFmtId="0" fontId="6" fillId="0" borderId="12" xfId="2" applyFont="1" applyFill="1" applyBorder="1" applyAlignment="1">
      <alignment horizontal="left"/>
    </xf>
    <xf numFmtId="166"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0" fontId="6" fillId="0" borderId="6" xfId="2" applyFont="1" applyFill="1" applyBorder="1" applyAlignment="1">
      <alignment horizontal="center"/>
    </xf>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68" fontId="6" fillId="0" borderId="0" xfId="2" applyNumberFormat="1" applyFont="1" applyFill="1"/>
    <xf numFmtId="166" fontId="6" fillId="0" borderId="0" xfId="2" applyNumberFormat="1" applyFont="1" applyFill="1" applyAlignment="1">
      <alignment horizontal="center"/>
    </xf>
    <xf numFmtId="166" fontId="6" fillId="0" borderId="6" xfId="2" applyNumberFormat="1" applyFont="1" applyFill="1" applyBorder="1" applyAlignment="1">
      <alignment horizontal="center"/>
    </xf>
    <xf numFmtId="0" fontId="5" fillId="0" borderId="1" xfId="2"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1" fillId="0" borderId="2" xfId="1" applyFont="1" applyFill="1" applyBorder="1"/>
    <xf numFmtId="0" fontId="9" fillId="0" borderId="0" xfId="1" applyFont="1" applyFill="1"/>
    <xf numFmtId="0" fontId="9" fillId="0" borderId="1" xfId="1" applyFont="1" applyFill="1" applyBorder="1"/>
    <xf numFmtId="166"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9" xfId="4" applyFont="1" applyBorder="1"/>
    <xf numFmtId="0" fontId="6" fillId="0" borderId="10" xfId="4" applyFont="1" applyBorder="1"/>
    <xf numFmtId="0" fontId="6" fillId="0" borderId="3" xfId="4" applyFont="1" applyBorder="1"/>
    <xf numFmtId="2" fontId="6" fillId="0" borderId="4" xfId="4" applyNumberFormat="1" applyFont="1" applyBorder="1"/>
    <xf numFmtId="2" fontId="8" fillId="0" borderId="19" xfId="4" applyNumberFormat="1" applyFont="1" applyBorder="1" applyAlignment="1"/>
    <xf numFmtId="0" fontId="9" fillId="0" borderId="9" xfId="0" applyFont="1" applyBorder="1"/>
    <xf numFmtId="0" fontId="9" fillId="0" borderId="1" xfId="0" applyFont="1" applyFill="1" applyBorder="1"/>
    <xf numFmtId="0" fontId="11" fillId="0" borderId="4" xfId="0" applyFont="1" applyFill="1" applyBorder="1"/>
    <xf numFmtId="2" fontId="9" fillId="0" borderId="4" xfId="0" applyNumberFormat="1" applyFont="1" applyFill="1" applyBorder="1" applyAlignment="1">
      <alignment horizontal="right"/>
    </xf>
    <xf numFmtId="2" fontId="9" fillId="0" borderId="4" xfId="0" applyNumberFormat="1" applyFont="1" applyFill="1" applyBorder="1" applyAlignment="1">
      <alignment horizontal="right" vertical="center" wrapText="1"/>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39" fontId="6" fillId="0" borderId="4" xfId="1" applyNumberFormat="1" applyFont="1" applyBorder="1"/>
    <xf numFmtId="39" fontId="6" fillId="0" borderId="2" xfId="1" applyNumberFormat="1" applyFont="1" applyBorder="1"/>
    <xf numFmtId="170" fontId="6" fillId="0" borderId="4" xfId="1" applyNumberFormat="1" applyFont="1" applyBorder="1"/>
    <xf numFmtId="170" fontId="6" fillId="0" borderId="2" xfId="1" applyNumberFormat="1" applyFont="1" applyBorder="1"/>
    <xf numFmtId="39" fontId="6" fillId="0" borderId="4" xfId="1" applyNumberFormat="1" applyFont="1" applyFill="1" applyBorder="1"/>
    <xf numFmtId="2" fontId="6" fillId="0" borderId="2" xfId="1" applyNumberFormat="1" applyFont="1" applyBorder="1"/>
    <xf numFmtId="1" fontId="6" fillId="0" borderId="4" xfId="0" applyNumberFormat="1" applyFont="1" applyFill="1" applyBorder="1"/>
    <xf numFmtId="0" fontId="11"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1" fillId="0" borderId="4" xfId="0" applyFont="1" applyBorder="1" applyAlignment="1">
      <alignment horizontal="center"/>
    </xf>
    <xf numFmtId="2" fontId="8" fillId="0" borderId="4" xfId="1" applyNumberFormat="1" applyFont="1" applyFill="1" applyBorder="1"/>
    <xf numFmtId="0" fontId="8" fillId="0" borderId="4" xfId="1" applyFont="1" applyFill="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5" fillId="0" borderId="16" xfId="0" applyFont="1" applyFill="1" applyBorder="1" applyAlignment="1">
      <alignment horizontal="center" vertical="center" wrapText="1"/>
    </xf>
    <xf numFmtId="0" fontId="11"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1"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1" fillId="0" borderId="2" xfId="0" applyFont="1" applyBorder="1"/>
    <xf numFmtId="0" fontId="9" fillId="0" borderId="1" xfId="0" applyFont="1" applyBorder="1"/>
    <xf numFmtId="0" fontId="9" fillId="0" borderId="15" xfId="0" applyFont="1" applyBorder="1" applyAlignment="1">
      <alignment horizontal="center"/>
    </xf>
    <xf numFmtId="0" fontId="9" fillId="0" borderId="5" xfId="0" applyFont="1" applyBorder="1"/>
    <xf numFmtId="0" fontId="9" fillId="0" borderId="11" xfId="0" applyFont="1" applyBorder="1" applyAlignment="1">
      <alignment horizontal="left"/>
    </xf>
    <xf numFmtId="0" fontId="9" fillId="0" borderId="4" xfId="1" applyFont="1" applyBorder="1" applyAlignment="1">
      <alignment horizontal="center"/>
    </xf>
    <xf numFmtId="0" fontId="11" fillId="0" borderId="5" xfId="0" applyFont="1" applyFill="1" applyBorder="1"/>
    <xf numFmtId="0" fontId="11"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11" fillId="0" borderId="1" xfId="0" applyFont="1" applyFill="1" applyBorder="1" applyAlignment="1">
      <alignment horizontal="center"/>
    </xf>
    <xf numFmtId="0" fontId="9" fillId="0" borderId="15" xfId="0"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5" fillId="0" borderId="13" xfId="0" applyFont="1" applyFill="1" applyBorder="1" applyAlignment="1">
      <alignment horizontal="center" vertical="top" wrapText="1"/>
    </xf>
    <xf numFmtId="0" fontId="6" fillId="0" borderId="15" xfId="4" applyFont="1" applyBorder="1" applyAlignment="1">
      <alignment horizontal="center"/>
    </xf>
    <xf numFmtId="0" fontId="5" fillId="3" borderId="1" xfId="0" applyFont="1" applyFill="1" applyBorder="1"/>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2" fontId="6"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4"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8" fillId="0" borderId="12" xfId="0" applyFont="1" applyBorder="1"/>
    <xf numFmtId="2" fontId="8" fillId="0" borderId="2" xfId="0" applyNumberFormat="1" applyFont="1" applyBorder="1" applyAlignment="1">
      <alignment horizontal="right"/>
    </xf>
    <xf numFmtId="0" fontId="5" fillId="0" borderId="0" xfId="0" applyFont="1" applyFill="1"/>
    <xf numFmtId="2" fontId="6" fillId="0" borderId="13" xfId="0" applyNumberFormat="1" applyFont="1" applyBorder="1" applyAlignment="1">
      <alignment horizontal="right"/>
    </xf>
    <xf numFmtId="0" fontId="5" fillId="0" borderId="6" xfId="0" applyFont="1" applyBorder="1" applyAlignment="1">
      <alignment horizontal="center"/>
    </xf>
    <xf numFmtId="165" fontId="8" fillId="0" borderId="4" xfId="2" applyNumberFormat="1" applyFont="1" applyFill="1" applyBorder="1" applyAlignment="1">
      <alignment horizontal="center"/>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1" fontId="5" fillId="0" borderId="4" xfId="2" applyNumberFormat="1" applyFont="1" applyFill="1" applyBorder="1" applyAlignment="1">
      <alignment horizontal="center" vertical="top"/>
    </xf>
    <xf numFmtId="2" fontId="8" fillId="0" borderId="4" xfId="0" applyNumberFormat="1" applyFont="1" applyBorder="1" applyAlignment="1">
      <alignment horizontal="right"/>
    </xf>
    <xf numFmtId="0" fontId="6" fillId="0" borderId="0" xfId="0" applyFont="1" applyAlignment="1">
      <alignment horizontal="left" wrapText="1"/>
    </xf>
    <xf numFmtId="2" fontId="6" fillId="0" borderId="4" xfId="0" applyNumberFormat="1" applyFont="1" applyBorder="1" applyAlignment="1">
      <alignment horizontal="center"/>
    </xf>
    <xf numFmtId="2" fontId="8" fillId="0" borderId="2" xfId="0" applyNumberFormat="1" applyFont="1" applyBorder="1"/>
    <xf numFmtId="0" fontId="18" fillId="2" borderId="2" xfId="0" applyFont="1" applyFill="1" applyBorder="1" applyAlignment="1">
      <alignment wrapText="1"/>
    </xf>
    <xf numFmtId="0" fontId="9" fillId="0" borderId="4" xfId="0" quotePrefix="1" applyFont="1" applyBorder="1" applyAlignment="1">
      <alignment wrapText="1"/>
    </xf>
    <xf numFmtId="0" fontId="8" fillId="0" borderId="4" xfId="0" applyFont="1" applyBorder="1" applyAlignment="1">
      <alignment wrapText="1"/>
    </xf>
    <xf numFmtId="2" fontId="6" fillId="0" borderId="4" xfId="2" applyNumberFormat="1" applyFont="1" applyBorder="1"/>
    <xf numFmtId="0" fontId="6" fillId="0" borderId="10" xfId="2" applyFont="1" applyBorder="1"/>
    <xf numFmtId="49" fontId="8" fillId="0" borderId="4" xfId="0" applyNumberFormat="1" applyFont="1" applyBorder="1" applyAlignment="1">
      <alignment wrapText="1"/>
    </xf>
    <xf numFmtId="2" fontId="8" fillId="0" borderId="19" xfId="4" applyNumberFormat="1" applyFont="1" applyBorder="1"/>
    <xf numFmtId="0" fontId="6" fillId="0" borderId="0" xfId="0" applyFont="1" applyAlignment="1">
      <alignment horizontal="left" vertical="center" wrapText="1"/>
    </xf>
    <xf numFmtId="0" fontId="6" fillId="0" borderId="0" xfId="0" applyFont="1" applyAlignment="1">
      <alignment vertical="center" wrapText="1"/>
    </xf>
    <xf numFmtId="1" fontId="6" fillId="0" borderId="15" xfId="0" applyNumberFormat="1" applyFont="1" applyBorder="1" applyAlignment="1">
      <alignment horizontal="center"/>
    </xf>
    <xf numFmtId="1" fontId="9" fillId="0" borderId="15" xfId="0" applyNumberFormat="1" applyFont="1" applyBorder="1" applyAlignment="1">
      <alignment horizontal="center"/>
    </xf>
    <xf numFmtId="0" fontId="6" fillId="0" borderId="12" xfId="0" applyFont="1" applyBorder="1" applyAlignment="1">
      <alignment vertical="center"/>
    </xf>
    <xf numFmtId="2" fontId="6" fillId="0" borderId="14" xfId="0" applyNumberFormat="1" applyFont="1" applyFill="1" applyBorder="1" applyAlignment="1"/>
    <xf numFmtId="2" fontId="6" fillId="0" borderId="2" xfId="0" applyNumberFormat="1" applyFont="1" applyFill="1" applyBorder="1"/>
    <xf numFmtId="2" fontId="8" fillId="0" borderId="2" xfId="0" applyNumberFormat="1" applyFont="1" applyFill="1" applyBorder="1"/>
    <xf numFmtId="0" fontId="5" fillId="0" borderId="1" xfId="0" applyFont="1" applyFill="1" applyBorder="1" applyAlignment="1">
      <alignment horizontal="center"/>
    </xf>
    <xf numFmtId="2" fontId="6" fillId="0" borderId="1" xfId="0" applyNumberFormat="1" applyFont="1" applyFill="1" applyBorder="1" applyAlignment="1">
      <alignment horizontal="right" vertical="center" wrapText="1"/>
    </xf>
    <xf numFmtId="2" fontId="6" fillId="0" borderId="1" xfId="0" applyNumberFormat="1" applyFont="1" applyFill="1" applyBorder="1" applyAlignment="1">
      <alignment horizontal="right"/>
    </xf>
    <xf numFmtId="0" fontId="6" fillId="0" borderId="15" xfId="0" applyFont="1" applyFill="1" applyBorder="1" applyAlignment="1">
      <alignment horizontal="center"/>
    </xf>
    <xf numFmtId="0" fontId="6" fillId="0" borderId="7" xfId="0" applyFont="1" applyFill="1" applyBorder="1" applyAlignment="1">
      <alignment horizontal="center"/>
    </xf>
    <xf numFmtId="0" fontId="6" fillId="0" borderId="12" xfId="0" applyFont="1" applyFill="1" applyBorder="1" applyAlignment="1">
      <alignment vertical="center"/>
    </xf>
    <xf numFmtId="1" fontId="6" fillId="0" borderId="15" xfId="0" applyNumberFormat="1" applyFont="1" applyFill="1" applyBorder="1" applyAlignment="1">
      <alignment horizontal="center"/>
    </xf>
    <xf numFmtId="2" fontId="6" fillId="0" borderId="1" xfId="0" applyNumberFormat="1" applyFont="1" applyBorder="1" applyAlignment="1">
      <alignment horizontal="right" vertical="center" wrapText="1"/>
    </xf>
    <xf numFmtId="2" fontId="6" fillId="0" borderId="1" xfId="0" applyNumberFormat="1" applyFont="1" applyFill="1" applyBorder="1"/>
    <xf numFmtId="0" fontId="6" fillId="0" borderId="1" xfId="0" applyFont="1" applyFill="1" applyBorder="1" applyAlignment="1">
      <alignment horizontal="center"/>
    </xf>
    <xf numFmtId="1" fontId="5" fillId="0" borderId="4" xfId="0" applyNumberFormat="1" applyFont="1" applyBorder="1" applyAlignment="1">
      <alignment horizontal="center"/>
    </xf>
    <xf numFmtId="1" fontId="5" fillId="0" borderId="5" xfId="0" applyNumberFormat="1" applyFont="1" applyBorder="1" applyAlignment="1">
      <alignment horizontal="center"/>
    </xf>
    <xf numFmtId="1" fontId="5" fillId="0" borderId="2" xfId="0" applyNumberFormat="1" applyFont="1" applyBorder="1" applyAlignment="1">
      <alignment horizontal="center"/>
    </xf>
    <xf numFmtId="0" fontId="5" fillId="0" borderId="0" xfId="0" applyFont="1" applyFill="1" applyBorder="1"/>
    <xf numFmtId="0" fontId="6" fillId="0" borderId="0" xfId="0" applyFont="1" applyFill="1" applyBorder="1" applyAlignment="1">
      <alignment wrapText="1"/>
    </xf>
    <xf numFmtId="0" fontId="18" fillId="0" borderId="4" xfId="0" applyFont="1" applyBorder="1"/>
    <xf numFmtId="0" fontId="8" fillId="0" borderId="15" xfId="0" applyFont="1" applyBorder="1"/>
    <xf numFmtId="1" fontId="6" fillId="0" borderId="4" xfId="0" applyNumberFormat="1" applyFont="1" applyBorder="1" applyAlignment="1">
      <alignment wrapText="1"/>
    </xf>
    <xf numFmtId="0" fontId="18" fillId="0" borderId="1" xfId="0" applyFont="1" applyBorder="1"/>
    <xf numFmtId="0" fontId="18" fillId="0" borderId="2" xfId="0" applyFont="1" applyBorder="1"/>
    <xf numFmtId="0" fontId="8" fillId="0" borderId="1" xfId="0" applyFont="1" applyBorder="1"/>
    <xf numFmtId="1" fontId="21" fillId="0" borderId="4" xfId="0" applyNumberFormat="1" applyFont="1" applyBorder="1"/>
    <xf numFmtId="0" fontId="8" fillId="0" borderId="7" xfId="0" applyFont="1" applyBorder="1"/>
    <xf numFmtId="0" fontId="8" fillId="0" borderId="8" xfId="0" applyFont="1" applyBorder="1"/>
    <xf numFmtId="0" fontId="8" fillId="0" borderId="9" xfId="0" applyFont="1" applyBorder="1"/>
    <xf numFmtId="0" fontId="8" fillId="0" borderId="6" xfId="0" applyFont="1" applyBorder="1"/>
    <xf numFmtId="0" fontId="8" fillId="0" borderId="3" xfId="0" applyFont="1" applyBorder="1"/>
    <xf numFmtId="0" fontId="16" fillId="0" borderId="0" xfId="0" applyFont="1" applyFill="1" applyBorder="1" applyAlignment="1">
      <alignment horizontal="left"/>
    </xf>
    <xf numFmtId="0" fontId="6" fillId="0" borderId="0" xfId="1" applyFont="1" applyFill="1" applyBorder="1" applyAlignment="1">
      <alignment horizontal="left"/>
    </xf>
    <xf numFmtId="0" fontId="16" fillId="0" borderId="12" xfId="0" applyFont="1" applyFill="1" applyBorder="1" applyAlignment="1">
      <alignment horizontal="left"/>
    </xf>
    <xf numFmtId="0" fontId="16" fillId="0" borderId="6" xfId="0" applyFont="1" applyBorder="1" applyAlignment="1"/>
    <xf numFmtId="164" fontId="6" fillId="0" borderId="4" xfId="1" applyNumberFormat="1" applyFont="1" applyBorder="1" applyAlignment="1">
      <alignment wrapText="1"/>
    </xf>
    <xf numFmtId="0" fontId="6" fillId="0" borderId="11" xfId="1" applyFont="1" applyBorder="1" applyAlignment="1">
      <alignment horizontal="left"/>
    </xf>
    <xf numFmtId="0" fontId="6" fillId="0" borderId="6" xfId="1" applyFont="1" applyBorder="1" applyAlignment="1">
      <alignment horizontal="left"/>
    </xf>
    <xf numFmtId="1" fontId="6" fillId="0" borderId="15" xfId="1" applyNumberFormat="1" applyFont="1" applyBorder="1"/>
    <xf numFmtId="0" fontId="6" fillId="0" borderId="0" xfId="1" applyFont="1" applyBorder="1" applyAlignment="1">
      <alignment horizontal="left"/>
    </xf>
    <xf numFmtId="0" fontId="6" fillId="0" borderId="12" xfId="1" applyFont="1" applyBorder="1" applyAlignment="1">
      <alignment horizontal="left"/>
    </xf>
    <xf numFmtId="1" fontId="6" fillId="0" borderId="8" xfId="1" applyNumberFormat="1" applyFont="1" applyBorder="1"/>
    <xf numFmtId="1" fontId="6" fillId="0" borderId="9" xfId="1" applyNumberFormat="1" applyFont="1" applyBorder="1"/>
    <xf numFmtId="0" fontId="6" fillId="0" borderId="0" xfId="0" applyFont="1" applyAlignment="1">
      <alignment horizontal="left"/>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6" xfId="0" applyFont="1" applyFill="1" applyBorder="1" applyAlignment="1">
      <alignment horizontal="left" wrapText="1"/>
    </xf>
    <xf numFmtId="2" fontId="6" fillId="0" borderId="4" xfId="1" applyNumberFormat="1" applyFont="1" applyFill="1" applyBorder="1" applyAlignment="1">
      <alignment horizontal="right"/>
    </xf>
    <xf numFmtId="2" fontId="6" fillId="0" borderId="15" xfId="1" applyNumberFormat="1" applyFont="1" applyFill="1" applyBorder="1"/>
    <xf numFmtId="0" fontId="11" fillId="0" borderId="3" xfId="0" applyFont="1" applyBorder="1"/>
    <xf numFmtId="0" fontId="9" fillId="0" borderId="11" xfId="0" applyFont="1" applyBorder="1" applyAlignment="1">
      <alignment vertical="center"/>
    </xf>
    <xf numFmtId="0" fontId="11" fillId="0" borderId="11" xfId="0" applyFont="1" applyBorder="1"/>
    <xf numFmtId="0" fontId="9"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9" fillId="0" borderId="7" xfId="0" applyFont="1" applyFill="1" applyBorder="1" applyAlignment="1">
      <alignment horizontal="left"/>
    </xf>
    <xf numFmtId="0" fontId="9" fillId="0" borderId="12" xfId="0" applyFont="1" applyBorder="1" applyAlignment="1">
      <alignment horizontal="left"/>
    </xf>
    <xf numFmtId="0" fontId="8" fillId="0" borderId="12" xfId="0" applyFont="1" applyFill="1" applyBorder="1" applyAlignment="1">
      <alignment horizontal="left"/>
    </xf>
    <xf numFmtId="0" fontId="9" fillId="0" borderId="7" xfId="1" applyFont="1" applyBorder="1" applyAlignment="1">
      <alignment horizontal="left"/>
    </xf>
    <xf numFmtId="0" fontId="9" fillId="0" borderId="8" xfId="1" applyFont="1" applyBorder="1" applyAlignment="1">
      <alignment horizontal="left"/>
    </xf>
    <xf numFmtId="0" fontId="6" fillId="0" borderId="4" xfId="1" applyFont="1" applyBorder="1" applyAlignment="1">
      <alignment horizontal="center"/>
    </xf>
    <xf numFmtId="0" fontId="6" fillId="0" borderId="4" xfId="1" applyFont="1" applyBorder="1" applyAlignment="1">
      <alignment horizontal="right" wrapText="1"/>
    </xf>
    <xf numFmtId="0" fontId="6" fillId="0" borderId="15" xfId="1" applyFont="1" applyBorder="1" applyAlignment="1">
      <alignment horizontal="center"/>
    </xf>
    <xf numFmtId="0" fontId="6" fillId="0" borderId="15" xfId="1" applyFont="1" applyFill="1" applyBorder="1" applyAlignment="1">
      <alignment horizontal="center"/>
    </xf>
    <xf numFmtId="0" fontId="6" fillId="0" borderId="0" xfId="1" applyFont="1" applyBorder="1" applyAlignment="1">
      <alignment horizontal="left" wrapText="1"/>
    </xf>
    <xf numFmtId="0" fontId="6" fillId="0" borderId="11" xfId="1" applyFont="1" applyBorder="1" applyAlignment="1">
      <alignment horizontal="left" wrapText="1"/>
    </xf>
    <xf numFmtId="0" fontId="6" fillId="0" borderId="6" xfId="1" applyFont="1" applyBorder="1" applyAlignment="1">
      <alignment horizontal="left" wrapText="1"/>
    </xf>
    <xf numFmtId="2" fontId="6" fillId="0" borderId="2" xfId="0" applyNumberFormat="1" applyFont="1" applyFill="1" applyBorder="1" applyAlignment="1">
      <alignment horizontal="right"/>
    </xf>
    <xf numFmtId="49" fontId="6" fillId="0" borderId="2" xfId="0" applyNumberFormat="1" applyFont="1" applyFill="1" applyBorder="1" applyAlignment="1">
      <alignment wrapText="1"/>
    </xf>
    <xf numFmtId="0" fontId="6" fillId="0" borderId="12" xfId="0" applyFont="1" applyBorder="1" applyAlignment="1">
      <alignment horizontal="left"/>
    </xf>
    <xf numFmtId="0" fontId="6" fillId="0" borderId="11" xfId="0" applyFont="1" applyFill="1" applyBorder="1" applyAlignment="1"/>
    <xf numFmtId="0" fontId="6" fillId="0" borderId="6" xfId="0" applyFont="1" applyFill="1" applyBorder="1" applyAlignment="1"/>
    <xf numFmtId="0" fontId="6" fillId="0" borderId="0" xfId="0" applyFont="1" applyFill="1" applyBorder="1" applyAlignment="1"/>
    <xf numFmtId="0" fontId="9" fillId="0" borderId="3" xfId="0" applyFont="1" applyBorder="1" applyAlignment="1"/>
    <xf numFmtId="0" fontId="6" fillId="0" borderId="12" xfId="0" applyFont="1" applyFill="1" applyBorder="1" applyAlignment="1"/>
    <xf numFmtId="0" fontId="11" fillId="0" borderId="4" xfId="1" applyFont="1" applyBorder="1" applyAlignment="1">
      <alignment horizontal="center"/>
    </xf>
    <xf numFmtId="0" fontId="11" fillId="0" borderId="2" xfId="1" applyFont="1" applyBorder="1" applyAlignment="1">
      <alignment horizontal="center"/>
    </xf>
    <xf numFmtId="0" fontId="9" fillId="0" borderId="5" xfId="1" applyFont="1" applyBorder="1"/>
    <xf numFmtId="0" fontId="6" fillId="0" borderId="10" xfId="0" applyFont="1" applyBorder="1" applyAlignment="1"/>
    <xf numFmtId="0" fontId="9" fillId="0" borderId="1" xfId="1" applyFont="1" applyBorder="1" applyAlignment="1">
      <alignment horizontal="left"/>
    </xf>
    <xf numFmtId="0" fontId="9" fillId="0" borderId="5" xfId="1" applyFont="1" applyBorder="1" applyAlignment="1">
      <alignment horizontal="left"/>
    </xf>
    <xf numFmtId="0" fontId="9" fillId="0" borderId="7" xfId="1" applyFont="1" applyBorder="1" applyAlignment="1">
      <alignment horizontal="left"/>
    </xf>
    <xf numFmtId="0" fontId="9" fillId="0" borderId="8" xfId="1" applyFont="1" applyBorder="1" applyAlignment="1">
      <alignment horizontal="left"/>
    </xf>
    <xf numFmtId="2" fontId="9" fillId="0" borderId="4" xfId="1" quotePrefix="1" applyNumberFormat="1" applyFont="1" applyFill="1" applyBorder="1" applyAlignment="1">
      <alignment horizontal="right"/>
    </xf>
    <xf numFmtId="2" fontId="9" fillId="0" borderId="2" xfId="1" applyNumberFormat="1" applyFont="1" applyFill="1" applyBorder="1"/>
    <xf numFmtId="0" fontId="1" fillId="0" borderId="0" xfId="2" applyFont="1" applyFill="1"/>
    <xf numFmtId="0" fontId="22" fillId="0" borderId="0" xfId="0" applyFont="1"/>
    <xf numFmtId="1" fontId="6" fillId="0" borderId="4" xfId="2" applyNumberFormat="1" applyFont="1" applyBorder="1"/>
    <xf numFmtId="0" fontId="6" fillId="0" borderId="12" xfId="3" applyFont="1" applyBorder="1" applyAlignment="1">
      <alignment horizontal="left"/>
    </xf>
    <xf numFmtId="0" fontId="6" fillId="0" borderId="11" xfId="3" applyFont="1" applyBorder="1" applyAlignment="1">
      <alignment horizontal="left"/>
    </xf>
    <xf numFmtId="2" fontId="6" fillId="0" borderId="2" xfId="2" applyNumberFormat="1" applyFont="1" applyBorder="1"/>
    <xf numFmtId="168" fontId="8" fillId="0" borderId="4" xfId="2" applyNumberFormat="1" applyFont="1" applyFill="1" applyBorder="1"/>
    <xf numFmtId="0" fontId="8" fillId="0" borderId="4" xfId="2" applyFont="1" applyFill="1" applyBorder="1" applyAlignment="1">
      <alignment horizontal="center"/>
    </xf>
    <xf numFmtId="0" fontId="6" fillId="0" borderId="12" xfId="3" applyFont="1" applyFill="1" applyBorder="1" applyAlignment="1"/>
    <xf numFmtId="0" fontId="6" fillId="0" borderId="0" xfId="3" applyFont="1" applyFill="1" applyBorder="1" applyAlignment="1"/>
    <xf numFmtId="0" fontId="6" fillId="0" borderId="10" xfId="3" applyFont="1" applyFill="1" applyBorder="1" applyAlignment="1"/>
    <xf numFmtId="0" fontId="6" fillId="0" borderId="6" xfId="3" applyFont="1" applyFill="1" applyBorder="1" applyAlignment="1"/>
    <xf numFmtId="0" fontId="6" fillId="0" borderId="3" xfId="3" applyFont="1" applyFill="1" applyBorder="1" applyAlignment="1"/>
    <xf numFmtId="0" fontId="6" fillId="0" borderId="10" xfId="3" applyFont="1" applyBorder="1" applyAlignment="1">
      <alignment wrapText="1"/>
    </xf>
    <xf numFmtId="0" fontId="6" fillId="0" borderId="6" xfId="3" applyFont="1" applyBorder="1" applyAlignment="1">
      <alignment wrapText="1"/>
    </xf>
    <xf numFmtId="0" fontId="6" fillId="0" borderId="3" xfId="3" applyFont="1" applyBorder="1" applyAlignment="1">
      <alignment wrapText="1"/>
    </xf>
    <xf numFmtId="169" fontId="6" fillId="0" borderId="15" xfId="2" applyNumberFormat="1" applyFont="1" applyFill="1" applyBorder="1"/>
    <xf numFmtId="0" fontId="6" fillId="0" borderId="0" xfId="2" applyFont="1" applyBorder="1"/>
    <xf numFmtId="0" fontId="6" fillId="0" borderId="0" xfId="2" applyFont="1" applyBorder="1" applyAlignment="1">
      <alignment horizontal="center"/>
    </xf>
    <xf numFmtId="166" fontId="6" fillId="0" borderId="0" xfId="2" applyNumberFormat="1" applyFont="1" applyBorder="1" applyAlignment="1">
      <alignment horizontal="center"/>
    </xf>
    <xf numFmtId="0" fontId="6" fillId="0" borderId="0" xfId="3" applyFont="1" applyBorder="1" applyAlignment="1">
      <alignment wrapText="1"/>
    </xf>
    <xf numFmtId="0" fontId="6" fillId="0" borderId="12" xfId="3" applyFont="1" applyBorder="1" applyAlignment="1"/>
    <xf numFmtId="1" fontId="5" fillId="0" borderId="13" xfId="2" applyNumberFormat="1" applyFont="1" applyFill="1" applyBorder="1" applyAlignment="1">
      <alignment horizontal="center" vertical="top"/>
    </xf>
    <xf numFmtId="1" fontId="5" fillId="0" borderId="2" xfId="2" applyNumberFormat="1" applyFont="1" applyFill="1" applyBorder="1" applyAlignment="1">
      <alignment horizontal="center" vertical="top"/>
    </xf>
    <xf numFmtId="0" fontId="6" fillId="0" borderId="11" xfId="2" applyFont="1" applyBorder="1" applyAlignment="1">
      <alignment horizontal="left"/>
    </xf>
    <xf numFmtId="0" fontId="6" fillId="0" borderId="6" xfId="2" applyFont="1" applyBorder="1" applyAlignment="1">
      <alignment horizontal="left"/>
    </xf>
    <xf numFmtId="0" fontId="6" fillId="0" borderId="3" xfId="2" applyFont="1" applyBorder="1" applyAlignment="1">
      <alignment horizontal="left"/>
    </xf>
    <xf numFmtId="0" fontId="8" fillId="0" borderId="8"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18" fillId="0" borderId="2" xfId="0" applyFont="1" applyFill="1" applyBorder="1"/>
    <xf numFmtId="0" fontId="6" fillId="0" borderId="8" xfId="0" applyFont="1" applyFill="1" applyBorder="1" applyAlignment="1">
      <alignment horizontal="center"/>
    </xf>
    <xf numFmtId="0" fontId="6" fillId="0" borderId="15" xfId="0" applyFont="1" applyFill="1" applyBorder="1" applyAlignment="1"/>
    <xf numFmtId="0" fontId="6" fillId="0" borderId="7"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1" xfId="0" applyFont="1" applyBorder="1" applyAlignment="1"/>
    <xf numFmtId="0" fontId="11" fillId="0" borderId="15" xfId="0" applyFont="1" applyBorder="1" applyAlignment="1">
      <alignment horizontal="center"/>
    </xf>
    <xf numFmtId="0" fontId="5" fillId="0" borderId="0" xfId="0" applyFont="1" applyFill="1" applyBorder="1" applyAlignment="1">
      <alignment horizontal="center"/>
    </xf>
    <xf numFmtId="0" fontId="11" fillId="0" borderId="0" xfId="0" applyFont="1" applyBorder="1" applyAlignment="1">
      <alignment horizontal="center"/>
    </xf>
    <xf numFmtId="0" fontId="5" fillId="0" borderId="8" xfId="0" applyFont="1" applyFill="1" applyBorder="1" applyAlignment="1">
      <alignment horizontal="center"/>
    </xf>
    <xf numFmtId="0" fontId="11" fillId="0" borderId="8" xfId="0" applyFont="1" applyBorder="1" applyAlignment="1">
      <alignment horizontal="center"/>
    </xf>
    <xf numFmtId="0" fontId="6" fillId="0" borderId="11" xfId="0" applyFont="1" applyBorder="1" applyAlignment="1"/>
    <xf numFmtId="0" fontId="6" fillId="0" borderId="6" xfId="0" applyFont="1" applyBorder="1" applyAlignment="1">
      <alignment wrapText="1"/>
    </xf>
    <xf numFmtId="2" fontId="9" fillId="0" borderId="4" xfId="0" applyNumberFormat="1" applyFont="1" applyBorder="1" applyAlignment="1">
      <alignment horizontal="center" wrapText="1"/>
    </xf>
    <xf numFmtId="0" fontId="5" fillId="0" borderId="6" xfId="0" applyFont="1" applyFill="1" applyBorder="1" applyAlignment="1">
      <alignment horizontal="center"/>
    </xf>
    <xf numFmtId="0" fontId="11" fillId="0" borderId="6" xfId="0" applyFont="1" applyBorder="1" applyAlignment="1">
      <alignment horizontal="center"/>
    </xf>
    <xf numFmtId="0" fontId="6" fillId="0" borderId="5" xfId="0" applyFont="1" applyBorder="1" applyAlignment="1"/>
    <xf numFmtId="0" fontId="6" fillId="0" borderId="6" xfId="0" applyFont="1" applyBorder="1" applyAlignment="1"/>
    <xf numFmtId="0" fontId="11" fillId="0" borderId="0" xfId="0" applyFont="1" applyBorder="1"/>
    <xf numFmtId="0" fontId="5" fillId="0" borderId="8" xfId="0" applyFont="1" applyFill="1" applyBorder="1"/>
    <xf numFmtId="0" fontId="11" fillId="0" borderId="8" xfId="0" applyFont="1" applyBorder="1"/>
    <xf numFmtId="0" fontId="6" fillId="0" borderId="11" xfId="0" applyFont="1" applyBorder="1" applyAlignment="1" applyProtection="1">
      <protection locked="0"/>
    </xf>
    <xf numFmtId="0" fontId="6" fillId="0" borderId="6" xfId="0" applyFont="1" applyBorder="1" applyAlignment="1" applyProtection="1">
      <alignment wrapText="1"/>
      <protection locked="0"/>
    </xf>
    <xf numFmtId="2" fontId="9" fillId="0" borderId="4" xfId="0" applyNumberFormat="1" applyFont="1" applyBorder="1" applyAlignment="1">
      <alignment wrapText="1"/>
    </xf>
    <xf numFmtId="0" fontId="6" fillId="0" borderId="11" xfId="0" applyFont="1" applyBorder="1" applyAlignment="1">
      <alignment wrapText="1"/>
    </xf>
    <xf numFmtId="0" fontId="6" fillId="0" borderId="4" xfId="1" applyFont="1" applyBorder="1" applyAlignment="1" applyProtection="1">
      <alignment horizontal="right"/>
      <protection locked="0"/>
    </xf>
    <xf numFmtId="0" fontId="5" fillId="0" borderId="8"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0" fontId="11" fillId="0" borderId="9" xfId="0" applyFont="1" applyBorder="1" applyAlignment="1">
      <alignment horizontal="center"/>
    </xf>
    <xf numFmtId="0" fontId="6" fillId="0" borderId="11" xfId="0" applyFont="1" applyBorder="1" applyAlignment="1">
      <alignment vertical="top"/>
    </xf>
    <xf numFmtId="0" fontId="6" fillId="0" borderId="6" xfId="0" applyFont="1" applyBorder="1" applyAlignment="1">
      <alignment vertical="top" wrapText="1"/>
    </xf>
    <xf numFmtId="0" fontId="6" fillId="0" borderId="3" xfId="0" applyFont="1" applyBorder="1" applyAlignment="1">
      <alignment vertical="top" wrapText="1"/>
    </xf>
    <xf numFmtId="0" fontId="11" fillId="0" borderId="10" xfId="0" applyFont="1" applyBorder="1" applyAlignment="1">
      <alignment horizontal="center"/>
    </xf>
    <xf numFmtId="0" fontId="6" fillId="0" borderId="11" xfId="0" applyFont="1" applyFill="1" applyBorder="1" applyAlignment="1">
      <alignment vertical="center"/>
    </xf>
    <xf numFmtId="0" fontId="6" fillId="0" borderId="6" xfId="0" applyFont="1" applyFill="1" applyBorder="1" applyAlignment="1">
      <alignment vertical="center" wrapText="1"/>
    </xf>
    <xf numFmtId="0" fontId="9" fillId="0" borderId="8" xfId="0" applyFont="1" applyBorder="1" applyAlignment="1">
      <alignment horizontal="center"/>
    </xf>
    <xf numFmtId="0" fontId="9" fillId="0" borderId="9" xfId="0" applyFont="1" applyBorder="1" applyAlignment="1">
      <alignment horizontal="center"/>
    </xf>
    <xf numFmtId="0" fontId="11" fillId="0" borderId="5" xfId="0" applyFont="1" applyBorder="1" applyAlignment="1">
      <alignment horizontal="center"/>
    </xf>
    <xf numFmtId="2" fontId="9" fillId="0" borderId="5" xfId="0" applyNumberFormat="1" applyFont="1" applyBorder="1" applyAlignment="1">
      <alignment horizontal="right"/>
    </xf>
    <xf numFmtId="2" fontId="9" fillId="0" borderId="2" xfId="0" applyNumberFormat="1" applyFont="1" applyBorder="1" applyAlignment="1">
      <alignment horizontal="right"/>
    </xf>
    <xf numFmtId="1" fontId="9" fillId="0" borderId="15" xfId="0" applyNumberFormat="1" applyFont="1" applyBorder="1" applyAlignment="1">
      <alignment horizontal="right"/>
    </xf>
    <xf numFmtId="1" fontId="9" fillId="0" borderId="8" xfId="0" applyNumberFormat="1" applyFont="1" applyBorder="1" applyAlignment="1">
      <alignment horizontal="right"/>
    </xf>
    <xf numFmtId="1" fontId="9" fillId="0" borderId="9" xfId="0" applyNumberFormat="1" applyFont="1" applyBorder="1" applyAlignment="1">
      <alignment horizontal="right"/>
    </xf>
    <xf numFmtId="0" fontId="9" fillId="0" borderId="7" xfId="0" applyFont="1" applyBorder="1"/>
    <xf numFmtId="0" fontId="11" fillId="0" borderId="4" xfId="0" applyFont="1" applyBorder="1" applyAlignment="1">
      <alignment horizontal="center" wrapText="1"/>
    </xf>
    <xf numFmtId="0" fontId="11" fillId="0" borderId="5" xfId="0" applyFont="1" applyBorder="1" applyAlignment="1">
      <alignment horizontal="center" wrapText="1"/>
    </xf>
    <xf numFmtId="2" fontId="9" fillId="0" borderId="5" xfId="0" applyNumberFormat="1" applyFont="1" applyBorder="1" applyAlignment="1">
      <alignment wrapText="1"/>
    </xf>
    <xf numFmtId="2" fontId="9" fillId="0" borderId="2" xfId="0" applyNumberFormat="1"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11" fillId="0" borderId="1" xfId="0" applyFont="1" applyBorder="1"/>
    <xf numFmtId="0" fontId="11" fillId="0" borderId="4" xfId="0" applyFont="1" applyBorder="1" applyAlignment="1">
      <alignment wrapText="1"/>
    </xf>
    <xf numFmtId="0" fontId="11" fillId="4" borderId="4" xfId="0" applyFont="1" applyFill="1" applyBorder="1" applyAlignment="1">
      <alignment horizontal="center"/>
    </xf>
    <xf numFmtId="0" fontId="11" fillId="4" borderId="5" xfId="0" applyFont="1" applyFill="1" applyBorder="1" applyAlignment="1">
      <alignment horizontal="center"/>
    </xf>
    <xf numFmtId="2" fontId="9" fillId="4" borderId="4" xfId="0" applyNumberFormat="1" applyFont="1" applyFill="1" applyBorder="1"/>
    <xf numFmtId="2" fontId="9" fillId="4" borderId="5" xfId="0" applyNumberFormat="1" applyFont="1" applyFill="1" applyBorder="1"/>
    <xf numFmtId="2" fontId="9" fillId="4" borderId="2" xfId="0" applyNumberFormat="1" applyFont="1" applyFill="1" applyBorder="1"/>
    <xf numFmtId="0" fontId="9" fillId="4" borderId="4" xfId="0" applyFont="1" applyFill="1" applyBorder="1"/>
    <xf numFmtId="0" fontId="9" fillId="4" borderId="5" xfId="0" applyFont="1" applyFill="1" applyBorder="1"/>
    <xf numFmtId="0" fontId="9" fillId="4" borderId="2" xfId="0" applyFont="1" applyFill="1" applyBorder="1"/>
    <xf numFmtId="0" fontId="9" fillId="4" borderId="15" xfId="0" applyFont="1" applyFill="1" applyBorder="1"/>
    <xf numFmtId="0" fontId="9" fillId="4" borderId="8" xfId="0" applyFont="1" applyFill="1" applyBorder="1"/>
    <xf numFmtId="0" fontId="9" fillId="4" borderId="9" xfId="0" applyFont="1" applyFill="1" applyBorder="1"/>
    <xf numFmtId="2" fontId="9" fillId="0" borderId="5" xfId="0" applyNumberFormat="1" applyFont="1" applyBorder="1"/>
    <xf numFmtId="2" fontId="9" fillId="0" borderId="2" xfId="0" applyNumberFormat="1" applyFont="1" applyBorder="1"/>
    <xf numFmtId="0" fontId="5" fillId="0" borderId="3" xfId="0" applyFont="1" applyBorder="1"/>
    <xf numFmtId="0" fontId="5" fillId="0" borderId="2" xfId="0" applyFont="1" applyBorder="1" applyAlignment="1">
      <alignment wrapText="1"/>
    </xf>
    <xf numFmtId="0" fontId="9" fillId="0" borderId="2" xfId="0" applyFont="1" applyBorder="1" applyAlignment="1">
      <alignment horizontal="left"/>
    </xf>
    <xf numFmtId="0" fontId="9" fillId="0" borderId="5" xfId="0" applyFont="1" applyBorder="1" applyAlignment="1">
      <alignment horizontal="left"/>
    </xf>
    <xf numFmtId="0" fontId="9" fillId="0" borderId="0" xfId="0" applyFont="1" applyBorder="1" applyAlignment="1"/>
    <xf numFmtId="0" fontId="8" fillId="0" borderId="12" xfId="0" applyFont="1" applyBorder="1" applyAlignment="1"/>
    <xf numFmtId="0" fontId="9" fillId="0" borderId="7" xfId="1" applyFont="1" applyFill="1" applyBorder="1"/>
    <xf numFmtId="0" fontId="11" fillId="0" borderId="4" xfId="1" applyFont="1" applyFill="1" applyBorder="1" applyAlignment="1">
      <alignment horizontal="center"/>
    </xf>
    <xf numFmtId="0" fontId="9" fillId="0" borderId="8" xfId="1" applyFont="1" applyFill="1" applyBorder="1" applyAlignment="1">
      <alignment horizontal="center"/>
    </xf>
    <xf numFmtId="0" fontId="9" fillId="0" borderId="11" xfId="1" applyFont="1" applyFill="1" applyBorder="1" applyAlignment="1"/>
    <xf numFmtId="0" fontId="9" fillId="0" borderId="6" xfId="1" applyFont="1" applyFill="1" applyBorder="1" applyAlignment="1"/>
    <xf numFmtId="0" fontId="6" fillId="0" borderId="0" xfId="0" applyFont="1" applyBorder="1" applyAlignment="1">
      <alignment horizontal="center"/>
    </xf>
    <xf numFmtId="0" fontId="9" fillId="0" borderId="8" xfId="1" applyFont="1" applyBorder="1" applyAlignment="1">
      <alignment horizontal="center"/>
    </xf>
    <xf numFmtId="0" fontId="8" fillId="0" borderId="0" xfId="1" applyFont="1" applyBorder="1"/>
    <xf numFmtId="2" fontId="9" fillId="0" borderId="4" xfId="1" applyNumberFormat="1" applyFont="1" applyBorder="1" applyAlignment="1">
      <alignment horizontal="right"/>
    </xf>
    <xf numFmtId="2" fontId="9" fillId="0" borderId="4" xfId="1" applyNumberFormat="1" applyFont="1" applyBorder="1" applyAlignment="1">
      <alignment horizontal="right" wrapText="1"/>
    </xf>
    <xf numFmtId="0" fontId="9" fillId="0" borderId="9" xfId="1" applyFont="1" applyFill="1" applyBorder="1" applyAlignment="1">
      <alignment horizontal="center"/>
    </xf>
    <xf numFmtId="0" fontId="9" fillId="0" borderId="11" xfId="1" applyFont="1" applyBorder="1" applyAlignment="1">
      <alignment horizontal="left"/>
    </xf>
    <xf numFmtId="0" fontId="9" fillId="0" borderId="6" xfId="1" applyFont="1" applyBorder="1" applyAlignment="1">
      <alignment horizontal="left"/>
    </xf>
    <xf numFmtId="0" fontId="9" fillId="0" borderId="3" xfId="1" applyFont="1" applyBorder="1" applyAlignment="1">
      <alignment horizontal="left"/>
    </xf>
    <xf numFmtId="0" fontId="6" fillId="0" borderId="7" xfId="0" applyFont="1" applyBorder="1" applyAlignment="1"/>
    <xf numFmtId="0" fontId="6" fillId="0" borderId="8" xfId="0" applyFont="1" applyBorder="1" applyAlignment="1"/>
    <xf numFmtId="0" fontId="6" fillId="0" borderId="0" xfId="0" applyFont="1" applyBorder="1" applyAlignment="1">
      <alignment vertical="center"/>
    </xf>
    <xf numFmtId="0" fontId="9" fillId="0" borderId="2" xfId="0" applyFont="1" applyBorder="1" applyAlignment="1"/>
    <xf numFmtId="0" fontId="9" fillId="0" borderId="9" xfId="0" applyFont="1" applyBorder="1" applyAlignment="1"/>
    <xf numFmtId="0" fontId="9" fillId="0" borderId="10" xfId="0" applyFont="1" applyBorder="1" applyAlignment="1"/>
    <xf numFmtId="0" fontId="1" fillId="0" borderId="0" xfId="0" applyFont="1"/>
    <xf numFmtId="0" fontId="6" fillId="0" borderId="0" xfId="0" applyFont="1" applyBorder="1" applyAlignment="1">
      <alignment horizontal="left" vertical="center"/>
    </xf>
    <xf numFmtId="0" fontId="6" fillId="0" borderId="7"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2" fontId="6" fillId="0" borderId="0" xfId="0" applyNumberFormat="1" applyFont="1" applyBorder="1"/>
    <xf numFmtId="0" fontId="9" fillId="0" borderId="1" xfId="1" applyFont="1" applyBorder="1" applyAlignment="1"/>
    <xf numFmtId="0" fontId="9" fillId="0" borderId="2" xfId="1" applyFont="1" applyBorder="1" applyAlignment="1"/>
    <xf numFmtId="0" fontId="9" fillId="0" borderId="9" xfId="1" applyFont="1" applyBorder="1" applyAlignment="1"/>
    <xf numFmtId="0" fontId="6" fillId="0" borderId="6" xfId="0" applyFont="1" applyBorder="1" applyAlignment="1">
      <alignment horizontal="center"/>
    </xf>
    <xf numFmtId="0" fontId="6" fillId="0" borderId="3" xfId="0" applyFont="1" applyBorder="1" applyAlignment="1">
      <alignment horizontal="center"/>
    </xf>
    <xf numFmtId="0" fontId="9" fillId="0" borderId="12" xfId="0" applyFont="1" applyBorder="1" applyAlignment="1"/>
    <xf numFmtId="0" fontId="9" fillId="0" borderId="0" xfId="0" applyFont="1" applyAlignment="1">
      <alignment horizontal="left" wrapText="1"/>
    </xf>
    <xf numFmtId="0" fontId="9" fillId="0" borderId="10" xfId="0" applyFont="1" applyBorder="1" applyAlignment="1">
      <alignment horizontal="left" wrapText="1"/>
    </xf>
    <xf numFmtId="2" fontId="8" fillId="0" borderId="4" xfId="0" applyNumberFormat="1" applyFont="1" applyFill="1" applyBorder="1" applyAlignment="1">
      <alignment horizontal="center" vertical="center" wrapText="1"/>
    </xf>
    <xf numFmtId="2" fontId="8" fillId="0" borderId="4" xfId="0" applyNumberFormat="1" applyFont="1" applyBorder="1" applyAlignment="1">
      <alignment wrapText="1"/>
    </xf>
    <xf numFmtId="2" fontId="8" fillId="0" borderId="4" xfId="1" applyNumberFormat="1" applyFont="1" applyFill="1" applyBorder="1" applyProtection="1">
      <protection locked="0"/>
    </xf>
    <xf numFmtId="0" fontId="5" fillId="0" borderId="15" xfId="0" applyFont="1" applyFill="1" applyBorder="1"/>
    <xf numFmtId="0" fontId="5" fillId="0" borderId="0" xfId="0" applyFont="1" applyFill="1" applyBorder="1" applyAlignment="1">
      <alignment horizontal="right"/>
    </xf>
    <xf numFmtId="0" fontId="5" fillId="0" borderId="8" xfId="0" applyFont="1" applyFill="1" applyBorder="1" applyAlignment="1">
      <alignment horizontal="right"/>
    </xf>
    <xf numFmtId="0" fontId="5" fillId="0" borderId="6" xfId="0" applyFont="1" applyFill="1" applyBorder="1"/>
    <xf numFmtId="0" fontId="5" fillId="0" borderId="6" xfId="0" applyFont="1" applyFill="1" applyBorder="1" applyAlignment="1">
      <alignment horizontal="right"/>
    </xf>
    <xf numFmtId="0" fontId="5" fillId="0" borderId="0" xfId="0" applyFont="1" applyBorder="1"/>
    <xf numFmtId="0" fontId="5" fillId="0" borderId="8" xfId="0" applyFont="1" applyBorder="1"/>
    <xf numFmtId="0" fontId="6" fillId="0" borderId="10" xfId="0" applyFont="1" applyBorder="1" applyAlignment="1">
      <alignment horizontal="center"/>
    </xf>
    <xf numFmtId="0" fontId="5" fillId="0" borderId="2" xfId="0" applyFont="1" applyFill="1" applyBorder="1" applyAlignment="1">
      <alignment horizontal="center" vertical="top" wrapText="1"/>
    </xf>
    <xf numFmtId="0" fontId="5" fillId="0" borderId="9" xfId="0" applyFont="1" applyBorder="1" applyAlignment="1">
      <alignment horizontal="left"/>
    </xf>
    <xf numFmtId="0" fontId="5" fillId="0" borderId="2" xfId="0" applyFont="1" applyBorder="1" applyAlignment="1">
      <alignment horizontal="left"/>
    </xf>
    <xf numFmtId="0" fontId="5" fillId="2" borderId="7" xfId="0" applyFont="1" applyFill="1" applyBorder="1"/>
    <xf numFmtId="0" fontId="9" fillId="0" borderId="16" xfId="1" applyFont="1" applyBorder="1"/>
    <xf numFmtId="0" fontId="6" fillId="0" borderId="16" xfId="1" applyFont="1" applyBorder="1"/>
    <xf numFmtId="0" fontId="5" fillId="0" borderId="1" xfId="1" applyFont="1" applyFill="1" applyBorder="1"/>
    <xf numFmtId="0" fontId="6" fillId="0" borderId="11" xfId="1" applyFont="1" applyFill="1" applyBorder="1"/>
    <xf numFmtId="0" fontId="5" fillId="0" borderId="16" xfId="1" applyFont="1" applyFill="1" applyBorder="1" applyAlignment="1">
      <alignment horizontal="center"/>
    </xf>
    <xf numFmtId="0" fontId="5" fillId="0" borderId="16" xfId="0" applyFont="1" applyFill="1" applyBorder="1" applyAlignment="1">
      <alignment horizontal="center"/>
    </xf>
    <xf numFmtId="0" fontId="5" fillId="0" borderId="16" xfId="0" applyFont="1" applyBorder="1" applyAlignment="1">
      <alignment horizontal="center"/>
    </xf>
    <xf numFmtId="0" fontId="11" fillId="0" borderId="16" xfId="0" applyFont="1" applyFill="1" applyBorder="1" applyAlignment="1">
      <alignment horizontal="center"/>
    </xf>
    <xf numFmtId="0" fontId="5" fillId="0" borderId="2" xfId="0" applyFont="1" applyFill="1" applyBorder="1" applyAlignment="1">
      <alignment horizontal="center"/>
    </xf>
    <xf numFmtId="0" fontId="11" fillId="0" borderId="2" xfId="0" applyFont="1" applyFill="1" applyBorder="1" applyAlignment="1">
      <alignment horizontal="center"/>
    </xf>
    <xf numFmtId="0" fontId="5" fillId="2" borderId="7" xfId="2" applyFont="1" applyFill="1" applyBorder="1"/>
    <xf numFmtId="0" fontId="5" fillId="0" borderId="7" xfId="2" applyFont="1" applyFill="1" applyBorder="1"/>
    <xf numFmtId="1" fontId="6" fillId="0" borderId="16" xfId="2" applyNumberFormat="1" applyFont="1" applyFill="1" applyBorder="1" applyAlignment="1">
      <alignment horizontal="center" vertical="top"/>
    </xf>
    <xf numFmtId="0" fontId="6" fillId="0" borderId="16" xfId="2" applyNumberFormat="1" applyFont="1" applyFill="1" applyBorder="1" applyAlignment="1">
      <alignment horizontal="center" vertical="top"/>
    </xf>
    <xf numFmtId="0" fontId="11" fillId="2" borderId="9" xfId="1" applyFont="1" applyFill="1" applyBorder="1"/>
    <xf numFmtId="0" fontId="5" fillId="2" borderId="15" xfId="0" applyFont="1" applyFill="1" applyBorder="1"/>
    <xf numFmtId="0" fontId="18" fillId="2" borderId="15" xfId="0" applyFont="1" applyFill="1" applyBorder="1"/>
    <xf numFmtId="0" fontId="11" fillId="0" borderId="16" xfId="1" applyFont="1" applyBorder="1" applyAlignment="1">
      <alignment horizontal="center"/>
    </xf>
    <xf numFmtId="0" fontId="9" fillId="0" borderId="11" xfId="1" applyFont="1" applyFill="1" applyBorder="1"/>
    <xf numFmtId="0" fontId="11" fillId="0" borderId="16" xfId="1" applyFont="1" applyFill="1" applyBorder="1" applyAlignment="1">
      <alignment horizontal="center"/>
    </xf>
    <xf numFmtId="0" fontId="11" fillId="0" borderId="16" xfId="0" applyFont="1" applyBorder="1" applyAlignment="1">
      <alignment horizontal="center"/>
    </xf>
    <xf numFmtId="0" fontId="18" fillId="0" borderId="2" xfId="0" applyFont="1" applyBorder="1" applyAlignment="1">
      <alignment horizontal="left"/>
    </xf>
    <xf numFmtId="0" fontId="11" fillId="2" borderId="15" xfId="1" applyFont="1" applyFill="1" applyBorder="1"/>
    <xf numFmtId="0" fontId="6" fillId="0" borderId="16" xfId="0" applyFont="1" applyFill="1" applyBorder="1"/>
    <xf numFmtId="0" fontId="5" fillId="0" borderId="16" xfId="0" applyFont="1" applyFill="1" applyBorder="1"/>
    <xf numFmtId="0" fontId="5" fillId="0" borderId="2" xfId="0" applyFont="1" applyFill="1" applyBorder="1" applyAlignment="1">
      <alignment horizontal="left"/>
    </xf>
    <xf numFmtId="2" fontId="6" fillId="0" borderId="2" xfId="0" applyNumberFormat="1" applyFont="1" applyBorder="1" applyAlignment="1">
      <alignment horizontal="center"/>
    </xf>
    <xf numFmtId="0" fontId="5" fillId="0" borderId="4" xfId="4" applyFont="1" applyBorder="1" applyAlignment="1">
      <alignment horizontal="center"/>
    </xf>
    <xf numFmtId="0" fontId="9" fillId="0" borderId="17" xfId="4" applyFont="1" applyBorder="1"/>
    <xf numFmtId="0" fontId="9" fillId="0" borderId="19" xfId="4" applyFont="1" applyBorder="1"/>
    <xf numFmtId="0" fontId="11" fillId="0" borderId="26" xfId="4" applyFont="1" applyBorder="1" applyAlignment="1">
      <alignment horizontal="center"/>
    </xf>
    <xf numFmtId="0" fontId="11" fillId="0" borderId="18" xfId="4" applyFont="1" applyBorder="1" applyAlignment="1">
      <alignment horizontal="center"/>
    </xf>
    <xf numFmtId="0" fontId="11" fillId="0" borderId="19" xfId="4" applyFont="1" applyBorder="1" applyAlignment="1">
      <alignment horizontal="center"/>
    </xf>
    <xf numFmtId="0" fontId="11" fillId="0" borderId="20" xfId="4" applyFont="1" applyBorder="1" applyAlignment="1">
      <alignment horizontal="center"/>
    </xf>
    <xf numFmtId="0" fontId="11" fillId="0" borderId="4" xfId="4" applyFont="1" applyBorder="1" applyAlignment="1">
      <alignment horizontal="center"/>
    </xf>
    <xf numFmtId="2" fontId="9" fillId="0" borderId="19" xfId="4" applyNumberFormat="1" applyFont="1" applyBorder="1" applyAlignment="1">
      <alignment horizontal="right"/>
    </xf>
    <xf numFmtId="2" fontId="9" fillId="0" borderId="19" xfId="4" applyNumberFormat="1" applyFont="1" applyBorder="1" applyAlignment="1"/>
    <xf numFmtId="2" fontId="9" fillId="0" borderId="20" xfId="4" applyNumberFormat="1" applyFont="1" applyBorder="1" applyAlignment="1"/>
    <xf numFmtId="2" fontId="9" fillId="0" borderId="4" xfId="4" applyNumberFormat="1" applyFont="1" applyBorder="1"/>
    <xf numFmtId="2" fontId="9" fillId="0" borderId="22" xfId="4" applyNumberFormat="1" applyFont="1" applyBorder="1" applyAlignment="1"/>
    <xf numFmtId="2" fontId="9" fillId="0" borderId="19" xfId="4" applyNumberFormat="1" applyFont="1" applyBorder="1"/>
    <xf numFmtId="2" fontId="9" fillId="0" borderId="20" xfId="4" applyNumberFormat="1" applyFont="1" applyBorder="1"/>
    <xf numFmtId="0" fontId="9" fillId="0" borderId="27" xfId="4" applyFont="1" applyBorder="1"/>
    <xf numFmtId="0" fontId="9" fillId="0" borderId="28" xfId="4" applyFont="1" applyBorder="1"/>
    <xf numFmtId="0" fontId="9" fillId="0" borderId="28" xfId="4" applyFont="1" applyBorder="1" applyAlignment="1">
      <alignment horizontal="center"/>
    </xf>
    <xf numFmtId="0" fontId="9" fillId="0" borderId="23" xfId="4" applyFont="1" applyBorder="1" applyAlignment="1">
      <alignment horizontal="center"/>
    </xf>
    <xf numFmtId="0" fontId="9" fillId="0" borderId="29" xfId="4" applyFont="1" applyBorder="1" applyAlignment="1">
      <alignment horizontal="center"/>
    </xf>
    <xf numFmtId="0" fontId="9" fillId="0" borderId="7" xfId="4" applyFont="1" applyBorder="1" applyAlignment="1"/>
    <xf numFmtId="0" fontId="9" fillId="0" borderId="8" xfId="4" applyFont="1" applyBorder="1"/>
    <xf numFmtId="0" fontId="9" fillId="0" borderId="9" xfId="4" applyFont="1" applyBorder="1"/>
    <xf numFmtId="0" fontId="9" fillId="0" borderId="12" xfId="4" applyFont="1" applyBorder="1" applyAlignment="1"/>
    <xf numFmtId="0" fontId="9" fillId="0" borderId="0" xfId="4" applyFont="1" applyBorder="1"/>
    <xf numFmtId="0" fontId="9" fillId="0" borderId="10" xfId="4" applyFont="1" applyBorder="1"/>
    <xf numFmtId="0" fontId="9" fillId="0" borderId="11" xfId="4" applyFont="1" applyBorder="1" applyAlignment="1"/>
    <xf numFmtId="0" fontId="9" fillId="0" borderId="6" xfId="4" applyFont="1" applyBorder="1"/>
    <xf numFmtId="0" fontId="9" fillId="0" borderId="3" xfId="4" applyFont="1" applyBorder="1"/>
    <xf numFmtId="0" fontId="11" fillId="0" borderId="17" xfId="4" applyFont="1" applyBorder="1"/>
    <xf numFmtId="0" fontId="11" fillId="0" borderId="20" xfId="4" applyFont="1" applyBorder="1" applyAlignment="1"/>
    <xf numFmtId="0" fontId="11" fillId="0" borderId="4" xfId="4" applyFont="1" applyBorder="1"/>
    <xf numFmtId="0" fontId="9" fillId="0" borderId="0" xfId="4" applyFont="1"/>
    <xf numFmtId="2" fontId="9" fillId="0" borderId="21" xfId="4" applyNumberFormat="1" applyFont="1" applyBorder="1" applyAlignment="1"/>
    <xf numFmtId="2" fontId="9" fillId="0" borderId="22" xfId="4" applyNumberFormat="1" applyFont="1" applyBorder="1" applyAlignment="1">
      <alignment horizontal="right"/>
    </xf>
    <xf numFmtId="0" fontId="9" fillId="0" borderId="0" xfId="4" applyFont="1" applyBorder="1" applyAlignment="1">
      <alignment horizontal="center"/>
    </xf>
    <xf numFmtId="0" fontId="9" fillId="0" borderId="15" xfId="4" applyFont="1" applyBorder="1" applyAlignment="1">
      <alignment horizontal="center"/>
    </xf>
    <xf numFmtId="2" fontId="9" fillId="0" borderId="4" xfId="4" applyNumberFormat="1" applyFont="1" applyBorder="1" applyAlignment="1">
      <alignment horizontal="right"/>
    </xf>
    <xf numFmtId="2" fontId="9" fillId="0" borderId="4" xfId="4" applyNumberFormat="1" applyFont="1" applyBorder="1" applyAlignment="1"/>
    <xf numFmtId="2" fontId="9" fillId="0" borderId="26" xfId="4" applyNumberFormat="1" applyFont="1" applyBorder="1" applyAlignment="1">
      <alignment horizontal="right"/>
    </xf>
    <xf numFmtId="2" fontId="9" fillId="0" borderId="21" xfId="4" applyNumberFormat="1" applyFont="1" applyBorder="1"/>
    <xf numFmtId="0" fontId="9" fillId="0" borderId="19" xfId="4" applyFont="1" applyBorder="1" applyAlignment="1">
      <alignment horizontal="right"/>
    </xf>
    <xf numFmtId="0" fontId="9" fillId="0" borderId="19" xfId="4" applyFont="1" applyFill="1" applyBorder="1" applyAlignment="1"/>
    <xf numFmtId="0" fontId="9" fillId="0" borderId="20" xfId="4" applyFont="1" applyBorder="1" applyAlignment="1"/>
    <xf numFmtId="0" fontId="9" fillId="0" borderId="19" xfId="4" applyFont="1" applyBorder="1" applyAlignment="1"/>
    <xf numFmtId="0" fontId="9" fillId="0" borderId="20" xfId="4" applyFont="1" applyBorder="1"/>
    <xf numFmtId="2" fontId="8" fillId="0" borderId="20" xfId="4" applyNumberFormat="1" applyFont="1" applyBorder="1"/>
    <xf numFmtId="0" fontId="9" fillId="0" borderId="0" xfId="4" applyFont="1" applyBorder="1" applyAlignment="1"/>
    <xf numFmtId="0" fontId="11" fillId="0" borderId="21" xfId="4" applyFont="1" applyFill="1" applyBorder="1" applyAlignment="1">
      <alignment horizontal="center"/>
    </xf>
    <xf numFmtId="0" fontId="11" fillId="0" borderId="19" xfId="4" applyFont="1" applyFill="1" applyBorder="1" applyAlignment="1">
      <alignment horizontal="center"/>
    </xf>
    <xf numFmtId="0" fontId="11" fillId="0" borderId="20" xfId="4" applyFont="1" applyFill="1" applyBorder="1" applyAlignment="1">
      <alignment horizontal="center"/>
    </xf>
    <xf numFmtId="0" fontId="11" fillId="0" borderId="4" xfId="4" applyFont="1" applyFill="1" applyBorder="1" applyAlignment="1">
      <alignment horizontal="center"/>
    </xf>
    <xf numFmtId="0" fontId="11" fillId="0" borderId="0" xfId="4" applyFont="1" applyBorder="1" applyAlignment="1">
      <alignment horizontal="center"/>
    </xf>
    <xf numFmtId="0" fontId="11" fillId="0" borderId="28" xfId="4" applyFont="1" applyBorder="1" applyAlignment="1">
      <alignment horizontal="center"/>
    </xf>
    <xf numFmtId="0" fontId="11" fillId="0" borderId="29" xfId="4" applyFont="1" applyBorder="1" applyAlignment="1">
      <alignment horizontal="center"/>
    </xf>
    <xf numFmtId="0" fontId="9" fillId="0" borderId="7" xfId="4" applyFont="1" applyBorder="1"/>
    <xf numFmtId="0" fontId="9" fillId="0" borderId="8" xfId="4" applyFont="1" applyBorder="1" applyAlignment="1">
      <alignment horizontal="center"/>
    </xf>
    <xf numFmtId="0" fontId="11" fillId="0" borderId="2" xfId="0" applyFont="1" applyBorder="1" applyAlignment="1">
      <alignment horizontal="left"/>
    </xf>
    <xf numFmtId="0" fontId="9" fillId="0" borderId="0" xfId="0" applyFont="1" applyFill="1" applyBorder="1" applyAlignment="1">
      <alignment wrapText="1"/>
    </xf>
    <xf numFmtId="0" fontId="11" fillId="0" borderId="0" xfId="0" applyFont="1" applyFill="1" applyBorder="1"/>
    <xf numFmtId="49" fontId="9" fillId="0" borderId="4" xfId="1" applyNumberFormat="1" applyFont="1" applyFill="1" applyBorder="1" applyAlignment="1">
      <alignment horizontal="right" wrapText="1"/>
    </xf>
    <xf numFmtId="49" fontId="8" fillId="0" borderId="4" xfId="1" applyNumberFormat="1" applyFont="1" applyFill="1" applyBorder="1" applyAlignment="1">
      <alignment horizontal="center" wrapText="1"/>
    </xf>
    <xf numFmtId="49" fontId="9" fillId="0" borderId="4" xfId="1" quotePrefix="1" applyNumberFormat="1" applyFont="1" applyFill="1" applyBorder="1" applyAlignment="1">
      <alignment horizontal="center" wrapText="1"/>
    </xf>
    <xf numFmtId="49" fontId="9" fillId="0" borderId="4" xfId="1" applyNumberFormat="1" applyFont="1" applyFill="1" applyBorder="1" applyAlignment="1">
      <alignment horizontal="center" wrapText="1"/>
    </xf>
    <xf numFmtId="0" fontId="9" fillId="0" borderId="0" xfId="0" applyFont="1" applyFill="1" applyBorder="1" applyAlignment="1">
      <alignment horizontal="center"/>
    </xf>
    <xf numFmtId="0" fontId="9" fillId="0" borderId="6" xfId="0" applyFont="1" applyFill="1" applyBorder="1" applyAlignment="1">
      <alignment horizontal="center"/>
    </xf>
    <xf numFmtId="0" fontId="9" fillId="0" borderId="0" xfId="0" applyFont="1" applyFill="1" applyBorder="1" applyAlignment="1">
      <alignment horizontal="left" wrapText="1"/>
    </xf>
    <xf numFmtId="0" fontId="9" fillId="0" borderId="7" xfId="0" applyFont="1" applyFill="1" applyBorder="1" applyAlignment="1">
      <alignment horizontal="center"/>
    </xf>
    <xf numFmtId="0" fontId="9" fillId="0" borderId="7" xfId="0" applyFont="1" applyFill="1" applyBorder="1" applyAlignment="1"/>
    <xf numFmtId="0" fontId="9" fillId="0" borderId="8" xfId="0" applyFont="1" applyFill="1" applyBorder="1" applyAlignment="1">
      <alignment wrapText="1"/>
    </xf>
    <xf numFmtId="0" fontId="9" fillId="0" borderId="9" xfId="0" applyFont="1" applyFill="1" applyBorder="1" applyAlignment="1">
      <alignment wrapText="1"/>
    </xf>
    <xf numFmtId="0" fontId="9" fillId="0" borderId="12" xfId="0" applyFont="1" applyFill="1" applyBorder="1" applyAlignment="1">
      <alignment horizontal="left"/>
    </xf>
    <xf numFmtId="0" fontId="9" fillId="0" borderId="10" xfId="0" applyFont="1" applyFill="1" applyBorder="1" applyAlignment="1">
      <alignment horizontal="left" wrapText="1"/>
    </xf>
    <xf numFmtId="0" fontId="9" fillId="0" borderId="10" xfId="0" applyFont="1" applyFill="1" applyBorder="1" applyAlignment="1">
      <alignment wrapText="1"/>
    </xf>
    <xf numFmtId="0" fontId="5" fillId="5" borderId="2" xfId="0" applyFont="1" applyFill="1" applyBorder="1"/>
    <xf numFmtId="0" fontId="5" fillId="5" borderId="2" xfId="1" applyFont="1" applyFill="1" applyBorder="1"/>
    <xf numFmtId="0" fontId="5" fillId="5" borderId="15" xfId="0" applyFont="1" applyFill="1" applyBorder="1" applyAlignment="1">
      <alignment horizontal="center"/>
    </xf>
    <xf numFmtId="0" fontId="18" fillId="5" borderId="15" xfId="0" applyFont="1" applyFill="1" applyBorder="1" applyAlignment="1">
      <alignment horizontal="center"/>
    </xf>
    <xf numFmtId="0" fontId="5" fillId="5" borderId="15" xfId="2" applyFont="1" applyFill="1" applyBorder="1"/>
    <xf numFmtId="0" fontId="11" fillId="5" borderId="15" xfId="1" applyFont="1" applyFill="1" applyBorder="1"/>
    <xf numFmtId="0" fontId="5" fillId="5" borderId="15" xfId="0" applyFont="1" applyFill="1" applyBorder="1"/>
    <xf numFmtId="0" fontId="18" fillId="5" borderId="9" xfId="1" applyFont="1" applyFill="1" applyBorder="1"/>
    <xf numFmtId="0" fontId="11" fillId="5" borderId="9" xfId="1" applyFont="1" applyFill="1" applyBorder="1"/>
    <xf numFmtId="0" fontId="18" fillId="5" borderId="2" xfId="0" applyFont="1" applyFill="1" applyBorder="1"/>
    <xf numFmtId="0" fontId="5" fillId="5" borderId="18" xfId="4" applyFont="1" applyFill="1" applyBorder="1"/>
    <xf numFmtId="0" fontId="18" fillId="5" borderId="15" xfId="0" applyFont="1" applyFill="1" applyBorder="1"/>
    <xf numFmtId="0" fontId="6" fillId="0" borderId="0" xfId="1" applyFont="1" applyBorder="1" applyAlignment="1">
      <alignment wrapText="1"/>
    </xf>
    <xf numFmtId="0" fontId="18" fillId="0" borderId="2" xfId="1" applyFont="1" applyBorder="1"/>
    <xf numFmtId="0" fontId="18" fillId="0" borderId="1" xfId="1" applyFont="1" applyBorder="1"/>
    <xf numFmtId="0" fontId="18" fillId="0" borderId="4" xfId="1" applyFont="1" applyBorder="1"/>
    <xf numFmtId="0" fontId="8" fillId="0" borderId="1" xfId="1" applyFont="1" applyBorder="1"/>
    <xf numFmtId="0" fontId="8" fillId="0" borderId="4" xfId="1" applyFont="1" applyBorder="1"/>
    <xf numFmtId="2" fontId="8" fillId="0" borderId="4" xfId="1" applyNumberFormat="1" applyFont="1" applyBorder="1"/>
    <xf numFmtId="164" fontId="8" fillId="0" borderId="4" xfId="1" applyNumberFormat="1" applyFont="1" applyBorder="1"/>
    <xf numFmtId="0" fontId="8" fillId="0" borderId="7" xfId="1" applyFont="1" applyBorder="1"/>
    <xf numFmtId="1" fontId="8" fillId="0" borderId="15" xfId="1" applyNumberFormat="1" applyFont="1" applyBorder="1"/>
    <xf numFmtId="0" fontId="8" fillId="0" borderId="12" xfId="0" applyFont="1" applyBorder="1" applyAlignment="1">
      <alignment vertical="center"/>
    </xf>
    <xf numFmtId="0" fontId="8" fillId="0" borderId="0" xfId="0" applyFont="1" applyBorder="1"/>
    <xf numFmtId="0" fontId="8" fillId="0" borderId="0" xfId="0" applyFont="1" applyBorder="1" applyAlignment="1">
      <alignment vertical="center" wrapText="1"/>
    </xf>
    <xf numFmtId="0" fontId="8" fillId="0" borderId="10" xfId="0" applyFont="1" applyBorder="1"/>
    <xf numFmtId="0" fontId="8" fillId="0" borderId="11" xfId="0" applyFont="1" applyBorder="1" applyAlignment="1">
      <alignment vertical="center"/>
    </xf>
    <xf numFmtId="0" fontId="8" fillId="0" borderId="6" xfId="0" applyFont="1" applyBorder="1" applyAlignment="1">
      <alignment vertical="center" wrapText="1"/>
    </xf>
    <xf numFmtId="0" fontId="18" fillId="0" borderId="4" xfId="0" applyFont="1" applyBorder="1" applyAlignment="1">
      <alignment horizontal="center"/>
    </xf>
    <xf numFmtId="1" fontId="8" fillId="0" borderId="15" xfId="0" applyNumberFormat="1" applyFont="1" applyBorder="1" applyAlignment="1">
      <alignment horizontal="center"/>
    </xf>
    <xf numFmtId="0" fontId="24" fillId="0" borderId="12" xfId="0" applyFont="1" applyBorder="1" applyAlignment="1">
      <alignment horizontal="left"/>
    </xf>
    <xf numFmtId="2" fontId="8" fillId="0" borderId="5" xfId="0" applyNumberFormat="1" applyFont="1" applyBorder="1" applyAlignment="1">
      <alignment horizontal="right"/>
    </xf>
    <xf numFmtId="40" fontId="8" fillId="0" borderId="4" xfId="2" applyNumberFormat="1" applyFont="1" applyBorder="1"/>
    <xf numFmtId="2" fontId="8" fillId="0" borderId="4" xfId="2" applyNumberFormat="1" applyFont="1" applyBorder="1"/>
    <xf numFmtId="0" fontId="8" fillId="0" borderId="11" xfId="3" applyFont="1" applyBorder="1"/>
    <xf numFmtId="0" fontId="8" fillId="0" borderId="12" xfId="3" applyFont="1" applyBorder="1" applyAlignment="1">
      <alignment horizontal="left"/>
    </xf>
    <xf numFmtId="2" fontId="8" fillId="0" borderId="2" xfId="2" applyNumberFormat="1" applyFont="1" applyBorder="1"/>
    <xf numFmtId="0" fontId="5" fillId="0" borderId="1" xfId="2" applyFont="1" applyBorder="1"/>
    <xf numFmtId="0" fontId="18" fillId="0" borderId="2" xfId="2" applyFont="1" applyBorder="1"/>
    <xf numFmtId="0" fontId="5" fillId="0" borderId="2" xfId="2" applyFont="1" applyBorder="1"/>
    <xf numFmtId="0" fontId="6" fillId="0" borderId="11" xfId="2" applyFont="1" applyBorder="1"/>
    <xf numFmtId="1" fontId="5" fillId="0" borderId="16" xfId="2" applyNumberFormat="1" applyFont="1" applyBorder="1" applyAlignment="1">
      <alignment horizontal="center" vertical="top"/>
    </xf>
    <xf numFmtId="0" fontId="6" fillId="0" borderId="1" xfId="2" applyFont="1" applyBorder="1"/>
    <xf numFmtId="0" fontId="6" fillId="0" borderId="7" xfId="2" applyFont="1" applyBorder="1"/>
    <xf numFmtId="40" fontId="6" fillId="0" borderId="15" xfId="2" applyNumberFormat="1" applyFont="1" applyBorder="1"/>
    <xf numFmtId="0" fontId="6" fillId="0" borderId="8" xfId="2" applyFont="1" applyBorder="1"/>
    <xf numFmtId="0" fontId="6" fillId="0" borderId="9" xfId="2" applyFont="1" applyBorder="1"/>
    <xf numFmtId="0" fontId="6" fillId="0" borderId="6" xfId="2" applyFont="1" applyBorder="1"/>
    <xf numFmtId="0" fontId="6" fillId="0" borderId="3" xfId="2" applyFont="1" applyBorder="1"/>
    <xf numFmtId="0" fontId="8" fillId="0" borderId="16" xfId="0" applyFont="1" applyBorder="1"/>
    <xf numFmtId="0" fontId="18" fillId="0" borderId="16" xfId="0" applyFont="1" applyBorder="1" applyAlignment="1">
      <alignment horizontal="center"/>
    </xf>
    <xf numFmtId="0" fontId="18" fillId="0" borderId="1" xfId="0" applyFont="1" applyBorder="1" applyAlignment="1">
      <alignment horizontal="center"/>
    </xf>
    <xf numFmtId="0" fontId="8" fillId="0" borderId="4" xfId="1" applyFont="1" applyBorder="1" applyAlignment="1">
      <alignment horizontal="right" wrapText="1"/>
    </xf>
    <xf numFmtId="0" fontId="8" fillId="0" borderId="4" xfId="0" applyFont="1" applyBorder="1" applyAlignment="1">
      <alignment horizontal="center"/>
    </xf>
    <xf numFmtId="0" fontId="8" fillId="0" borderId="1" xfId="0" applyFont="1" applyBorder="1" applyAlignment="1">
      <alignment horizontal="center"/>
    </xf>
    <xf numFmtId="0" fontId="6" fillId="0" borderId="6"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6" fillId="0" borderId="0" xfId="0" applyFont="1" applyBorder="1" applyAlignment="1">
      <alignment horizontal="left" wrapText="1"/>
    </xf>
    <xf numFmtId="0" fontId="16" fillId="0" borderId="12" xfId="0" applyFont="1" applyBorder="1" applyAlignment="1">
      <alignment horizontal="left"/>
    </xf>
    <xf numFmtId="0" fontId="16" fillId="0" borderId="0" xfId="0" applyFont="1" applyBorder="1" applyAlignment="1">
      <alignment horizontal="left"/>
    </xf>
    <xf numFmtId="0" fontId="8" fillId="0" borderId="15" xfId="1" applyFont="1" applyFill="1" applyBorder="1"/>
    <xf numFmtId="0" fontId="24" fillId="0" borderId="11" xfId="0" applyFont="1" applyBorder="1" applyAlignment="1"/>
    <xf numFmtId="2" fontId="6" fillId="0" borderId="1" xfId="1" applyNumberFormat="1" applyFont="1" applyBorder="1" applyAlignment="1"/>
    <xf numFmtId="2" fontId="6" fillId="0" borderId="5" xfId="1" applyNumberFormat="1" applyFont="1" applyBorder="1" applyAlignment="1"/>
    <xf numFmtId="2" fontId="6" fillId="0" borderId="2" xfId="1" applyNumberFormat="1" applyFont="1" applyBorder="1" applyAlignment="1"/>
    <xf numFmtId="2" fontId="8" fillId="0" borderId="2" xfId="1" applyNumberFormat="1" applyFont="1" applyBorder="1" applyAlignment="1"/>
    <xf numFmtId="0" fontId="8" fillId="0" borderId="15" xfId="1" applyFont="1" applyBorder="1"/>
    <xf numFmtId="0" fontId="8" fillId="0" borderId="11" xfId="1" applyFont="1" applyBorder="1"/>
    <xf numFmtId="0" fontId="18" fillId="0" borderId="4" xfId="4" applyFont="1" applyBorder="1" applyAlignment="1">
      <alignment horizontal="center"/>
    </xf>
    <xf numFmtId="2" fontId="8" fillId="0" borderId="4" xfId="4" applyNumberFormat="1" applyFont="1" applyBorder="1"/>
    <xf numFmtId="0" fontId="8" fillId="0" borderId="15" xfId="4" applyFont="1" applyBorder="1" applyAlignment="1">
      <alignment horizontal="center"/>
    </xf>
    <xf numFmtId="0" fontId="8" fillId="0" borderId="11" xfId="4" applyFont="1" applyBorder="1" applyAlignment="1"/>
    <xf numFmtId="2" fontId="8" fillId="0" borderId="4" xfId="4" applyNumberFormat="1" applyFont="1" applyFill="1" applyBorder="1"/>
    <xf numFmtId="2" fontId="8" fillId="0" borderId="2" xfId="1" applyNumberFormat="1" applyFont="1" applyBorder="1"/>
    <xf numFmtId="0" fontId="8" fillId="0" borderId="4" xfId="1" applyFont="1" applyBorder="1" applyAlignment="1">
      <alignment horizontal="right"/>
    </xf>
    <xf numFmtId="0" fontId="8" fillId="0" borderId="15" xfId="0" applyFont="1" applyBorder="1" applyAlignment="1">
      <alignment horizontal="center"/>
    </xf>
    <xf numFmtId="0" fontId="8" fillId="0" borderId="11" xfId="1" applyFont="1" applyBorder="1" applyAlignment="1">
      <alignment horizontal="left"/>
    </xf>
    <xf numFmtId="0" fontId="8" fillId="0" borderId="2" xfId="1" applyFont="1" applyBorder="1"/>
    <xf numFmtId="170" fontId="8" fillId="0" borderId="2" xfId="1" applyNumberFormat="1" applyFont="1" applyBorder="1"/>
    <xf numFmtId="170" fontId="8" fillId="0" borderId="4" xfId="1" applyNumberFormat="1" applyFont="1" applyBorder="1"/>
    <xf numFmtId="164" fontId="8" fillId="0" borderId="4" xfId="1" applyNumberFormat="1" applyFont="1" applyBorder="1" applyAlignment="1">
      <alignment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5" xfId="0" applyFont="1" applyFill="1" applyBorder="1"/>
    <xf numFmtId="0" fontId="9" fillId="0" borderId="5" xfId="0" applyFont="1" applyFill="1" applyBorder="1"/>
    <xf numFmtId="0" fontId="8" fillId="0" borderId="2" xfId="0" applyFont="1" applyBorder="1"/>
    <xf numFmtId="1" fontId="5" fillId="0" borderId="16" xfId="2" applyNumberFormat="1" applyFont="1" applyFill="1" applyBorder="1" applyAlignment="1">
      <alignment horizontal="center" vertical="top"/>
    </xf>
    <xf numFmtId="1" fontId="18" fillId="0" borderId="4" xfId="2" applyNumberFormat="1" applyFont="1" applyFill="1" applyBorder="1" applyAlignment="1">
      <alignment horizontal="center" vertical="top"/>
    </xf>
    <xf numFmtId="2" fontId="8" fillId="0" borderId="4" xfId="2" applyNumberFormat="1" applyFont="1" applyFill="1" applyBorder="1"/>
    <xf numFmtId="0" fontId="8" fillId="0" borderId="2" xfId="2" applyFont="1" applyFill="1" applyBorder="1"/>
    <xf numFmtId="0" fontId="8" fillId="0" borderId="11" xfId="3" applyFont="1" applyFill="1" applyBorder="1" applyAlignment="1"/>
    <xf numFmtId="0" fontId="6" fillId="0" borderId="15" xfId="2" applyFont="1" applyFill="1" applyBorder="1" applyAlignment="1">
      <alignment horizontal="center"/>
    </xf>
    <xf numFmtId="0" fontId="8" fillId="0" borderId="15" xfId="2" applyFont="1" applyFill="1" applyBorder="1" applyAlignment="1">
      <alignment horizontal="center"/>
    </xf>
    <xf numFmtId="0" fontId="18" fillId="0" borderId="4" xfId="0" applyFont="1" applyFill="1" applyBorder="1" applyAlignment="1">
      <alignment horizontal="center"/>
    </xf>
    <xf numFmtId="0" fontId="8" fillId="0" borderId="15" xfId="0" applyFont="1" applyFill="1" applyBorder="1" applyAlignment="1">
      <alignment horizontal="center"/>
    </xf>
    <xf numFmtId="0" fontId="8" fillId="0" borderId="9" xfId="0" applyFont="1" applyFill="1" applyBorder="1" applyAlignment="1">
      <alignment horizontal="center"/>
    </xf>
    <xf numFmtId="0" fontId="8" fillId="0" borderId="11" xfId="0" applyFont="1" applyFill="1" applyBorder="1"/>
    <xf numFmtId="0" fontId="8" fillId="0" borderId="4" xfId="0" quotePrefix="1" applyFont="1" applyBorder="1"/>
    <xf numFmtId="0" fontId="8" fillId="0" borderId="9" xfId="0" applyFont="1" applyBorder="1" applyAlignment="1">
      <alignment horizontal="center"/>
    </xf>
    <xf numFmtId="0" fontId="8" fillId="0" borderId="11" xfId="0" applyFont="1" applyBorder="1" applyAlignment="1">
      <alignment horizontal="left"/>
    </xf>
    <xf numFmtId="0" fontId="9" fillId="0" borderId="0" xfId="1" applyFont="1" applyFill="1" applyBorder="1" applyAlignment="1">
      <alignment horizontal="center"/>
    </xf>
    <xf numFmtId="0" fontId="9" fillId="0" borderId="12" xfId="1" applyFont="1" applyFill="1" applyBorder="1"/>
    <xf numFmtId="0" fontId="8" fillId="0" borderId="7" xfId="1" applyFont="1" applyFill="1" applyBorder="1"/>
    <xf numFmtId="0" fontId="9" fillId="0" borderId="0" xfId="1" applyFont="1" applyBorder="1" applyAlignment="1">
      <alignment horizontal="center"/>
    </xf>
    <xf numFmtId="0" fontId="9" fillId="0" borderId="10" xfId="1" applyFont="1" applyFill="1" applyBorder="1" applyAlignment="1">
      <alignment horizontal="center"/>
    </xf>
    <xf numFmtId="0" fontId="8" fillId="0" borderId="12" xfId="1" applyFont="1" applyBorder="1"/>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6" fillId="0" borderId="7" xfId="1" applyFont="1" applyBorder="1" applyAlignment="1">
      <alignment horizontal="left" wrapText="1"/>
    </xf>
    <xf numFmtId="0" fontId="6" fillId="0" borderId="8" xfId="1" applyFont="1" applyBorder="1" applyAlignment="1">
      <alignment horizontal="left" wrapText="1"/>
    </xf>
    <xf numFmtId="0" fontId="6" fillId="0" borderId="9" xfId="1" applyFont="1" applyBorder="1" applyAlignment="1">
      <alignment horizontal="left" wrapText="1"/>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9" fillId="0" borderId="11" xfId="0" applyFont="1" applyBorder="1" applyAlignment="1">
      <alignment horizontal="left" wrapText="1"/>
    </xf>
    <xf numFmtId="0" fontId="9" fillId="0" borderId="6" xfId="0" applyFont="1" applyBorder="1" applyAlignment="1">
      <alignment horizontal="left" wrapText="1"/>
    </xf>
    <xf numFmtId="0" fontId="9" fillId="0" borderId="3" xfId="0" applyFont="1" applyBorder="1" applyAlignment="1">
      <alignment horizontal="left" wrapText="1"/>
    </xf>
    <xf numFmtId="0" fontId="6" fillId="0" borderId="12" xfId="0" applyFont="1" applyFill="1" applyBorder="1" applyAlignment="1">
      <alignment horizontal="left" wrapText="1"/>
    </xf>
    <xf numFmtId="0" fontId="6" fillId="0" borderId="0" xfId="0" applyFont="1" applyFill="1" applyBorder="1" applyAlignment="1">
      <alignment horizontal="left" wrapText="1"/>
    </xf>
    <xf numFmtId="0" fontId="6" fillId="0" borderId="10" xfId="0" applyFont="1" applyFill="1" applyBorder="1" applyAlignment="1">
      <alignment horizontal="left" wrapText="1"/>
    </xf>
    <xf numFmtId="0" fontId="8" fillId="0" borderId="1" xfId="0" applyFont="1" applyBorder="1" applyAlignment="1">
      <alignment horizontal="left" wrapText="1"/>
    </xf>
    <xf numFmtId="0" fontId="8" fillId="0" borderId="5" xfId="0" applyFont="1" applyBorder="1" applyAlignment="1">
      <alignment horizontal="left" wrapText="1"/>
    </xf>
    <xf numFmtId="0" fontId="8" fillId="0" borderId="2"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2" xfId="1" applyFont="1" applyBorder="1" applyAlignment="1">
      <alignment horizontal="left"/>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8" fillId="0" borderId="1" xfId="1" applyFont="1" applyBorder="1" applyAlignment="1">
      <alignment horizontal="left" vertical="top" wrapText="1"/>
    </xf>
    <xf numFmtId="0" fontId="8" fillId="0" borderId="5" xfId="1" applyFont="1" applyBorder="1" applyAlignment="1">
      <alignment horizontal="left" vertical="top" wrapText="1"/>
    </xf>
    <xf numFmtId="0" fontId="8" fillId="0" borderId="2" xfId="1" applyFont="1" applyBorder="1" applyAlignment="1">
      <alignment horizontal="left" vertical="top" wrapText="1"/>
    </xf>
    <xf numFmtId="0" fontId="6" fillId="0" borderId="11" xfId="1" applyFont="1" applyBorder="1" applyAlignment="1">
      <alignment horizontal="left" vertical="top" wrapText="1"/>
    </xf>
    <xf numFmtId="0" fontId="6" fillId="0" borderId="6" xfId="1" applyFont="1" applyBorder="1" applyAlignment="1">
      <alignment horizontal="left" vertical="top" wrapText="1"/>
    </xf>
    <xf numFmtId="0" fontId="6" fillId="0" borderId="3" xfId="1" applyFont="1" applyBorder="1" applyAlignment="1">
      <alignment horizontal="left" vertical="top" wrapText="1"/>
    </xf>
    <xf numFmtId="0" fontId="8" fillId="0" borderId="3" xfId="0" applyFont="1" applyBorder="1" applyAlignment="1">
      <alignment horizontal="left"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9" fillId="0" borderId="4" xfId="1" applyFont="1" applyBorder="1" applyAlignment="1">
      <alignment horizontal="left" wrapText="1"/>
    </xf>
    <xf numFmtId="0" fontId="6" fillId="0" borderId="0" xfId="0" applyFont="1" applyAlignment="1">
      <alignment horizontal="left" wrapText="1"/>
    </xf>
    <xf numFmtId="0" fontId="9" fillId="0" borderId="1" xfId="1" applyFont="1" applyBorder="1" applyAlignment="1">
      <alignment horizontal="center" wrapText="1"/>
    </xf>
    <xf numFmtId="0" fontId="9" fillId="0" borderId="5" xfId="1" applyFont="1" applyBorder="1" applyAlignment="1">
      <alignment horizontal="center" wrapText="1"/>
    </xf>
    <xf numFmtId="0" fontId="9" fillId="0" borderId="2" xfId="1" applyFont="1" applyBorder="1" applyAlignment="1">
      <alignment horizontal="center"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6" fillId="0" borderId="1" xfId="1" applyFont="1" applyBorder="1" applyAlignment="1">
      <alignment horizontal="left"/>
    </xf>
    <xf numFmtId="0" fontId="6" fillId="0" borderId="5" xfId="1" applyFont="1" applyBorder="1" applyAlignment="1">
      <alignment horizontal="left"/>
    </xf>
    <xf numFmtId="0" fontId="6" fillId="0" borderId="2" xfId="1" applyFont="1" applyBorder="1" applyAlignment="1">
      <alignment horizontal="left"/>
    </xf>
    <xf numFmtId="0" fontId="6" fillId="0" borderId="7" xfId="0" applyFont="1" applyFill="1" applyBorder="1" applyAlignment="1">
      <alignment horizontal="left"/>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16" fillId="0" borderId="12" xfId="0" applyFont="1" applyBorder="1" applyAlignment="1">
      <alignment horizontal="left"/>
    </xf>
    <xf numFmtId="0" fontId="16" fillId="0" borderId="0" xfId="0" applyFont="1" applyBorder="1" applyAlignment="1">
      <alignment horizontal="left"/>
    </xf>
    <xf numFmtId="2" fontId="6" fillId="0" borderId="1" xfId="1" applyNumberFormat="1" applyFont="1" applyFill="1" applyBorder="1" applyAlignment="1">
      <alignment horizontal="center"/>
    </xf>
    <xf numFmtId="2" fontId="6" fillId="0" borderId="5"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5" xfId="1" applyNumberFormat="1" applyFont="1" applyBorder="1" applyAlignment="1">
      <alignment horizontal="center"/>
    </xf>
    <xf numFmtId="2" fontId="6" fillId="0" borderId="2" xfId="1" applyNumberFormat="1" applyFont="1" applyBorder="1" applyAlignment="1">
      <alignment horizontal="center"/>
    </xf>
    <xf numFmtId="0" fontId="6" fillId="0" borderId="7" xfId="1" applyFont="1" applyBorder="1" applyAlignment="1">
      <alignment horizontal="left"/>
    </xf>
    <xf numFmtId="0" fontId="6" fillId="0" borderId="8" xfId="1" applyFont="1" applyBorder="1" applyAlignment="1">
      <alignment horizontal="left"/>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9" fillId="0" borderId="12" xfId="0" applyFont="1" applyBorder="1" applyAlignment="1">
      <alignment horizontal="left" wrapText="1"/>
    </xf>
    <xf numFmtId="0" fontId="9" fillId="0" borderId="0" xfId="0" applyFont="1" applyAlignment="1">
      <alignment horizontal="left" wrapText="1"/>
    </xf>
    <xf numFmtId="0" fontId="9" fillId="0" borderId="10" xfId="0" applyFont="1" applyBorder="1" applyAlignment="1">
      <alignment horizontal="left" wrapText="1"/>
    </xf>
    <xf numFmtId="0" fontId="6" fillId="0" borderId="4" xfId="1" applyFont="1" applyBorder="1" applyAlignment="1">
      <alignment horizontal="left"/>
    </xf>
    <xf numFmtId="0" fontId="6" fillId="0" borderId="1" xfId="0" applyFont="1" applyFill="1" applyBorder="1" applyAlignment="1">
      <alignment horizontal="left" wrapText="1"/>
    </xf>
    <xf numFmtId="0" fontId="6" fillId="0" borderId="5" xfId="0" applyFont="1" applyFill="1" applyBorder="1" applyAlignment="1">
      <alignment horizontal="left" wrapText="1"/>
    </xf>
    <xf numFmtId="0" fontId="6" fillId="0" borderId="2" xfId="0" applyFont="1" applyFill="1" applyBorder="1" applyAlignment="1">
      <alignment horizontal="left" wrapText="1"/>
    </xf>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5"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60"/>
  <sheetViews>
    <sheetView tabSelected="1" topLeftCell="A949" zoomScale="80" zoomScaleNormal="80" workbookViewId="0">
      <selection activeCell="A988" sqref="A988"/>
    </sheetView>
  </sheetViews>
  <sheetFormatPr defaultColWidth="9.109375" defaultRowHeight="13.2" x14ac:dyDescent="0.25"/>
  <cols>
    <col min="1" max="1" width="16.33203125" style="107" customWidth="1"/>
    <col min="2" max="2" width="19.88671875" style="107" customWidth="1"/>
    <col min="3" max="6" width="22.6640625" style="107" customWidth="1"/>
    <col min="7" max="7" width="22.77734375" style="107" customWidth="1"/>
    <col min="8" max="8" width="19.44140625" style="107" customWidth="1"/>
    <col min="9" max="9" width="17.109375" style="107" customWidth="1"/>
    <col min="10" max="13" width="13.6640625" style="107" customWidth="1"/>
    <col min="14" max="16384" width="9.109375" style="107"/>
  </cols>
  <sheetData>
    <row r="1" spans="1:7" ht="13.8" x14ac:dyDescent="0.3">
      <c r="A1" s="117" t="s">
        <v>693</v>
      </c>
      <c r="B1" s="106"/>
      <c r="C1" s="106"/>
      <c r="D1" s="106"/>
      <c r="E1" s="106"/>
      <c r="F1" s="117"/>
      <c r="G1" s="106"/>
    </row>
    <row r="2" spans="1:7" ht="13.8" x14ac:dyDescent="0.3">
      <c r="A2" s="118" t="s">
        <v>694</v>
      </c>
      <c r="B2" s="106"/>
      <c r="C2" s="106"/>
      <c r="D2" s="106"/>
      <c r="E2" s="106"/>
      <c r="F2" s="117"/>
      <c r="G2" s="106"/>
    </row>
    <row r="3" spans="1:7" ht="13.8" x14ac:dyDescent="0.3">
      <c r="A3" s="117" t="s">
        <v>695</v>
      </c>
      <c r="B3" s="106"/>
      <c r="C3" s="106"/>
      <c r="D3" s="106"/>
      <c r="E3" s="106"/>
      <c r="F3" s="117"/>
      <c r="G3" s="106"/>
    </row>
    <row r="4" spans="1:7" ht="13.8" x14ac:dyDescent="0.3">
      <c r="F4" s="117"/>
    </row>
    <row r="5" spans="1:7" x14ac:dyDescent="0.25">
      <c r="A5" s="1" t="s">
        <v>12</v>
      </c>
      <c r="B5" s="722" t="s">
        <v>219</v>
      </c>
      <c r="C5" s="139"/>
      <c r="D5" s="2"/>
      <c r="E5" s="2"/>
      <c r="F5" s="2"/>
      <c r="G5" s="2"/>
    </row>
    <row r="6" spans="1:7" x14ac:dyDescent="0.25">
      <c r="A6" s="3" t="s">
        <v>14</v>
      </c>
      <c r="B6" s="4" t="s">
        <v>224</v>
      </c>
      <c r="C6" s="5" t="s">
        <v>15</v>
      </c>
      <c r="D6" s="2"/>
    </row>
    <row r="7" spans="1:7" x14ac:dyDescent="0.25">
      <c r="A7" s="6" t="s">
        <v>16</v>
      </c>
      <c r="B7" s="7"/>
      <c r="C7" s="7">
        <v>2019</v>
      </c>
      <c r="D7" s="7">
        <v>2020</v>
      </c>
      <c r="E7" s="7">
        <v>2021</v>
      </c>
    </row>
    <row r="8" spans="1:7" x14ac:dyDescent="0.25">
      <c r="A8" s="6" t="s">
        <v>17</v>
      </c>
      <c r="B8" s="94"/>
      <c r="C8" s="94">
        <v>215</v>
      </c>
      <c r="D8" s="94">
        <v>215</v>
      </c>
      <c r="E8" s="94">
        <v>242</v>
      </c>
    </row>
    <row r="9" spans="1:7" x14ac:dyDescent="0.25">
      <c r="A9" s="6" t="s">
        <v>18</v>
      </c>
      <c r="B9" s="242"/>
      <c r="C9" s="94">
        <v>265</v>
      </c>
      <c r="D9" s="94">
        <v>265</v>
      </c>
      <c r="E9" s="94">
        <f>E8+0.25*C8</f>
        <v>295.75</v>
      </c>
    </row>
    <row r="10" spans="1:7" ht="26.4" x14ac:dyDescent="0.25">
      <c r="A10" s="6" t="s">
        <v>19</v>
      </c>
      <c r="B10" s="14"/>
      <c r="C10" s="405" t="s">
        <v>417</v>
      </c>
      <c r="D10" s="405" t="s">
        <v>463</v>
      </c>
      <c r="E10" s="405" t="s">
        <v>497</v>
      </c>
    </row>
    <row r="11" spans="1:7" x14ac:dyDescent="0.25">
      <c r="A11" s="6" t="s">
        <v>20</v>
      </c>
      <c r="B11" s="242"/>
      <c r="C11" s="94">
        <v>7.12</v>
      </c>
      <c r="D11" s="94">
        <v>10.18</v>
      </c>
      <c r="E11" s="94"/>
    </row>
    <row r="12" spans="1:7" x14ac:dyDescent="0.25">
      <c r="A12" s="6" t="s">
        <v>21</v>
      </c>
      <c r="B12" s="242"/>
      <c r="C12" s="94">
        <f>C9-C11</f>
        <v>257.88</v>
      </c>
      <c r="D12" s="94">
        <f>D9-D11</f>
        <v>254.82</v>
      </c>
      <c r="E12" s="94"/>
    </row>
    <row r="13" spans="1:7" x14ac:dyDescent="0.25">
      <c r="A13" s="8" t="s">
        <v>22</v>
      </c>
      <c r="B13" s="37"/>
      <c r="C13" s="37">
        <v>2021</v>
      </c>
      <c r="D13" s="37">
        <v>2022</v>
      </c>
      <c r="E13" s="37">
        <v>2023</v>
      </c>
    </row>
    <row r="14" spans="1:7" x14ac:dyDescent="0.25">
      <c r="A14" s="8" t="s">
        <v>23</v>
      </c>
      <c r="B14" s="9"/>
      <c r="C14" s="9"/>
      <c r="D14" s="132"/>
      <c r="E14" s="248"/>
    </row>
    <row r="15" spans="1:7" x14ac:dyDescent="0.25">
      <c r="A15" s="11" t="s">
        <v>333</v>
      </c>
      <c r="B15" s="12"/>
      <c r="C15" s="12"/>
      <c r="D15" s="137"/>
      <c r="E15" s="138"/>
    </row>
    <row r="16" spans="1:7" x14ac:dyDescent="0.25">
      <c r="A16" s="11"/>
      <c r="B16" s="12"/>
      <c r="C16" s="12"/>
      <c r="D16" s="108"/>
    </row>
    <row r="17" spans="1:7" x14ac:dyDescent="0.25">
      <c r="A17" s="3" t="s">
        <v>14</v>
      </c>
      <c r="B17" s="4" t="s">
        <v>220</v>
      </c>
      <c r="C17" s="5" t="s">
        <v>15</v>
      </c>
      <c r="D17" s="2"/>
      <c r="E17" s="2"/>
      <c r="F17" s="2"/>
      <c r="G17" s="2"/>
    </row>
    <row r="18" spans="1:7" x14ac:dyDescent="0.25">
      <c r="A18" s="6" t="s">
        <v>16</v>
      </c>
      <c r="B18" s="7">
        <v>2018</v>
      </c>
      <c r="C18" s="7">
        <v>2019</v>
      </c>
      <c r="D18" s="7">
        <v>2020</v>
      </c>
      <c r="E18" s="7">
        <v>2021</v>
      </c>
    </row>
    <row r="19" spans="1:7" x14ac:dyDescent="0.25">
      <c r="A19" s="6" t="s">
        <v>17</v>
      </c>
      <c r="B19" s="94">
        <v>45</v>
      </c>
      <c r="C19" s="94">
        <v>45</v>
      </c>
      <c r="D19" s="94">
        <v>45</v>
      </c>
      <c r="E19" s="94">
        <v>45</v>
      </c>
    </row>
    <row r="20" spans="1:7" x14ac:dyDescent="0.25">
      <c r="A20" s="6" t="s">
        <v>18</v>
      </c>
      <c r="B20" s="94">
        <v>63</v>
      </c>
      <c r="C20" s="94">
        <v>63</v>
      </c>
      <c r="D20" s="94">
        <v>63</v>
      </c>
      <c r="E20" s="94">
        <v>63</v>
      </c>
    </row>
    <row r="21" spans="1:7" x14ac:dyDescent="0.25">
      <c r="A21" s="6" t="s">
        <v>19</v>
      </c>
      <c r="B21" s="7" t="s">
        <v>330</v>
      </c>
      <c r="C21" s="7" t="s">
        <v>330</v>
      </c>
      <c r="D21" s="7" t="s">
        <v>330</v>
      </c>
      <c r="E21" s="7" t="s">
        <v>330</v>
      </c>
    </row>
    <row r="22" spans="1:7" x14ac:dyDescent="0.25">
      <c r="A22" s="6" t="s">
        <v>20</v>
      </c>
      <c r="B22" s="94">
        <v>18.100000000000001</v>
      </c>
      <c r="C22" s="94">
        <v>9.9499999999999993</v>
      </c>
      <c r="D22" s="94">
        <v>11.79</v>
      </c>
      <c r="E22" s="94"/>
    </row>
    <row r="23" spans="1:7" x14ac:dyDescent="0.25">
      <c r="A23" s="6" t="s">
        <v>21</v>
      </c>
      <c r="B23" s="94">
        <f>B20-B22</f>
        <v>44.9</v>
      </c>
      <c r="C23" s="94">
        <f>C20-C22</f>
        <v>53.05</v>
      </c>
      <c r="D23" s="94">
        <f>D20-D22</f>
        <v>51.21</v>
      </c>
      <c r="E23" s="94"/>
    </row>
    <row r="24" spans="1:7" x14ac:dyDescent="0.25">
      <c r="A24" s="8" t="s">
        <v>22</v>
      </c>
      <c r="B24" s="37">
        <v>2020</v>
      </c>
      <c r="C24" s="37">
        <v>2021</v>
      </c>
      <c r="D24" s="37">
        <v>2022</v>
      </c>
      <c r="E24" s="37">
        <v>2023</v>
      </c>
    </row>
    <row r="25" spans="1:7" x14ac:dyDescent="0.25">
      <c r="A25" s="8" t="s">
        <v>166</v>
      </c>
      <c r="B25" s="9"/>
      <c r="C25" s="9"/>
      <c r="D25" s="9"/>
      <c r="E25" s="10"/>
    </row>
    <row r="26" spans="1:7" x14ac:dyDescent="0.25">
      <c r="A26" s="11" t="s">
        <v>464</v>
      </c>
      <c r="B26" s="12"/>
      <c r="C26" s="12"/>
      <c r="D26" s="12"/>
      <c r="E26" s="13"/>
    </row>
    <row r="27" spans="1:7" x14ac:dyDescent="0.25">
      <c r="A27" s="2"/>
    </row>
    <row r="28" spans="1:7" x14ac:dyDescent="0.25">
      <c r="A28" s="406" t="s">
        <v>14</v>
      </c>
      <c r="B28" s="407" t="s">
        <v>85</v>
      </c>
      <c r="C28" s="403" t="s">
        <v>15</v>
      </c>
      <c r="D28" s="95"/>
      <c r="E28" s="95"/>
    </row>
    <row r="29" spans="1:7" x14ac:dyDescent="0.25">
      <c r="A29" s="408" t="s">
        <v>16</v>
      </c>
      <c r="B29" s="270">
        <v>2018</v>
      </c>
      <c r="C29" s="270">
        <v>2019</v>
      </c>
      <c r="D29" s="270">
        <v>2020</v>
      </c>
      <c r="E29" s="270">
        <v>2021</v>
      </c>
    </row>
    <row r="30" spans="1:7" x14ac:dyDescent="0.25">
      <c r="A30" s="408" t="s">
        <v>17</v>
      </c>
      <c r="B30" s="242">
        <v>10</v>
      </c>
      <c r="C30" s="242">
        <v>10</v>
      </c>
      <c r="D30" s="242">
        <v>10</v>
      </c>
      <c r="E30" s="242">
        <v>10</v>
      </c>
    </row>
    <row r="31" spans="1:7" x14ac:dyDescent="0.25">
      <c r="A31" s="408" t="s">
        <v>18</v>
      </c>
      <c r="B31" s="242">
        <v>-28.870000000000005</v>
      </c>
      <c r="C31" s="242">
        <v>-32.42</v>
      </c>
      <c r="D31" s="242">
        <v>-35.900000000000006</v>
      </c>
      <c r="E31" s="242">
        <v>-47.430000000000007</v>
      </c>
    </row>
    <row r="32" spans="1:7" x14ac:dyDescent="0.25">
      <c r="A32" s="408" t="s">
        <v>19</v>
      </c>
      <c r="B32" s="409" t="s">
        <v>466</v>
      </c>
      <c r="C32" s="409" t="s">
        <v>467</v>
      </c>
      <c r="D32" s="409" t="s">
        <v>468</v>
      </c>
      <c r="E32" s="409" t="s">
        <v>469</v>
      </c>
    </row>
    <row r="33" spans="1:5" x14ac:dyDescent="0.25">
      <c r="A33" s="408" t="s">
        <v>20</v>
      </c>
      <c r="B33" s="242">
        <v>13.55</v>
      </c>
      <c r="C33" s="242">
        <v>13.48</v>
      </c>
      <c r="D33" s="242">
        <v>21.53</v>
      </c>
      <c r="E33" s="242"/>
    </row>
    <row r="34" spans="1:5" x14ac:dyDescent="0.25">
      <c r="A34" s="408" t="s">
        <v>21</v>
      </c>
      <c r="B34" s="242">
        <v>-42.42</v>
      </c>
      <c r="C34" s="242">
        <v>-45.900000000000006</v>
      </c>
      <c r="D34" s="242">
        <v>-57.430000000000007</v>
      </c>
      <c r="E34" s="242"/>
    </row>
    <row r="35" spans="1:5" x14ac:dyDescent="0.25">
      <c r="A35" s="410" t="s">
        <v>22</v>
      </c>
      <c r="B35" s="404">
        <v>2019</v>
      </c>
      <c r="C35" s="404">
        <v>2020</v>
      </c>
      <c r="D35" s="404">
        <v>2021</v>
      </c>
      <c r="E35" s="404">
        <v>2022</v>
      </c>
    </row>
    <row r="36" spans="1:5" x14ac:dyDescent="0.25">
      <c r="A36" s="410" t="s">
        <v>23</v>
      </c>
      <c r="B36" s="411"/>
      <c r="C36" s="411"/>
      <c r="D36" s="411"/>
      <c r="E36" s="412"/>
    </row>
    <row r="37" spans="1:5" x14ac:dyDescent="0.25">
      <c r="A37" s="241" t="s">
        <v>465</v>
      </c>
      <c r="B37" s="413"/>
      <c r="C37" s="413"/>
      <c r="D37" s="413"/>
      <c r="E37" s="414"/>
    </row>
    <row r="38" spans="1:5" x14ac:dyDescent="0.25">
      <c r="A38" s="2"/>
    </row>
    <row r="39" spans="1:5" x14ac:dyDescent="0.25">
      <c r="A39" s="3" t="s">
        <v>14</v>
      </c>
      <c r="B39" s="4" t="s">
        <v>90</v>
      </c>
      <c r="C39" s="5" t="s">
        <v>15</v>
      </c>
      <c r="D39" s="2"/>
    </row>
    <row r="40" spans="1:5" x14ac:dyDescent="0.25">
      <c r="A40" s="6" t="s">
        <v>16</v>
      </c>
      <c r="B40" s="7">
        <v>2018</v>
      </c>
      <c r="C40" s="7">
        <v>2019</v>
      </c>
      <c r="D40" s="7">
        <v>2020</v>
      </c>
      <c r="E40" s="7">
        <v>2021</v>
      </c>
    </row>
    <row r="41" spans="1:5" x14ac:dyDescent="0.25">
      <c r="A41" s="6" t="s">
        <v>17</v>
      </c>
      <c r="B41" s="94">
        <v>10</v>
      </c>
      <c r="C41" s="94">
        <v>10</v>
      </c>
      <c r="D41" s="94">
        <v>10</v>
      </c>
      <c r="E41" s="94">
        <v>10</v>
      </c>
    </row>
    <row r="42" spans="1:5" x14ac:dyDescent="0.25">
      <c r="A42" s="6" t="s">
        <v>18</v>
      </c>
      <c r="B42" s="94">
        <f>10-2.23</f>
        <v>7.77</v>
      </c>
      <c r="C42" s="94">
        <f>C41-7.1</f>
        <v>2.9000000000000004</v>
      </c>
      <c r="D42" s="94">
        <f>10+B45</f>
        <v>0.26999999999999957</v>
      </c>
      <c r="E42" s="94">
        <f>10+C45</f>
        <v>1.4000000000000004</v>
      </c>
    </row>
    <row r="43" spans="1:5" x14ac:dyDescent="0.25">
      <c r="A43" s="6" t="s">
        <v>19</v>
      </c>
      <c r="B43" s="14" t="s">
        <v>331</v>
      </c>
      <c r="C43" s="14" t="s">
        <v>332</v>
      </c>
      <c r="D43" s="14" t="s">
        <v>470</v>
      </c>
      <c r="E43" s="14" t="s">
        <v>471</v>
      </c>
    </row>
    <row r="44" spans="1:5" x14ac:dyDescent="0.25">
      <c r="A44" s="6" t="s">
        <v>20</v>
      </c>
      <c r="B44" s="94">
        <v>17.5</v>
      </c>
      <c r="C44" s="94">
        <v>11.5</v>
      </c>
      <c r="D44" s="94">
        <v>14.36</v>
      </c>
      <c r="E44" s="94"/>
    </row>
    <row r="45" spans="1:5" x14ac:dyDescent="0.25">
      <c r="A45" s="6" t="s">
        <v>21</v>
      </c>
      <c r="B45" s="94">
        <f>B42-B44</f>
        <v>-9.73</v>
      </c>
      <c r="C45" s="94">
        <f>C42-C44</f>
        <v>-8.6</v>
      </c>
      <c r="D45" s="94">
        <f>D42-D44</f>
        <v>-14.09</v>
      </c>
      <c r="E45" s="94"/>
    </row>
    <row r="46" spans="1:5" x14ac:dyDescent="0.25">
      <c r="A46" s="8" t="s">
        <v>22</v>
      </c>
      <c r="B46" s="37">
        <v>2020</v>
      </c>
      <c r="C46" s="37">
        <v>2021</v>
      </c>
      <c r="D46" s="37">
        <v>2022</v>
      </c>
      <c r="E46" s="37">
        <v>2023</v>
      </c>
    </row>
    <row r="47" spans="1:5" x14ac:dyDescent="0.25">
      <c r="A47" s="8" t="s">
        <v>23</v>
      </c>
      <c r="B47" s="9"/>
      <c r="C47" s="9"/>
      <c r="D47" s="132"/>
      <c r="E47" s="248"/>
    </row>
    <row r="48" spans="1:5" x14ac:dyDescent="0.25">
      <c r="A48" s="11" t="s">
        <v>465</v>
      </c>
      <c r="B48" s="12"/>
      <c r="C48" s="12"/>
      <c r="D48" s="137"/>
      <c r="E48" s="138"/>
    </row>
    <row r="51" spans="1:8" x14ac:dyDescent="0.25">
      <c r="A51" s="15" t="s">
        <v>12</v>
      </c>
      <c r="B51" s="723" t="s">
        <v>179</v>
      </c>
      <c r="C51" s="139"/>
      <c r="D51" s="16"/>
      <c r="E51" s="16"/>
      <c r="F51" s="16"/>
      <c r="G51" s="108"/>
    </row>
    <row r="52" spans="1:8" x14ac:dyDescent="0.25">
      <c r="A52" s="142" t="s">
        <v>14</v>
      </c>
      <c r="B52" s="143" t="s">
        <v>224</v>
      </c>
      <c r="C52" s="158" t="s">
        <v>15</v>
      </c>
      <c r="D52" s="139"/>
      <c r="E52" s="139"/>
      <c r="F52" s="139"/>
      <c r="G52" s="108"/>
    </row>
    <row r="53" spans="1:8" x14ac:dyDescent="0.25">
      <c r="A53" s="145" t="s">
        <v>16</v>
      </c>
      <c r="B53" s="34"/>
      <c r="C53" s="140">
        <v>2017</v>
      </c>
      <c r="D53" s="34">
        <v>2018</v>
      </c>
      <c r="E53" s="34">
        <v>2019</v>
      </c>
      <c r="F53" s="34">
        <v>2020</v>
      </c>
      <c r="G53" s="34">
        <v>2021</v>
      </c>
      <c r="H53" s="288">
        <v>2022</v>
      </c>
    </row>
    <row r="54" spans="1:8" x14ac:dyDescent="0.25">
      <c r="A54" s="145" t="s">
        <v>17</v>
      </c>
      <c r="B54" s="34"/>
      <c r="C54" s="155">
        <v>200</v>
      </c>
      <c r="D54" s="144">
        <v>200</v>
      </c>
      <c r="E54" s="144">
        <v>215</v>
      </c>
      <c r="F54" s="144">
        <v>215</v>
      </c>
      <c r="G54" s="144">
        <v>242</v>
      </c>
      <c r="H54" s="287">
        <v>242</v>
      </c>
    </row>
    <row r="55" spans="1:8" x14ac:dyDescent="0.25">
      <c r="A55" s="145" t="s">
        <v>18</v>
      </c>
      <c r="B55" s="34"/>
      <c r="C55" s="155">
        <v>450</v>
      </c>
      <c r="D55" s="144">
        <v>450</v>
      </c>
      <c r="E55" s="144">
        <f>E54+C58+200</f>
        <v>416.56</v>
      </c>
      <c r="F55" s="144">
        <v>465</v>
      </c>
      <c r="G55" s="144">
        <f>G54+0.25*E54+200</f>
        <v>495.75</v>
      </c>
      <c r="H55" s="287">
        <f>H54+0.25*F54+200</f>
        <v>495.75</v>
      </c>
    </row>
    <row r="56" spans="1:8" x14ac:dyDescent="0.25">
      <c r="A56" s="145" t="s">
        <v>19</v>
      </c>
      <c r="B56" s="34"/>
      <c r="C56" s="155"/>
      <c r="D56" s="144"/>
      <c r="E56" s="892" t="s">
        <v>180</v>
      </c>
      <c r="F56" s="893"/>
      <c r="G56" s="893"/>
      <c r="H56" s="894"/>
    </row>
    <row r="57" spans="1:8" x14ac:dyDescent="0.25">
      <c r="A57" s="145" t="s">
        <v>20</v>
      </c>
      <c r="B57" s="34"/>
      <c r="C57" s="144">
        <v>448.44</v>
      </c>
      <c r="D57" s="144">
        <v>385.14</v>
      </c>
      <c r="E57" s="144">
        <v>216.09</v>
      </c>
      <c r="F57" s="144">
        <v>326.05</v>
      </c>
      <c r="G57" s="144"/>
      <c r="H57" s="287"/>
    </row>
    <row r="58" spans="1:8" x14ac:dyDescent="0.25">
      <c r="A58" s="145" t="s">
        <v>21</v>
      </c>
      <c r="B58" s="34"/>
      <c r="C58" s="144">
        <f>C55-C57</f>
        <v>1.5600000000000023</v>
      </c>
      <c r="D58" s="144">
        <f>D55-D57</f>
        <v>64.860000000000014</v>
      </c>
      <c r="E58" s="144">
        <f>E55-E57</f>
        <v>200.47</v>
      </c>
      <c r="F58" s="144"/>
      <c r="G58" s="144"/>
      <c r="H58" s="287"/>
    </row>
    <row r="59" spans="1:8" x14ac:dyDescent="0.25">
      <c r="A59" s="146" t="s">
        <v>22</v>
      </c>
      <c r="B59" s="147"/>
      <c r="C59" s="141">
        <v>2019</v>
      </c>
      <c r="D59" s="147">
        <v>2020</v>
      </c>
      <c r="E59" s="147">
        <v>2021</v>
      </c>
      <c r="F59" s="147">
        <v>2022</v>
      </c>
      <c r="G59" s="147">
        <v>2023</v>
      </c>
      <c r="H59" s="783">
        <v>2024</v>
      </c>
    </row>
    <row r="60" spans="1:8" x14ac:dyDescent="0.25">
      <c r="A60" s="888" t="s">
        <v>227</v>
      </c>
      <c r="B60" s="889"/>
      <c r="C60" s="889"/>
      <c r="D60" s="889"/>
      <c r="E60" s="889"/>
      <c r="F60" s="889"/>
      <c r="G60" s="132"/>
      <c r="H60" s="412"/>
    </row>
    <row r="61" spans="1:8" x14ac:dyDescent="0.25">
      <c r="A61" s="890" t="s">
        <v>418</v>
      </c>
      <c r="B61" s="891"/>
      <c r="C61" s="891"/>
      <c r="D61" s="891"/>
      <c r="E61" s="891"/>
      <c r="F61" s="891"/>
      <c r="G61" s="108"/>
      <c r="H61" s="110"/>
    </row>
    <row r="62" spans="1:8" x14ac:dyDescent="0.25">
      <c r="A62" s="417" t="s">
        <v>273</v>
      </c>
      <c r="B62" s="415"/>
      <c r="C62" s="415"/>
      <c r="D62" s="416"/>
      <c r="E62" s="416"/>
      <c r="F62" s="416"/>
      <c r="G62" s="108"/>
      <c r="H62" s="110"/>
    </row>
    <row r="63" spans="1:8" x14ac:dyDescent="0.25">
      <c r="A63" s="752" t="s">
        <v>668</v>
      </c>
      <c r="B63" s="782"/>
      <c r="C63" s="782"/>
      <c r="D63" s="423"/>
      <c r="E63" s="423"/>
      <c r="F63" s="423"/>
      <c r="G63" s="108"/>
      <c r="H63" s="110"/>
    </row>
    <row r="64" spans="1:8" x14ac:dyDescent="0.25">
      <c r="A64" s="781" t="s">
        <v>472</v>
      </c>
      <c r="B64" s="782"/>
      <c r="C64" s="782"/>
      <c r="D64" s="423"/>
      <c r="E64" s="423"/>
      <c r="F64" s="423"/>
      <c r="G64" s="108"/>
      <c r="H64" s="110"/>
    </row>
    <row r="65" spans="1:8" x14ac:dyDescent="0.25">
      <c r="A65" s="784" t="s">
        <v>682</v>
      </c>
      <c r="B65" s="418"/>
      <c r="C65" s="418"/>
      <c r="D65" s="418"/>
      <c r="E65" s="418"/>
      <c r="F65" s="418"/>
      <c r="G65" s="137"/>
      <c r="H65" s="138"/>
    </row>
    <row r="66" spans="1:8" x14ac:dyDescent="0.25">
      <c r="A66" s="139"/>
      <c r="B66" s="139"/>
      <c r="C66" s="139"/>
      <c r="D66" s="139"/>
      <c r="E66" s="139"/>
      <c r="F66" s="139"/>
    </row>
    <row r="68" spans="1:8" x14ac:dyDescent="0.25">
      <c r="A68" s="17" t="s">
        <v>14</v>
      </c>
      <c r="B68" s="18" t="s">
        <v>225</v>
      </c>
      <c r="C68" s="28" t="s">
        <v>15</v>
      </c>
      <c r="D68" s="16"/>
      <c r="E68" s="16"/>
      <c r="F68" s="16"/>
      <c r="G68" s="108"/>
    </row>
    <row r="69" spans="1:8" x14ac:dyDescent="0.25">
      <c r="A69" s="19" t="s">
        <v>16</v>
      </c>
      <c r="B69" s="20"/>
      <c r="C69" s="20">
        <v>2017</v>
      </c>
      <c r="D69" s="20">
        <v>2018</v>
      </c>
      <c r="E69" s="20">
        <v>2019</v>
      </c>
      <c r="F69" s="20">
        <v>2020</v>
      </c>
      <c r="G69" s="20">
        <v>2021</v>
      </c>
      <c r="H69" s="739">
        <v>2022</v>
      </c>
    </row>
    <row r="70" spans="1:8" x14ac:dyDescent="0.25">
      <c r="A70" s="19" t="s">
        <v>17</v>
      </c>
      <c r="B70" s="20"/>
      <c r="C70" s="148">
        <v>250</v>
      </c>
      <c r="D70" s="148">
        <v>250</v>
      </c>
      <c r="E70" s="148">
        <v>250</v>
      </c>
      <c r="F70" s="148">
        <v>250</v>
      </c>
      <c r="G70" s="148">
        <v>250</v>
      </c>
      <c r="H70" s="740">
        <v>250</v>
      </c>
    </row>
    <row r="71" spans="1:8" x14ac:dyDescent="0.25">
      <c r="A71" s="19" t="s">
        <v>18</v>
      </c>
      <c r="B71" s="20"/>
      <c r="C71" s="148">
        <v>312.5</v>
      </c>
      <c r="D71" s="148">
        <v>312.5</v>
      </c>
      <c r="E71" s="148">
        <v>312.5</v>
      </c>
      <c r="F71" s="148">
        <f>F70+D74</f>
        <v>251.98000000000002</v>
      </c>
      <c r="G71" s="148">
        <f>G70+0.25*E70</f>
        <v>312.5</v>
      </c>
      <c r="H71" s="740">
        <f>H70+0.25*F70</f>
        <v>312.5</v>
      </c>
    </row>
    <row r="72" spans="1:8" x14ac:dyDescent="0.25">
      <c r="A72" s="19" t="s">
        <v>19</v>
      </c>
      <c r="B72" s="20"/>
      <c r="C72" s="154"/>
      <c r="D72" s="154"/>
      <c r="E72" s="895" t="s">
        <v>180</v>
      </c>
      <c r="F72" s="896"/>
      <c r="G72" s="896"/>
      <c r="H72" s="897"/>
    </row>
    <row r="73" spans="1:8" x14ac:dyDescent="0.25">
      <c r="A73" s="19" t="s">
        <v>20</v>
      </c>
      <c r="B73" s="20"/>
      <c r="C73" s="148">
        <v>219.03</v>
      </c>
      <c r="D73" s="148">
        <v>310.52</v>
      </c>
      <c r="E73" s="148">
        <v>158.13999999999999</v>
      </c>
      <c r="F73" s="148">
        <v>162.13</v>
      </c>
      <c r="G73" s="148"/>
      <c r="H73" s="740"/>
    </row>
    <row r="74" spans="1:8" x14ac:dyDescent="0.25">
      <c r="A74" s="19" t="s">
        <v>21</v>
      </c>
      <c r="B74" s="20"/>
      <c r="C74" s="148">
        <f>C71-C73</f>
        <v>93.47</v>
      </c>
      <c r="D74" s="148">
        <f t="shared" ref="D74:F74" si="0">D71-D73</f>
        <v>1.9800000000000182</v>
      </c>
      <c r="E74" s="148">
        <f t="shared" si="0"/>
        <v>154.36000000000001</v>
      </c>
      <c r="F74" s="148">
        <f t="shared" si="0"/>
        <v>89.850000000000023</v>
      </c>
      <c r="G74" s="148"/>
      <c r="H74" s="740"/>
    </row>
    <row r="75" spans="1:8" x14ac:dyDescent="0.25">
      <c r="A75" s="22" t="s">
        <v>22</v>
      </c>
      <c r="B75" s="156"/>
      <c r="C75" s="156">
        <v>2019</v>
      </c>
      <c r="D75" s="156">
        <v>2020</v>
      </c>
      <c r="E75" s="156">
        <v>2021</v>
      </c>
      <c r="F75" s="156">
        <v>2022</v>
      </c>
      <c r="G75" s="156">
        <v>2023</v>
      </c>
      <c r="H75" s="789">
        <v>2024</v>
      </c>
    </row>
    <row r="76" spans="1:8" x14ac:dyDescent="0.25">
      <c r="A76" s="149" t="s">
        <v>228</v>
      </c>
      <c r="B76" s="23"/>
      <c r="C76" s="23"/>
      <c r="D76" s="23"/>
      <c r="E76" s="23"/>
      <c r="F76" s="23"/>
      <c r="G76" s="132"/>
      <c r="H76" s="248"/>
    </row>
    <row r="77" spans="1:8" x14ac:dyDescent="0.25">
      <c r="A77" s="152" t="s">
        <v>278</v>
      </c>
      <c r="B77" s="16"/>
      <c r="C77" s="16"/>
      <c r="D77" s="16"/>
      <c r="E77" s="16"/>
      <c r="F77" s="16"/>
      <c r="G77" s="108"/>
      <c r="H77" s="110"/>
    </row>
    <row r="78" spans="1:8" x14ac:dyDescent="0.25">
      <c r="A78" s="152" t="s">
        <v>473</v>
      </c>
      <c r="B78" s="16"/>
      <c r="C78" s="16"/>
      <c r="D78" s="16"/>
      <c r="E78" s="16"/>
      <c r="F78" s="16"/>
      <c r="G78" s="108"/>
      <c r="H78" s="110"/>
    </row>
    <row r="79" spans="1:8" x14ac:dyDescent="0.25">
      <c r="A79" s="241" t="s">
        <v>683</v>
      </c>
      <c r="B79" s="24"/>
      <c r="C79" s="24"/>
      <c r="D79" s="24"/>
      <c r="E79" s="24"/>
      <c r="F79" s="24"/>
      <c r="G79" s="137"/>
      <c r="H79" s="138"/>
    </row>
    <row r="81" spans="1:8" x14ac:dyDescent="0.25">
      <c r="A81" s="17" t="s">
        <v>14</v>
      </c>
      <c r="B81" s="18" t="s">
        <v>220</v>
      </c>
      <c r="C81" s="28" t="s">
        <v>15</v>
      </c>
      <c r="D81" s="16"/>
      <c r="E81" s="16"/>
      <c r="F81" s="16"/>
      <c r="G81" s="108"/>
    </row>
    <row r="82" spans="1:8" x14ac:dyDescent="0.25">
      <c r="A82" s="19" t="s">
        <v>16</v>
      </c>
      <c r="B82" s="20"/>
      <c r="C82" s="20">
        <v>2017</v>
      </c>
      <c r="D82" s="20">
        <v>2018</v>
      </c>
      <c r="E82" s="20">
        <v>2019</v>
      </c>
      <c r="F82" s="20">
        <v>2020</v>
      </c>
      <c r="G82" s="20">
        <v>2021</v>
      </c>
      <c r="H82" s="739">
        <v>2022</v>
      </c>
    </row>
    <row r="83" spans="1:8" x14ac:dyDescent="0.25">
      <c r="A83" s="19" t="s">
        <v>17</v>
      </c>
      <c r="B83" s="20"/>
      <c r="C83" s="148">
        <v>130</v>
      </c>
      <c r="D83" s="148">
        <v>130</v>
      </c>
      <c r="E83" s="148">
        <v>130</v>
      </c>
      <c r="F83" s="148">
        <v>130</v>
      </c>
      <c r="G83" s="148">
        <v>130</v>
      </c>
      <c r="H83" s="740">
        <v>130</v>
      </c>
    </row>
    <row r="84" spans="1:8" x14ac:dyDescent="0.25">
      <c r="A84" s="19" t="s">
        <v>18</v>
      </c>
      <c r="B84" s="20"/>
      <c r="C84" s="148">
        <v>257</v>
      </c>
      <c r="D84" s="148">
        <v>257</v>
      </c>
      <c r="E84" s="148">
        <f>E83*1.4+75</f>
        <v>257</v>
      </c>
      <c r="F84" s="148">
        <f>F83*1.4+75</f>
        <v>257</v>
      </c>
      <c r="G84" s="148">
        <f>G83+0.4*E83+75</f>
        <v>257</v>
      </c>
      <c r="H84" s="740">
        <f>H83+0.4*F83+75</f>
        <v>257</v>
      </c>
    </row>
    <row r="85" spans="1:8" ht="14.4" customHeight="1" x14ac:dyDescent="0.25">
      <c r="A85" s="19" t="s">
        <v>19</v>
      </c>
      <c r="B85" s="20"/>
      <c r="C85" s="153"/>
      <c r="D85" s="148"/>
      <c r="E85" s="785" t="s">
        <v>180</v>
      </c>
      <c r="F85" s="786"/>
      <c r="G85" s="787"/>
      <c r="H85" s="788"/>
    </row>
    <row r="86" spans="1:8" x14ac:dyDescent="0.25">
      <c r="A86" s="19" t="s">
        <v>20</v>
      </c>
      <c r="B86" s="20"/>
      <c r="C86" s="148">
        <v>59.08</v>
      </c>
      <c r="D86" s="148">
        <v>145.32</v>
      </c>
      <c r="E86" s="148">
        <v>116.8</v>
      </c>
      <c r="F86" s="148">
        <v>110.73</v>
      </c>
      <c r="G86" s="148"/>
      <c r="H86" s="740"/>
    </row>
    <row r="87" spans="1:8" x14ac:dyDescent="0.25">
      <c r="A87" s="19" t="s">
        <v>21</v>
      </c>
      <c r="B87" s="20"/>
      <c r="C87" s="148">
        <f>C84-C86</f>
        <v>197.92000000000002</v>
      </c>
      <c r="D87" s="148">
        <f t="shared" ref="D87:F87" si="1">D84-D86</f>
        <v>111.68</v>
      </c>
      <c r="E87" s="148">
        <f t="shared" si="1"/>
        <v>140.19999999999999</v>
      </c>
      <c r="F87" s="148">
        <f t="shared" si="1"/>
        <v>146.26999999999998</v>
      </c>
      <c r="G87" s="148"/>
      <c r="H87" s="740"/>
    </row>
    <row r="88" spans="1:8" x14ac:dyDescent="0.25">
      <c r="A88" s="22" t="s">
        <v>22</v>
      </c>
      <c r="B88" s="156"/>
      <c r="C88" s="156">
        <v>2019</v>
      </c>
      <c r="D88" s="156">
        <v>2020</v>
      </c>
      <c r="E88" s="156">
        <v>2021</v>
      </c>
      <c r="F88" s="156">
        <v>2022</v>
      </c>
      <c r="G88" s="156">
        <v>2023</v>
      </c>
      <c r="H88" s="789">
        <v>2024</v>
      </c>
    </row>
    <row r="89" spans="1:8" x14ac:dyDescent="0.25">
      <c r="A89" s="149" t="s">
        <v>279</v>
      </c>
      <c r="B89" s="23"/>
      <c r="C89" s="23"/>
      <c r="D89" s="23"/>
      <c r="E89" s="23"/>
      <c r="F89" s="23"/>
      <c r="G89" s="23"/>
      <c r="H89" s="248"/>
    </row>
    <row r="90" spans="1:8" x14ac:dyDescent="0.25">
      <c r="A90" s="152" t="s">
        <v>229</v>
      </c>
      <c r="B90" s="16"/>
      <c r="C90" s="16"/>
      <c r="D90" s="16"/>
      <c r="E90" s="16"/>
      <c r="F90" s="16"/>
      <c r="G90" s="16"/>
      <c r="H90" s="110"/>
    </row>
    <row r="91" spans="1:8" x14ac:dyDescent="0.25">
      <c r="A91" s="152" t="s">
        <v>280</v>
      </c>
      <c r="B91" s="16"/>
      <c r="C91" s="16"/>
      <c r="D91" s="16"/>
      <c r="E91" s="16"/>
      <c r="F91" s="16"/>
      <c r="G91" s="16"/>
      <c r="H91" s="110"/>
    </row>
    <row r="92" spans="1:8" x14ac:dyDescent="0.25">
      <c r="A92" s="152" t="s">
        <v>474</v>
      </c>
      <c r="B92" s="16"/>
      <c r="C92" s="16"/>
      <c r="D92" s="16"/>
      <c r="E92" s="16"/>
      <c r="F92" s="16"/>
      <c r="G92" s="16"/>
      <c r="H92" s="110"/>
    </row>
    <row r="93" spans="1:8" x14ac:dyDescent="0.25">
      <c r="A93" s="790" t="s">
        <v>684</v>
      </c>
      <c r="B93" s="24"/>
      <c r="C93" s="24"/>
      <c r="D93" s="24"/>
      <c r="E93" s="24"/>
      <c r="F93" s="24"/>
      <c r="G93" s="24"/>
      <c r="H93" s="138"/>
    </row>
    <row r="95" spans="1:8" x14ac:dyDescent="0.25">
      <c r="A95" s="17" t="s">
        <v>14</v>
      </c>
      <c r="B95" s="18" t="s">
        <v>226</v>
      </c>
      <c r="C95" s="28" t="s">
        <v>15</v>
      </c>
      <c r="D95" s="16"/>
      <c r="E95" s="16"/>
      <c r="F95" s="16"/>
      <c r="G95" s="108"/>
    </row>
    <row r="96" spans="1:8" x14ac:dyDescent="0.25">
      <c r="A96" s="20" t="s">
        <v>16</v>
      </c>
      <c r="B96" s="20"/>
      <c r="C96" s="20">
        <v>2017</v>
      </c>
      <c r="D96" s="20">
        <v>2018</v>
      </c>
      <c r="E96" s="20">
        <v>2019</v>
      </c>
      <c r="F96" s="20">
        <v>2020</v>
      </c>
      <c r="G96" s="20">
        <v>2021</v>
      </c>
      <c r="H96" s="739">
        <v>2022</v>
      </c>
    </row>
    <row r="97" spans="1:8" x14ac:dyDescent="0.25">
      <c r="A97" s="20" t="s">
        <v>17</v>
      </c>
      <c r="B97" s="20"/>
      <c r="C97" s="148">
        <v>125</v>
      </c>
      <c r="D97" s="148">
        <v>125</v>
      </c>
      <c r="E97" s="148">
        <v>125</v>
      </c>
      <c r="F97" s="148">
        <v>125</v>
      </c>
      <c r="G97" s="148">
        <v>125</v>
      </c>
      <c r="H97" s="740">
        <v>125</v>
      </c>
    </row>
    <row r="98" spans="1:8" x14ac:dyDescent="0.25">
      <c r="A98" s="20" t="s">
        <v>18</v>
      </c>
      <c r="B98" s="20"/>
      <c r="C98" s="148">
        <v>275</v>
      </c>
      <c r="D98" s="148">
        <v>287.5</v>
      </c>
      <c r="E98" s="148">
        <f>E97*1.2+25+50+50</f>
        <v>275</v>
      </c>
      <c r="F98" s="148">
        <f>F97*1.2+25+50+50</f>
        <v>275</v>
      </c>
      <c r="G98" s="148">
        <f>G97+0.2*E97+25+50+50</f>
        <v>275</v>
      </c>
      <c r="H98" s="740">
        <v>274.94</v>
      </c>
    </row>
    <row r="99" spans="1:8" ht="14.4" customHeight="1" x14ac:dyDescent="0.25">
      <c r="A99" s="20" t="s">
        <v>19</v>
      </c>
      <c r="B99" s="20"/>
      <c r="C99" s="153"/>
      <c r="D99" s="148"/>
      <c r="E99" s="785" t="s">
        <v>180</v>
      </c>
      <c r="F99" s="786"/>
      <c r="G99" s="787"/>
      <c r="H99" s="788"/>
    </row>
    <row r="100" spans="1:8" x14ac:dyDescent="0.25">
      <c r="A100" s="20" t="s">
        <v>20</v>
      </c>
      <c r="B100" s="20"/>
      <c r="C100" s="148">
        <v>166.01</v>
      </c>
      <c r="D100" s="148">
        <v>115.22</v>
      </c>
      <c r="E100" s="148">
        <v>55.33</v>
      </c>
      <c r="F100" s="148">
        <v>2.12</v>
      </c>
      <c r="G100" s="148"/>
      <c r="H100" s="740"/>
    </row>
    <row r="101" spans="1:8" x14ac:dyDescent="0.25">
      <c r="A101" s="20" t="s">
        <v>21</v>
      </c>
      <c r="B101" s="20"/>
      <c r="C101" s="148">
        <f>C98-C100</f>
        <v>108.99000000000001</v>
      </c>
      <c r="D101" s="148">
        <f t="shared" ref="D101:F101" si="2">D98-D100</f>
        <v>172.28</v>
      </c>
      <c r="E101" s="148">
        <f t="shared" si="2"/>
        <v>219.67000000000002</v>
      </c>
      <c r="F101" s="148">
        <f t="shared" si="2"/>
        <v>272.88</v>
      </c>
      <c r="G101" s="148"/>
      <c r="H101" s="740"/>
    </row>
    <row r="102" spans="1:8" x14ac:dyDescent="0.25">
      <c r="A102" s="156" t="s">
        <v>22</v>
      </c>
      <c r="B102" s="156"/>
      <c r="C102" s="156">
        <v>2019</v>
      </c>
      <c r="D102" s="156">
        <v>2020</v>
      </c>
      <c r="E102" s="156">
        <v>2021</v>
      </c>
      <c r="F102" s="156">
        <v>2022</v>
      </c>
      <c r="G102" s="156">
        <v>2023</v>
      </c>
      <c r="H102" s="789">
        <v>2024</v>
      </c>
    </row>
    <row r="103" spans="1:8" x14ac:dyDescent="0.25">
      <c r="A103" s="149" t="s">
        <v>282</v>
      </c>
      <c r="B103" s="23"/>
      <c r="C103" s="23"/>
      <c r="D103" s="23"/>
      <c r="E103" s="23"/>
      <c r="F103" s="23"/>
      <c r="G103" s="132"/>
      <c r="H103" s="248"/>
    </row>
    <row r="104" spans="1:8" x14ac:dyDescent="0.25">
      <c r="A104" s="152" t="s">
        <v>283</v>
      </c>
      <c r="B104" s="16"/>
      <c r="C104" s="16"/>
      <c r="D104" s="16"/>
      <c r="E104" s="16"/>
      <c r="F104" s="16"/>
      <c r="G104" s="108"/>
      <c r="H104" s="110"/>
    </row>
    <row r="105" spans="1:8" x14ac:dyDescent="0.25">
      <c r="A105" s="152" t="s">
        <v>284</v>
      </c>
      <c r="B105" s="16"/>
      <c r="C105" s="16"/>
      <c r="D105" s="16"/>
      <c r="E105" s="16"/>
      <c r="F105" s="16"/>
      <c r="G105" s="108"/>
      <c r="H105" s="110"/>
    </row>
    <row r="106" spans="1:8" x14ac:dyDescent="0.25">
      <c r="A106" s="152" t="s">
        <v>230</v>
      </c>
      <c r="B106" s="16"/>
      <c r="C106" s="16"/>
      <c r="D106" s="16"/>
      <c r="E106" s="16"/>
      <c r="F106" s="16"/>
      <c r="G106" s="108"/>
      <c r="H106" s="110"/>
    </row>
    <row r="107" spans="1:8" x14ac:dyDescent="0.25">
      <c r="A107" s="152" t="s">
        <v>281</v>
      </c>
      <c r="B107" s="16"/>
      <c r="C107" s="16"/>
      <c r="D107" s="16"/>
      <c r="E107" s="16"/>
      <c r="F107" s="16"/>
      <c r="G107" s="108"/>
      <c r="H107" s="110"/>
    </row>
    <row r="108" spans="1:8" x14ac:dyDescent="0.25">
      <c r="A108" s="152" t="s">
        <v>475</v>
      </c>
      <c r="B108" s="16"/>
      <c r="C108" s="16"/>
      <c r="D108" s="16"/>
      <c r="E108" s="16"/>
      <c r="F108" s="16"/>
      <c r="G108" s="108"/>
      <c r="H108" s="110"/>
    </row>
    <row r="109" spans="1:8" x14ac:dyDescent="0.25">
      <c r="A109" s="241" t="s">
        <v>685</v>
      </c>
      <c r="B109" s="137"/>
      <c r="C109" s="137"/>
      <c r="D109" s="137"/>
      <c r="E109" s="137"/>
      <c r="F109" s="137"/>
      <c r="G109" s="137"/>
      <c r="H109" s="138"/>
    </row>
    <row r="112" spans="1:8" x14ac:dyDescent="0.25">
      <c r="A112" s="25" t="s">
        <v>12</v>
      </c>
      <c r="B112" s="723" t="s">
        <v>178</v>
      </c>
      <c r="C112" s="139"/>
      <c r="D112" s="26"/>
      <c r="E112" s="26"/>
      <c r="F112" s="26"/>
      <c r="G112" s="26"/>
    </row>
    <row r="113" spans="1:10" x14ac:dyDescent="0.25">
      <c r="A113" s="27" t="s">
        <v>14</v>
      </c>
      <c r="B113" s="18" t="s">
        <v>224</v>
      </c>
      <c r="C113" s="28" t="s">
        <v>15</v>
      </c>
      <c r="D113" s="26"/>
      <c r="E113" s="26"/>
      <c r="F113" s="26"/>
      <c r="G113" s="26"/>
    </row>
    <row r="114" spans="1:10" x14ac:dyDescent="0.25">
      <c r="A114" s="29" t="s">
        <v>16</v>
      </c>
      <c r="B114" s="20">
        <v>2014</v>
      </c>
      <c r="C114" s="20">
        <v>2015</v>
      </c>
      <c r="D114" s="21">
        <v>2016</v>
      </c>
      <c r="E114" s="20">
        <v>2017</v>
      </c>
      <c r="F114" s="30">
        <v>2018</v>
      </c>
      <c r="G114" s="30">
        <v>2019</v>
      </c>
      <c r="H114" s="30">
        <v>2020</v>
      </c>
    </row>
    <row r="115" spans="1:10" x14ac:dyDescent="0.25">
      <c r="A115" s="29" t="s">
        <v>17</v>
      </c>
      <c r="B115" s="262">
        <v>200</v>
      </c>
      <c r="C115" s="262">
        <v>200</v>
      </c>
      <c r="D115" s="262">
        <v>200</v>
      </c>
      <c r="E115" s="262">
        <v>200</v>
      </c>
      <c r="F115" s="263">
        <v>200</v>
      </c>
      <c r="G115" s="263">
        <v>215</v>
      </c>
      <c r="H115" s="263">
        <v>215</v>
      </c>
    </row>
    <row r="116" spans="1:10" x14ac:dyDescent="0.25">
      <c r="A116" s="29" t="s">
        <v>18</v>
      </c>
      <c r="B116" s="262">
        <v>250</v>
      </c>
      <c r="C116" s="262">
        <v>250</v>
      </c>
      <c r="D116" s="262">
        <v>250</v>
      </c>
      <c r="E116" s="262">
        <v>250</v>
      </c>
      <c r="F116" s="263">
        <v>250</v>
      </c>
      <c r="G116" s="263">
        <f>E115*0.25+G115</f>
        <v>265</v>
      </c>
      <c r="H116" s="263">
        <f>H115+0.25*G115</f>
        <v>268.75</v>
      </c>
    </row>
    <row r="117" spans="1:10" x14ac:dyDescent="0.25">
      <c r="A117" s="29" t="s">
        <v>19</v>
      </c>
      <c r="B117" s="31" t="s">
        <v>350</v>
      </c>
      <c r="C117" s="31" t="s">
        <v>350</v>
      </c>
      <c r="D117" s="31" t="s">
        <v>350</v>
      </c>
      <c r="E117" s="31" t="s">
        <v>350</v>
      </c>
      <c r="F117" s="31" t="s">
        <v>350</v>
      </c>
      <c r="G117" s="31" t="s">
        <v>419</v>
      </c>
      <c r="H117" s="31" t="s">
        <v>490</v>
      </c>
    </row>
    <row r="118" spans="1:10" x14ac:dyDescent="0.25">
      <c r="A118" s="29" t="s">
        <v>20</v>
      </c>
      <c r="B118" s="262">
        <v>0</v>
      </c>
      <c r="C118" s="262">
        <v>0</v>
      </c>
      <c r="D118" s="262">
        <v>0</v>
      </c>
      <c r="E118" s="262">
        <v>0</v>
      </c>
      <c r="F118" s="263">
        <v>0</v>
      </c>
      <c r="G118" s="263">
        <v>0</v>
      </c>
      <c r="H118" s="263">
        <v>0</v>
      </c>
    </row>
    <row r="119" spans="1:10" x14ac:dyDescent="0.25">
      <c r="A119" s="29" t="s">
        <v>21</v>
      </c>
      <c r="B119" s="262">
        <v>250</v>
      </c>
      <c r="C119" s="262">
        <v>250</v>
      </c>
      <c r="D119" s="262">
        <v>250</v>
      </c>
      <c r="E119" s="262">
        <v>250</v>
      </c>
      <c r="F119" s="263">
        <v>250</v>
      </c>
      <c r="G119" s="263">
        <f>G116</f>
        <v>265</v>
      </c>
      <c r="H119" s="263">
        <f>H116</f>
        <v>268.75</v>
      </c>
    </row>
    <row r="120" spans="1:10" x14ac:dyDescent="0.25">
      <c r="A120" s="29" t="s">
        <v>22</v>
      </c>
      <c r="B120" s="33">
        <v>2015</v>
      </c>
      <c r="C120" s="33">
        <v>2016</v>
      </c>
      <c r="D120" s="33">
        <v>2017</v>
      </c>
      <c r="E120" s="33">
        <v>2018</v>
      </c>
      <c r="F120" s="33">
        <v>2019</v>
      </c>
      <c r="G120" s="33">
        <v>2020</v>
      </c>
      <c r="H120" s="33">
        <v>2021</v>
      </c>
    </row>
    <row r="121" spans="1:10" x14ac:dyDescent="0.25">
      <c r="A121" s="882" t="s">
        <v>486</v>
      </c>
      <c r="B121" s="883"/>
      <c r="C121" s="883"/>
      <c r="D121" s="883"/>
      <c r="E121" s="883"/>
      <c r="F121" s="883"/>
      <c r="G121" s="883"/>
      <c r="H121" s="884"/>
    </row>
    <row r="122" spans="1:10" x14ac:dyDescent="0.25">
      <c r="A122" s="2"/>
      <c r="B122" s="2"/>
      <c r="C122" s="2"/>
      <c r="D122" s="2"/>
      <c r="E122" s="2"/>
      <c r="F122" s="2"/>
      <c r="G122" s="2"/>
    </row>
    <row r="123" spans="1:10" x14ac:dyDescent="0.25">
      <c r="A123" s="27" t="s">
        <v>14</v>
      </c>
      <c r="B123" s="18" t="s">
        <v>225</v>
      </c>
      <c r="C123" s="28" t="s">
        <v>15</v>
      </c>
      <c r="D123" s="26"/>
      <c r="E123" s="26"/>
      <c r="F123" s="26"/>
      <c r="G123" s="26"/>
    </row>
    <row r="124" spans="1:10" x14ac:dyDescent="0.25">
      <c r="A124" s="29" t="s">
        <v>16</v>
      </c>
      <c r="B124" s="20">
        <v>2014</v>
      </c>
      <c r="C124" s="20">
        <v>2015</v>
      </c>
      <c r="D124" s="21">
        <v>2016</v>
      </c>
      <c r="E124" s="20">
        <v>2017</v>
      </c>
      <c r="F124" s="30">
        <v>2018</v>
      </c>
      <c r="G124" s="30">
        <v>2019</v>
      </c>
      <c r="H124" s="30">
        <v>2020</v>
      </c>
      <c r="I124" s="800">
        <v>2021</v>
      </c>
      <c r="J124" s="800">
        <v>2022</v>
      </c>
    </row>
    <row r="125" spans="1:10" x14ac:dyDescent="0.25">
      <c r="A125" s="29" t="s">
        <v>17</v>
      </c>
      <c r="B125" s="264">
        <v>2160</v>
      </c>
      <c r="C125" s="264">
        <v>2160</v>
      </c>
      <c r="D125" s="264">
        <v>2160</v>
      </c>
      <c r="E125" s="264">
        <v>2160</v>
      </c>
      <c r="F125" s="265">
        <v>2160</v>
      </c>
      <c r="G125" s="265">
        <v>2160</v>
      </c>
      <c r="H125" s="265">
        <v>2160</v>
      </c>
      <c r="I125" s="801">
        <v>2160</v>
      </c>
      <c r="J125" s="801">
        <v>2160</v>
      </c>
    </row>
    <row r="126" spans="1:10" x14ac:dyDescent="0.25">
      <c r="A126" s="29" t="s">
        <v>18</v>
      </c>
      <c r="B126" s="264">
        <v>2700</v>
      </c>
      <c r="C126" s="264">
        <v>2700</v>
      </c>
      <c r="D126" s="264">
        <v>2700</v>
      </c>
      <c r="E126" s="264">
        <v>2600</v>
      </c>
      <c r="F126" s="264">
        <v>2600</v>
      </c>
      <c r="G126" s="264">
        <v>2600</v>
      </c>
      <c r="H126" s="264">
        <f>H125+0.25*G125-200</f>
        <v>2500</v>
      </c>
      <c r="I126" s="802">
        <v>2600</v>
      </c>
      <c r="J126" s="802">
        <v>2700</v>
      </c>
    </row>
    <row r="127" spans="1:10" ht="27.6" customHeight="1" x14ac:dyDescent="0.25">
      <c r="A127" s="29" t="s">
        <v>19</v>
      </c>
      <c r="B127" s="419" t="s">
        <v>351</v>
      </c>
      <c r="C127" s="419" t="s">
        <v>351</v>
      </c>
      <c r="D127" s="419" t="s">
        <v>351</v>
      </c>
      <c r="E127" s="419" t="s">
        <v>352</v>
      </c>
      <c r="F127" s="419" t="s">
        <v>352</v>
      </c>
      <c r="G127" s="419" t="s">
        <v>352</v>
      </c>
      <c r="H127" s="419" t="s">
        <v>492</v>
      </c>
      <c r="I127" s="803" t="s">
        <v>352</v>
      </c>
      <c r="J127" s="803" t="s">
        <v>351</v>
      </c>
    </row>
    <row r="128" spans="1:10" x14ac:dyDescent="0.25">
      <c r="A128" s="29" t="s">
        <v>20</v>
      </c>
      <c r="B128" s="264">
        <v>462.36</v>
      </c>
      <c r="C128" s="264">
        <v>490.22</v>
      </c>
      <c r="D128" s="264">
        <v>657.59</v>
      </c>
      <c r="E128" s="264">
        <v>496.85</v>
      </c>
      <c r="F128" s="265">
        <v>396</v>
      </c>
      <c r="G128" s="265">
        <v>1002.664409132517</v>
      </c>
      <c r="H128" s="265">
        <v>617</v>
      </c>
      <c r="I128" s="801"/>
      <c r="J128" s="801"/>
    </row>
    <row r="129" spans="1:10" x14ac:dyDescent="0.25">
      <c r="A129" s="29" t="s">
        <v>21</v>
      </c>
      <c r="B129" s="264">
        <f t="shared" ref="B129:G129" si="3">B126-B128</f>
        <v>2237.64</v>
      </c>
      <c r="C129" s="264">
        <f t="shared" si="3"/>
        <v>2209.7799999999997</v>
      </c>
      <c r="D129" s="264">
        <f t="shared" si="3"/>
        <v>2042.4099999999999</v>
      </c>
      <c r="E129" s="264">
        <f t="shared" si="3"/>
        <v>2103.15</v>
      </c>
      <c r="F129" s="264">
        <f t="shared" si="3"/>
        <v>2204</v>
      </c>
      <c r="G129" s="264">
        <f t="shared" si="3"/>
        <v>1597.335590867483</v>
      </c>
      <c r="H129" s="264">
        <f t="shared" ref="H129" si="4">H126-H128</f>
        <v>1883</v>
      </c>
      <c r="I129" s="802"/>
      <c r="J129" s="264"/>
    </row>
    <row r="130" spans="1:10" x14ac:dyDescent="0.25">
      <c r="A130" s="149" t="s">
        <v>22</v>
      </c>
      <c r="B130" s="743">
        <v>2016</v>
      </c>
      <c r="C130" s="743">
        <v>2017</v>
      </c>
      <c r="D130" s="743">
        <v>2018</v>
      </c>
      <c r="E130" s="743">
        <v>2019</v>
      </c>
      <c r="F130" s="743">
        <v>2020</v>
      </c>
      <c r="G130" s="743">
        <v>2021</v>
      </c>
      <c r="H130" s="743">
        <v>2022</v>
      </c>
      <c r="I130" s="743">
        <v>2022</v>
      </c>
      <c r="J130" s="743">
        <v>2022</v>
      </c>
    </row>
    <row r="131" spans="1:10" x14ac:dyDescent="0.25">
      <c r="A131" s="898" t="s">
        <v>487</v>
      </c>
      <c r="B131" s="899"/>
      <c r="C131" s="899"/>
      <c r="D131" s="899"/>
      <c r="E131" s="899"/>
      <c r="F131" s="899"/>
      <c r="G131" s="899"/>
      <c r="H131" s="132"/>
      <c r="I131" s="132"/>
      <c r="J131" s="248"/>
    </row>
    <row r="132" spans="1:10" x14ac:dyDescent="0.25">
      <c r="A132" s="424" t="s">
        <v>353</v>
      </c>
      <c r="B132" s="423"/>
      <c r="C132" s="423"/>
      <c r="D132" s="423"/>
      <c r="E132" s="423"/>
      <c r="F132" s="423"/>
      <c r="G132" s="423"/>
      <c r="H132" s="108"/>
      <c r="I132" s="108"/>
      <c r="J132" s="110"/>
    </row>
    <row r="133" spans="1:10" x14ac:dyDescent="0.25">
      <c r="A133" s="424" t="s">
        <v>491</v>
      </c>
      <c r="B133" s="423"/>
      <c r="C133" s="423"/>
      <c r="D133" s="423"/>
      <c r="E133" s="423"/>
      <c r="F133" s="423"/>
      <c r="G133" s="423"/>
      <c r="H133" s="108"/>
      <c r="I133" s="108"/>
      <c r="J133" s="110"/>
    </row>
    <row r="134" spans="1:10" x14ac:dyDescent="0.25">
      <c r="A134" s="799" t="s">
        <v>687</v>
      </c>
      <c r="B134" s="421"/>
      <c r="C134" s="421"/>
      <c r="D134" s="421"/>
      <c r="E134" s="421"/>
      <c r="F134" s="421"/>
      <c r="G134" s="421"/>
      <c r="H134" s="137"/>
      <c r="I134" s="137"/>
      <c r="J134" s="138"/>
    </row>
    <row r="135" spans="1:10" x14ac:dyDescent="0.25">
      <c r="A135" s="2"/>
      <c r="B135" s="2"/>
      <c r="C135" s="2"/>
      <c r="D135" s="2"/>
      <c r="E135" s="2"/>
      <c r="F135" s="2"/>
      <c r="G135" s="2"/>
    </row>
    <row r="136" spans="1:10" x14ac:dyDescent="0.25">
      <c r="A136" s="27" t="s">
        <v>14</v>
      </c>
      <c r="B136" s="18" t="s">
        <v>220</v>
      </c>
      <c r="C136" s="28" t="s">
        <v>15</v>
      </c>
      <c r="D136" s="26"/>
      <c r="E136" s="26"/>
      <c r="F136" s="26"/>
      <c r="G136" s="2"/>
    </row>
    <row r="137" spans="1:10" x14ac:dyDescent="0.25">
      <c r="A137" s="29" t="s">
        <v>16</v>
      </c>
      <c r="B137" s="34">
        <v>2014</v>
      </c>
      <c r="C137" s="20">
        <v>2015</v>
      </c>
      <c r="D137" s="21">
        <v>2016</v>
      </c>
      <c r="E137" s="20">
        <v>2017</v>
      </c>
      <c r="F137" s="30">
        <v>2018</v>
      </c>
      <c r="G137" s="30">
        <v>2019</v>
      </c>
      <c r="H137" s="30">
        <v>2020</v>
      </c>
    </row>
    <row r="138" spans="1:10" x14ac:dyDescent="0.25">
      <c r="A138" s="29" t="s">
        <v>17</v>
      </c>
      <c r="B138" s="266">
        <v>50</v>
      </c>
      <c r="C138" s="266">
        <v>50</v>
      </c>
      <c r="D138" s="266">
        <v>50</v>
      </c>
      <c r="E138" s="266">
        <v>50</v>
      </c>
      <c r="F138" s="266">
        <v>50</v>
      </c>
      <c r="G138" s="266">
        <v>50</v>
      </c>
      <c r="H138" s="266">
        <v>50</v>
      </c>
    </row>
    <row r="139" spans="1:10" x14ac:dyDescent="0.25">
      <c r="A139" s="29" t="s">
        <v>18</v>
      </c>
      <c r="B139" s="266">
        <v>75</v>
      </c>
      <c r="C139" s="262">
        <v>50</v>
      </c>
      <c r="D139" s="262">
        <v>50</v>
      </c>
      <c r="E139" s="262">
        <f>E138*1.5-25</f>
        <v>50</v>
      </c>
      <c r="F139" s="262">
        <f>F138*1.4-25</f>
        <v>45</v>
      </c>
      <c r="G139" s="262">
        <f>G138*1.4-25</f>
        <v>45</v>
      </c>
      <c r="H139" s="262">
        <f>H138*1.4</f>
        <v>70</v>
      </c>
    </row>
    <row r="140" spans="1:10" x14ac:dyDescent="0.25">
      <c r="A140" s="29" t="s">
        <v>19</v>
      </c>
      <c r="B140" s="266" t="s">
        <v>355</v>
      </c>
      <c r="C140" s="266" t="s">
        <v>356</v>
      </c>
      <c r="D140" s="266" t="s">
        <v>356</v>
      </c>
      <c r="E140" s="266" t="s">
        <v>356</v>
      </c>
      <c r="F140" s="266" t="s">
        <v>357</v>
      </c>
      <c r="G140" s="266" t="s">
        <v>357</v>
      </c>
      <c r="H140" s="266" t="s">
        <v>493</v>
      </c>
    </row>
    <row r="141" spans="1:10" x14ac:dyDescent="0.25">
      <c r="A141" s="29" t="s">
        <v>20</v>
      </c>
      <c r="B141" s="266">
        <v>0</v>
      </c>
      <c r="C141" s="262">
        <v>0</v>
      </c>
      <c r="D141" s="262">
        <v>0</v>
      </c>
      <c r="E141" s="262">
        <v>0</v>
      </c>
      <c r="F141" s="262">
        <v>0</v>
      </c>
      <c r="G141" s="262">
        <v>0</v>
      </c>
      <c r="H141" s="262">
        <v>0</v>
      </c>
    </row>
    <row r="142" spans="1:10" x14ac:dyDescent="0.25">
      <c r="A142" s="29" t="s">
        <v>21</v>
      </c>
      <c r="B142" s="266">
        <f>B139</f>
        <v>75</v>
      </c>
      <c r="C142" s="266">
        <f t="shared" ref="C142:G142" si="5">C139</f>
        <v>50</v>
      </c>
      <c r="D142" s="266">
        <f t="shared" si="5"/>
        <v>50</v>
      </c>
      <c r="E142" s="266">
        <f t="shared" si="5"/>
        <v>50</v>
      </c>
      <c r="F142" s="266">
        <f t="shared" si="5"/>
        <v>45</v>
      </c>
      <c r="G142" s="266">
        <f t="shared" si="5"/>
        <v>45</v>
      </c>
      <c r="H142" s="266">
        <f t="shared" ref="H142" si="6">H139</f>
        <v>70</v>
      </c>
    </row>
    <row r="143" spans="1:10" x14ac:dyDescent="0.25">
      <c r="A143" s="149" t="s">
        <v>22</v>
      </c>
      <c r="B143" s="422">
        <v>2015</v>
      </c>
      <c r="C143" s="422">
        <v>2016</v>
      </c>
      <c r="D143" s="422">
        <v>2017</v>
      </c>
      <c r="E143" s="422">
        <v>2018</v>
      </c>
      <c r="F143" s="422">
        <v>2019</v>
      </c>
      <c r="G143" s="422">
        <v>2020</v>
      </c>
      <c r="H143" s="422">
        <v>2021</v>
      </c>
    </row>
    <row r="144" spans="1:10" x14ac:dyDescent="0.25">
      <c r="A144" s="898" t="s">
        <v>488</v>
      </c>
      <c r="B144" s="899"/>
      <c r="C144" s="899"/>
      <c r="D144" s="899"/>
      <c r="E144" s="899"/>
      <c r="F144" s="899"/>
      <c r="G144" s="899"/>
      <c r="H144" s="248"/>
    </row>
    <row r="145" spans="1:8" x14ac:dyDescent="0.25">
      <c r="A145" s="420" t="s">
        <v>354</v>
      </c>
      <c r="B145" s="421"/>
      <c r="C145" s="421"/>
      <c r="D145" s="421"/>
      <c r="E145" s="421"/>
      <c r="F145" s="421"/>
      <c r="G145" s="421"/>
      <c r="H145" s="138"/>
    </row>
    <row r="146" spans="1:8" x14ac:dyDescent="0.25">
      <c r="A146" s="2"/>
      <c r="B146" s="2"/>
      <c r="C146" s="2"/>
      <c r="D146" s="2"/>
      <c r="E146" s="2"/>
      <c r="F146" s="2"/>
      <c r="G146" s="2"/>
    </row>
    <row r="147" spans="1:8" x14ac:dyDescent="0.25">
      <c r="A147" s="27" t="s">
        <v>14</v>
      </c>
      <c r="B147" s="18" t="s">
        <v>226</v>
      </c>
      <c r="C147" s="28" t="s">
        <v>15</v>
      </c>
      <c r="D147" s="26"/>
      <c r="E147" s="26"/>
      <c r="F147" s="26"/>
      <c r="G147" s="26"/>
    </row>
    <row r="148" spans="1:8" x14ac:dyDescent="0.25">
      <c r="A148" s="29" t="s">
        <v>16</v>
      </c>
      <c r="B148" s="20">
        <v>2014</v>
      </c>
      <c r="C148" s="20">
        <v>2015</v>
      </c>
      <c r="D148" s="21">
        <v>2016</v>
      </c>
      <c r="E148" s="20">
        <v>2017</v>
      </c>
      <c r="F148" s="30">
        <v>2018</v>
      </c>
      <c r="G148" s="30">
        <v>2019</v>
      </c>
      <c r="H148" s="30">
        <v>2020</v>
      </c>
    </row>
    <row r="149" spans="1:8" x14ac:dyDescent="0.25">
      <c r="A149" s="29" t="s">
        <v>17</v>
      </c>
      <c r="B149" s="264">
        <v>3940</v>
      </c>
      <c r="C149" s="264">
        <v>3940</v>
      </c>
      <c r="D149" s="264">
        <v>3940</v>
      </c>
      <c r="E149" s="264">
        <v>3940</v>
      </c>
      <c r="F149" s="264">
        <v>3940</v>
      </c>
      <c r="G149" s="264">
        <v>3940</v>
      </c>
      <c r="H149" s="264">
        <v>3940</v>
      </c>
    </row>
    <row r="150" spans="1:8" x14ac:dyDescent="0.25">
      <c r="A150" s="29" t="s">
        <v>18</v>
      </c>
      <c r="B150" s="264">
        <f>B149*1.3-50</f>
        <v>5072</v>
      </c>
      <c r="C150" s="264">
        <f t="shared" ref="C150:E150" si="7">C149*1.3-50</f>
        <v>5072</v>
      </c>
      <c r="D150" s="264">
        <f t="shared" si="7"/>
        <v>5072</v>
      </c>
      <c r="E150" s="264">
        <f t="shared" si="7"/>
        <v>5072</v>
      </c>
      <c r="F150" s="264">
        <f>F149*1.2-50</f>
        <v>4678</v>
      </c>
      <c r="G150" s="264">
        <f>G149*1.2-50</f>
        <v>4678</v>
      </c>
      <c r="H150" s="264">
        <f>H149*1.2-50</f>
        <v>4678</v>
      </c>
    </row>
    <row r="151" spans="1:8" x14ac:dyDescent="0.25">
      <c r="A151" s="29" t="s">
        <v>19</v>
      </c>
      <c r="B151" s="264" t="s">
        <v>360</v>
      </c>
      <c r="C151" s="264" t="s">
        <v>360</v>
      </c>
      <c r="D151" s="264" t="s">
        <v>360</v>
      </c>
      <c r="E151" s="264" t="s">
        <v>360</v>
      </c>
      <c r="F151" s="264" t="s">
        <v>361</v>
      </c>
      <c r="G151" s="264" t="s">
        <v>361</v>
      </c>
      <c r="H151" s="264" t="s">
        <v>361</v>
      </c>
    </row>
    <row r="152" spans="1:8" x14ac:dyDescent="0.25">
      <c r="A152" s="29" t="s">
        <v>20</v>
      </c>
      <c r="B152" s="264">
        <v>2892.02</v>
      </c>
      <c r="C152" s="264">
        <v>2599.0703200000003</v>
      </c>
      <c r="D152" s="264">
        <v>2934.78017</v>
      </c>
      <c r="E152" s="264">
        <v>2406.0276984999996</v>
      </c>
      <c r="F152" s="264">
        <v>2798</v>
      </c>
      <c r="G152" s="264">
        <v>2858.8298242939013</v>
      </c>
      <c r="H152" s="264">
        <v>2105</v>
      </c>
    </row>
    <row r="153" spans="1:8" x14ac:dyDescent="0.25">
      <c r="A153" s="29" t="s">
        <v>21</v>
      </c>
      <c r="B153" s="264">
        <f>B150-B152</f>
        <v>2179.98</v>
      </c>
      <c r="C153" s="264">
        <f t="shared" ref="C153:G153" si="8">C150-C152</f>
        <v>2472.9296799999997</v>
      </c>
      <c r="D153" s="264">
        <f t="shared" si="8"/>
        <v>2137.21983</v>
      </c>
      <c r="E153" s="264">
        <f t="shared" si="8"/>
        <v>2665.9723015000004</v>
      </c>
      <c r="F153" s="264">
        <f t="shared" si="8"/>
        <v>1880</v>
      </c>
      <c r="G153" s="264">
        <f t="shared" si="8"/>
        <v>1819.1701757060987</v>
      </c>
      <c r="H153" s="264">
        <f t="shared" ref="H153" si="9">H150-H152</f>
        <v>2573</v>
      </c>
    </row>
    <row r="154" spans="1:8" x14ac:dyDescent="0.25">
      <c r="A154" s="149" t="s">
        <v>22</v>
      </c>
      <c r="B154" s="156">
        <v>2015</v>
      </c>
      <c r="C154" s="156">
        <v>2016</v>
      </c>
      <c r="D154" s="23">
        <v>2017</v>
      </c>
      <c r="E154" s="156">
        <v>2018</v>
      </c>
      <c r="F154" s="150">
        <v>2019</v>
      </c>
      <c r="G154" s="150">
        <v>2020</v>
      </c>
      <c r="H154" s="150">
        <v>2021</v>
      </c>
    </row>
    <row r="155" spans="1:8" x14ac:dyDescent="0.25">
      <c r="A155" s="898" t="s">
        <v>489</v>
      </c>
      <c r="B155" s="899"/>
      <c r="C155" s="899"/>
      <c r="D155" s="899"/>
      <c r="E155" s="899"/>
      <c r="F155" s="899"/>
      <c r="G155" s="899"/>
      <c r="H155" s="248"/>
    </row>
    <row r="156" spans="1:8" x14ac:dyDescent="0.25">
      <c r="A156" s="420" t="s">
        <v>358</v>
      </c>
      <c r="B156" s="421"/>
      <c r="C156" s="421"/>
      <c r="D156" s="421"/>
      <c r="E156" s="421"/>
      <c r="F156" s="421"/>
      <c r="G156" s="421"/>
      <c r="H156" s="138"/>
    </row>
    <row r="157" spans="1:8" x14ac:dyDescent="0.25">
      <c r="A157" s="2"/>
      <c r="B157" s="2"/>
      <c r="C157" s="2"/>
      <c r="D157" s="2"/>
      <c r="E157" s="2"/>
      <c r="F157" s="2"/>
      <c r="G157" s="2"/>
    </row>
    <row r="158" spans="1:8" x14ac:dyDescent="0.25">
      <c r="A158" s="736" t="s">
        <v>14</v>
      </c>
      <c r="B158" s="735" t="s">
        <v>76</v>
      </c>
      <c r="C158" s="737" t="s">
        <v>15</v>
      </c>
      <c r="D158" s="26"/>
      <c r="E158" s="26"/>
      <c r="F158" s="26"/>
      <c r="G158" s="2"/>
    </row>
    <row r="159" spans="1:8" x14ac:dyDescent="0.25">
      <c r="A159" s="738" t="s">
        <v>16</v>
      </c>
      <c r="B159" s="739"/>
      <c r="C159" s="270">
        <v>2020</v>
      </c>
    </row>
    <row r="160" spans="1:8" x14ac:dyDescent="0.25">
      <c r="A160" s="738" t="s">
        <v>17</v>
      </c>
      <c r="B160" s="740"/>
      <c r="C160" s="242">
        <v>6043</v>
      </c>
    </row>
    <row r="161" spans="1:8" x14ac:dyDescent="0.25">
      <c r="A161" s="738" t="s">
        <v>18</v>
      </c>
      <c r="B161" s="740"/>
      <c r="C161" s="242"/>
    </row>
    <row r="162" spans="1:8" x14ac:dyDescent="0.25">
      <c r="A162" s="738" t="s">
        <v>19</v>
      </c>
      <c r="B162" s="740"/>
      <c r="C162" s="242"/>
    </row>
    <row r="163" spans="1:8" x14ac:dyDescent="0.25">
      <c r="A163" s="738" t="s">
        <v>20</v>
      </c>
      <c r="B163" s="740"/>
      <c r="C163" s="242">
        <v>6284</v>
      </c>
    </row>
    <row r="164" spans="1:8" x14ac:dyDescent="0.25">
      <c r="A164" s="738" t="s">
        <v>21</v>
      </c>
      <c r="B164" s="741"/>
      <c r="C164" s="242">
        <f>C160-C163</f>
        <v>-241</v>
      </c>
    </row>
    <row r="165" spans="1:8" x14ac:dyDescent="0.25">
      <c r="A165" s="742" t="s">
        <v>22</v>
      </c>
      <c r="B165" s="743"/>
      <c r="C165" s="404"/>
    </row>
    <row r="166" spans="1:8" x14ac:dyDescent="0.25">
      <c r="A166" s="861" t="s">
        <v>664</v>
      </c>
      <c r="B166" s="862"/>
      <c r="C166" s="863"/>
      <c r="D166" s="734"/>
      <c r="E166" s="734"/>
      <c r="F166" s="734"/>
      <c r="G166" s="734"/>
      <c r="H166" s="734"/>
    </row>
    <row r="167" spans="1:8" x14ac:dyDescent="0.25">
      <c r="A167" s="2"/>
      <c r="B167" s="2"/>
      <c r="C167" s="427"/>
      <c r="D167" s="2"/>
      <c r="E167" s="2"/>
      <c r="F167" s="2"/>
      <c r="G167" s="2"/>
    </row>
    <row r="168" spans="1:8" x14ac:dyDescent="0.25">
      <c r="A168" s="27" t="s">
        <v>14</v>
      </c>
      <c r="B168" s="18" t="s">
        <v>85</v>
      </c>
      <c r="C168" s="28" t="s">
        <v>15</v>
      </c>
      <c r="D168" s="26"/>
      <c r="E168" s="26"/>
      <c r="F168" s="26"/>
      <c r="G168" s="2"/>
    </row>
    <row r="169" spans="1:8" x14ac:dyDescent="0.25">
      <c r="A169" s="29" t="s">
        <v>16</v>
      </c>
      <c r="B169" s="20">
        <v>2014</v>
      </c>
      <c r="C169" s="20">
        <v>2015</v>
      </c>
      <c r="D169" s="21">
        <v>2016</v>
      </c>
      <c r="E169" s="20">
        <v>2017</v>
      </c>
      <c r="F169" s="30">
        <v>2018</v>
      </c>
      <c r="G169" s="7">
        <v>2019</v>
      </c>
      <c r="H169" s="7">
        <v>2020</v>
      </c>
    </row>
    <row r="170" spans="1:8" x14ac:dyDescent="0.25">
      <c r="A170" s="29" t="s">
        <v>17</v>
      </c>
      <c r="B170" s="148">
        <v>190</v>
      </c>
      <c r="C170" s="148">
        <v>190</v>
      </c>
      <c r="D170" s="148">
        <v>190</v>
      </c>
      <c r="E170" s="148">
        <v>190</v>
      </c>
      <c r="F170" s="267">
        <v>190</v>
      </c>
      <c r="G170" s="94">
        <v>190</v>
      </c>
      <c r="H170" s="94">
        <v>159.80000000000001</v>
      </c>
    </row>
    <row r="171" spans="1:8" x14ac:dyDescent="0.25">
      <c r="A171" s="29" t="s">
        <v>18</v>
      </c>
      <c r="B171" s="148"/>
      <c r="C171" s="148"/>
      <c r="D171" s="148"/>
      <c r="E171" s="148"/>
      <c r="F171" s="267"/>
      <c r="G171" s="94"/>
      <c r="H171" s="94"/>
    </row>
    <row r="172" spans="1:8" x14ac:dyDescent="0.25">
      <c r="A172" s="29" t="s">
        <v>19</v>
      </c>
      <c r="B172" s="148"/>
      <c r="C172" s="148"/>
      <c r="D172" s="148"/>
      <c r="E172" s="148"/>
      <c r="F172" s="267"/>
      <c r="G172" s="94"/>
      <c r="H172" s="94"/>
    </row>
    <row r="173" spans="1:8" x14ac:dyDescent="0.25">
      <c r="A173" s="29" t="s">
        <v>20</v>
      </c>
      <c r="B173" s="148">
        <v>104.95522</v>
      </c>
      <c r="C173" s="148">
        <v>89.182190000000006</v>
      </c>
      <c r="D173" s="148">
        <v>79.192750000000004</v>
      </c>
      <c r="E173" s="153">
        <v>64.003107999999997</v>
      </c>
      <c r="F173" s="148">
        <v>37</v>
      </c>
      <c r="G173" s="94">
        <v>19.91</v>
      </c>
      <c r="H173" s="94">
        <v>13</v>
      </c>
    </row>
    <row r="174" spans="1:8" x14ac:dyDescent="0.25">
      <c r="A174" s="29" t="s">
        <v>21</v>
      </c>
      <c r="B174" s="31"/>
      <c r="C174" s="31"/>
      <c r="D174" s="31"/>
      <c r="E174" s="31"/>
      <c r="F174" s="32"/>
      <c r="G174" s="7"/>
      <c r="H174" s="7"/>
    </row>
    <row r="175" spans="1:8" x14ac:dyDescent="0.25">
      <c r="A175" s="149" t="s">
        <v>22</v>
      </c>
      <c r="B175" s="422"/>
      <c r="C175" s="422"/>
      <c r="D175" s="425"/>
      <c r="E175" s="422"/>
      <c r="F175" s="426"/>
      <c r="G175" s="37"/>
      <c r="H175" s="37"/>
    </row>
    <row r="176" spans="1:8" ht="49.2" customHeight="1" x14ac:dyDescent="0.25">
      <c r="A176" s="879" t="s">
        <v>359</v>
      </c>
      <c r="B176" s="880"/>
      <c r="C176" s="880"/>
      <c r="D176" s="880"/>
      <c r="E176" s="880"/>
      <c r="F176" s="880"/>
      <c r="G176" s="880"/>
      <c r="H176" s="881"/>
    </row>
    <row r="177" spans="1:8" x14ac:dyDescent="0.25">
      <c r="A177" s="2"/>
      <c r="B177" s="2"/>
      <c r="C177" s="427"/>
      <c r="D177" s="2"/>
      <c r="E177" s="2"/>
      <c r="F177" s="2"/>
      <c r="G177" s="2"/>
    </row>
    <row r="178" spans="1:8" x14ac:dyDescent="0.25">
      <c r="A178" s="27" t="s">
        <v>14</v>
      </c>
      <c r="B178" s="18" t="s">
        <v>90</v>
      </c>
      <c r="C178" s="28" t="s">
        <v>15</v>
      </c>
      <c r="D178" s="26"/>
      <c r="E178" s="26"/>
      <c r="F178" s="26"/>
      <c r="G178" s="2"/>
    </row>
    <row r="179" spans="1:8" x14ac:dyDescent="0.25">
      <c r="A179" s="29" t="s">
        <v>16</v>
      </c>
      <c r="B179" s="20">
        <v>2014</v>
      </c>
      <c r="C179" s="20">
        <v>2015</v>
      </c>
      <c r="D179" s="21">
        <v>2016</v>
      </c>
      <c r="E179" s="20">
        <v>2017</v>
      </c>
      <c r="F179" s="30">
        <v>2018</v>
      </c>
      <c r="G179" s="7">
        <v>2019</v>
      </c>
      <c r="H179" s="7">
        <v>2020</v>
      </c>
    </row>
    <row r="180" spans="1:8" x14ac:dyDescent="0.25">
      <c r="A180" s="29" t="s">
        <v>17</v>
      </c>
      <c r="B180" s="31">
        <v>50</v>
      </c>
      <c r="C180" s="31">
        <v>50</v>
      </c>
      <c r="D180" s="31">
        <v>50</v>
      </c>
      <c r="E180" s="31">
        <v>50</v>
      </c>
      <c r="F180" s="32">
        <v>50</v>
      </c>
      <c r="G180" s="94">
        <v>50</v>
      </c>
      <c r="H180" s="94">
        <v>50</v>
      </c>
    </row>
    <row r="181" spans="1:8" x14ac:dyDescent="0.25">
      <c r="A181" s="29" t="s">
        <v>18</v>
      </c>
      <c r="B181" s="31"/>
      <c r="C181" s="31"/>
      <c r="D181" s="31"/>
      <c r="E181" s="31"/>
      <c r="F181" s="32"/>
      <c r="G181" s="7"/>
      <c r="H181" s="94"/>
    </row>
    <row r="182" spans="1:8" x14ac:dyDescent="0.25">
      <c r="A182" s="29" t="s">
        <v>19</v>
      </c>
      <c r="B182" s="31"/>
      <c r="C182" s="31"/>
      <c r="D182" s="31"/>
      <c r="E182" s="31"/>
      <c r="F182" s="32"/>
      <c r="G182" s="7"/>
      <c r="H182" s="94"/>
    </row>
    <row r="183" spans="1:8" x14ac:dyDescent="0.25">
      <c r="A183" s="29" t="s">
        <v>20</v>
      </c>
      <c r="B183" s="31">
        <v>102.32362999999999</v>
      </c>
      <c r="C183" s="31">
        <v>121.20529999999999</v>
      </c>
      <c r="D183" s="31">
        <v>66.934179999999998</v>
      </c>
      <c r="E183" s="31">
        <v>46.581100000000006</v>
      </c>
      <c r="F183" s="31">
        <v>62</v>
      </c>
      <c r="G183" s="7">
        <v>76.31</v>
      </c>
      <c r="H183" s="94">
        <v>46</v>
      </c>
    </row>
    <row r="184" spans="1:8" x14ac:dyDescent="0.25">
      <c r="A184" s="29" t="s">
        <v>21</v>
      </c>
      <c r="B184" s="31"/>
      <c r="C184" s="31"/>
      <c r="D184" s="31"/>
      <c r="E184" s="31"/>
      <c r="F184" s="32"/>
      <c r="G184" s="7"/>
      <c r="H184" s="94"/>
    </row>
    <row r="185" spans="1:8" x14ac:dyDescent="0.25">
      <c r="A185" s="29" t="s">
        <v>22</v>
      </c>
      <c r="B185" s="20"/>
      <c r="C185" s="20"/>
      <c r="D185" s="21"/>
      <c r="E185" s="20"/>
      <c r="F185" s="30"/>
      <c r="G185" s="7"/>
      <c r="H185" s="94"/>
    </row>
    <row r="186" spans="1:8" x14ac:dyDescent="0.25">
      <c r="A186" s="906" t="s">
        <v>23</v>
      </c>
      <c r="B186" s="906"/>
      <c r="C186" s="906"/>
      <c r="D186" s="906"/>
      <c r="E186" s="906"/>
      <c r="F186" s="906"/>
      <c r="G186" s="7"/>
      <c r="H186" s="94"/>
    </row>
    <row r="187" spans="1:8" ht="48" customHeight="1" x14ac:dyDescent="0.25">
      <c r="A187" s="879" t="s">
        <v>359</v>
      </c>
      <c r="B187" s="880"/>
      <c r="C187" s="880"/>
      <c r="D187" s="880"/>
      <c r="E187" s="880"/>
      <c r="F187" s="880"/>
      <c r="G187" s="880"/>
      <c r="H187" s="881"/>
    </row>
    <row r="188" spans="1:8" x14ac:dyDescent="0.25">
      <c r="A188" s="35"/>
      <c r="B188" s="16"/>
      <c r="C188" s="16"/>
      <c r="D188" s="26"/>
      <c r="E188" s="26"/>
      <c r="F188" s="26"/>
    </row>
    <row r="189" spans="1:8" x14ac:dyDescent="0.25">
      <c r="A189" s="35"/>
      <c r="B189" s="16"/>
      <c r="C189" s="16"/>
      <c r="D189" s="26"/>
      <c r="E189" s="26"/>
      <c r="F189" s="26"/>
    </row>
    <row r="190" spans="1:8" x14ac:dyDescent="0.25">
      <c r="A190" s="36" t="s">
        <v>12</v>
      </c>
      <c r="B190" s="722" t="s">
        <v>184</v>
      </c>
      <c r="C190" s="178"/>
    </row>
    <row r="191" spans="1:8" x14ac:dyDescent="0.25">
      <c r="A191" s="136" t="s">
        <v>14</v>
      </c>
      <c r="B191" s="433" t="s">
        <v>220</v>
      </c>
      <c r="C191" s="170" t="s">
        <v>15</v>
      </c>
    </row>
    <row r="192" spans="1:8" x14ac:dyDescent="0.25">
      <c r="A192" s="170" t="s">
        <v>16</v>
      </c>
      <c r="B192" s="170"/>
      <c r="C192" s="170">
        <v>2016</v>
      </c>
      <c r="D192" s="170">
        <v>2017</v>
      </c>
      <c r="E192" s="170">
        <v>2018</v>
      </c>
      <c r="F192" s="170">
        <v>2019</v>
      </c>
      <c r="G192" s="170">
        <v>2020</v>
      </c>
      <c r="H192" s="170">
        <v>2021</v>
      </c>
    </row>
    <row r="193" spans="1:14" x14ac:dyDescent="0.25">
      <c r="A193" s="112" t="s">
        <v>17</v>
      </c>
      <c r="B193" s="112"/>
      <c r="C193" s="130">
        <v>1348</v>
      </c>
      <c r="D193" s="130">
        <v>1348</v>
      </c>
      <c r="E193" s="130">
        <v>1348</v>
      </c>
      <c r="F193" s="130">
        <v>1348</v>
      </c>
      <c r="G193" s="130">
        <v>1348</v>
      </c>
      <c r="H193" s="130">
        <v>1348</v>
      </c>
    </row>
    <row r="194" spans="1:14" x14ac:dyDescent="0.25">
      <c r="A194" s="112" t="s">
        <v>18</v>
      </c>
      <c r="B194" s="112"/>
      <c r="C194" s="130">
        <v>2040.2</v>
      </c>
      <c r="D194" s="130">
        <v>2070.1999999999998</v>
      </c>
      <c r="E194" s="130">
        <v>2070.1999999999998</v>
      </c>
      <c r="F194" s="130">
        <v>2045.1999999999998</v>
      </c>
      <c r="G194" s="130">
        <f>G193*1.15+125+35+35+100</f>
        <v>1845.1999999999998</v>
      </c>
      <c r="H194" s="130">
        <f>H193+0.15*F193+150+35+35+200</f>
        <v>1970.2</v>
      </c>
    </row>
    <row r="195" spans="1:14" x14ac:dyDescent="0.25">
      <c r="A195" s="112" t="s">
        <v>19</v>
      </c>
      <c r="B195" s="112"/>
      <c r="C195" s="130"/>
      <c r="D195" s="130"/>
      <c r="E195" s="130"/>
      <c r="F195" s="130"/>
      <c r="G195" s="130"/>
      <c r="H195" s="130"/>
    </row>
    <row r="196" spans="1:14" x14ac:dyDescent="0.25">
      <c r="A196" s="112" t="s">
        <v>20</v>
      </c>
      <c r="B196" s="112"/>
      <c r="C196" s="130">
        <v>1558.88</v>
      </c>
      <c r="D196" s="130">
        <v>1209.21</v>
      </c>
      <c r="E196" s="130">
        <v>786.81</v>
      </c>
      <c r="F196" s="130">
        <v>997.23400000000004</v>
      </c>
      <c r="G196" s="130">
        <v>1343</v>
      </c>
      <c r="H196" s="130"/>
    </row>
    <row r="197" spans="1:14" x14ac:dyDescent="0.25">
      <c r="A197" s="112" t="s">
        <v>21</v>
      </c>
      <c r="B197" s="112"/>
      <c r="C197" s="130">
        <v>481.32</v>
      </c>
      <c r="D197" s="130">
        <v>860.99</v>
      </c>
      <c r="E197" s="130">
        <v>1283.3900000000001</v>
      </c>
      <c r="F197" s="130">
        <v>1047.9659999999999</v>
      </c>
      <c r="G197" s="130">
        <f>G194-G196</f>
        <v>502.19999999999982</v>
      </c>
      <c r="H197" s="130"/>
    </row>
    <row r="198" spans="1:14" x14ac:dyDescent="0.25">
      <c r="A198" s="163" t="s">
        <v>22</v>
      </c>
      <c r="B198" s="163"/>
      <c r="C198" s="163">
        <v>2018</v>
      </c>
      <c r="D198" s="163">
        <v>2019</v>
      </c>
      <c r="E198" s="163">
        <v>2020</v>
      </c>
      <c r="F198" s="163">
        <v>2021</v>
      </c>
      <c r="G198" s="163">
        <v>2022</v>
      </c>
      <c r="H198" s="163">
        <v>2023</v>
      </c>
    </row>
    <row r="199" spans="1:14" x14ac:dyDescent="0.25">
      <c r="A199" s="38" t="s">
        <v>181</v>
      </c>
      <c r="B199" s="39"/>
      <c r="C199" s="39"/>
      <c r="D199" s="39"/>
      <c r="E199" s="39"/>
      <c r="F199" s="39"/>
      <c r="G199" s="39"/>
      <c r="H199" s="40"/>
      <c r="I199" s="43"/>
      <c r="J199" s="43"/>
      <c r="K199" s="41"/>
      <c r="L199" s="41"/>
      <c r="M199" s="41"/>
      <c r="N199" s="41"/>
    </row>
    <row r="200" spans="1:14" x14ac:dyDescent="0.25">
      <c r="A200" s="42" t="s">
        <v>182</v>
      </c>
      <c r="B200" s="43"/>
      <c r="C200" s="43"/>
      <c r="D200" s="43"/>
      <c r="E200" s="43"/>
      <c r="F200" s="43"/>
      <c r="G200" s="43"/>
      <c r="H200" s="44"/>
      <c r="I200" s="43"/>
      <c r="J200" s="43"/>
      <c r="K200" s="41"/>
      <c r="L200" s="41"/>
      <c r="M200" s="41"/>
      <c r="N200" s="41"/>
    </row>
    <row r="201" spans="1:14" x14ac:dyDescent="0.25">
      <c r="A201" s="42" t="s">
        <v>183</v>
      </c>
      <c r="B201" s="43"/>
      <c r="C201" s="43"/>
      <c r="D201" s="43"/>
      <c r="E201" s="43"/>
      <c r="F201" s="43"/>
      <c r="G201" s="43"/>
      <c r="H201" s="44"/>
      <c r="I201" s="43"/>
      <c r="J201" s="43"/>
      <c r="K201" s="41"/>
      <c r="L201" s="41"/>
      <c r="M201" s="41"/>
      <c r="N201" s="41"/>
    </row>
    <row r="202" spans="1:14" x14ac:dyDescent="0.25">
      <c r="A202" s="42" t="s">
        <v>439</v>
      </c>
      <c r="B202" s="108"/>
      <c r="C202" s="108"/>
      <c r="D202" s="108"/>
      <c r="E202" s="108"/>
      <c r="F202" s="108"/>
      <c r="G202" s="108"/>
      <c r="H202" s="110"/>
      <c r="I202" s="108"/>
      <c r="J202" s="108"/>
    </row>
    <row r="203" spans="1:14" x14ac:dyDescent="0.25">
      <c r="A203" s="42" t="s">
        <v>607</v>
      </c>
      <c r="B203" s="108"/>
      <c r="C203" s="108"/>
      <c r="D203" s="108"/>
      <c r="E203" s="108"/>
      <c r="F203" s="108"/>
      <c r="G203" s="108"/>
      <c r="H203" s="110"/>
      <c r="I203" s="108"/>
      <c r="J203" s="108"/>
    </row>
    <row r="204" spans="1:14" x14ac:dyDescent="0.25">
      <c r="A204" s="42" t="s">
        <v>608</v>
      </c>
      <c r="B204" s="108"/>
      <c r="C204" s="108"/>
      <c r="D204" s="108"/>
      <c r="E204" s="108"/>
      <c r="F204" s="108"/>
      <c r="G204" s="108"/>
      <c r="H204" s="110"/>
      <c r="I204" s="108"/>
      <c r="J204" s="108"/>
    </row>
    <row r="205" spans="1:14" x14ac:dyDescent="0.25">
      <c r="A205" s="434" t="s">
        <v>678</v>
      </c>
      <c r="B205" s="45"/>
      <c r="C205" s="45"/>
      <c r="D205" s="45"/>
      <c r="E205" s="45"/>
      <c r="F205" s="45"/>
      <c r="G205" s="45"/>
      <c r="H205" s="46"/>
      <c r="I205" s="43"/>
      <c r="J205" s="43"/>
      <c r="K205" s="41"/>
      <c r="L205" s="41"/>
      <c r="M205" s="41"/>
      <c r="N205" s="41"/>
    </row>
    <row r="207" spans="1:14" x14ac:dyDescent="0.25">
      <c r="A207" s="3" t="s">
        <v>14</v>
      </c>
      <c r="B207" s="320" t="s">
        <v>35</v>
      </c>
      <c r="C207" s="250" t="s">
        <v>15</v>
      </c>
      <c r="D207" s="47"/>
      <c r="E207" s="47"/>
      <c r="F207" s="47"/>
      <c r="G207" s="2"/>
      <c r="H207" s="2"/>
    </row>
    <row r="208" spans="1:14" x14ac:dyDescent="0.25">
      <c r="A208" s="6" t="s">
        <v>16</v>
      </c>
      <c r="B208" s="249"/>
      <c r="C208" s="321">
        <v>2016</v>
      </c>
      <c r="D208" s="177">
        <v>2017</v>
      </c>
      <c r="E208" s="177">
        <v>2018</v>
      </c>
      <c r="F208" s="177">
        <v>2019</v>
      </c>
      <c r="G208" s="177">
        <v>2020</v>
      </c>
      <c r="H208" s="177">
        <v>2021</v>
      </c>
    </row>
    <row r="209" spans="1:8" x14ac:dyDescent="0.25">
      <c r="A209" s="6" t="s">
        <v>17</v>
      </c>
      <c r="B209" s="249"/>
      <c r="C209" s="322">
        <v>452.47</v>
      </c>
      <c r="D209" s="175">
        <v>452.47</v>
      </c>
      <c r="E209" s="175">
        <v>530.59</v>
      </c>
      <c r="F209" s="175">
        <v>530.59</v>
      </c>
      <c r="G209" s="175">
        <v>530.59</v>
      </c>
      <c r="H209" s="175">
        <v>530.59</v>
      </c>
    </row>
    <row r="210" spans="1:8" x14ac:dyDescent="0.25">
      <c r="A210" s="6" t="s">
        <v>18</v>
      </c>
      <c r="B210" s="249"/>
      <c r="C210" s="322">
        <v>506.74</v>
      </c>
      <c r="D210" s="175">
        <v>488.61</v>
      </c>
      <c r="E210" s="175">
        <v>621.53</v>
      </c>
      <c r="F210" s="175">
        <f>F209*1.1+60.44+9.62</f>
        <v>653.70900000000017</v>
      </c>
      <c r="G210" s="175">
        <f>G209+F213+4.78+79.44</f>
        <v>635.64900000000034</v>
      </c>
      <c r="H210" s="175">
        <f>H209+G213+100.44+4.78</f>
        <v>679.85600000000045</v>
      </c>
    </row>
    <row r="211" spans="1:8" x14ac:dyDescent="0.25">
      <c r="A211" s="6" t="s">
        <v>19</v>
      </c>
      <c r="B211" s="249"/>
      <c r="C211" s="323"/>
      <c r="D211" s="176"/>
      <c r="E211" s="94"/>
      <c r="F211" s="94"/>
      <c r="G211" s="94"/>
      <c r="H211" s="94"/>
    </row>
    <row r="212" spans="1:8" x14ac:dyDescent="0.25">
      <c r="A212" s="6" t="s">
        <v>20</v>
      </c>
      <c r="B212" s="249"/>
      <c r="C212" s="322">
        <v>466.11</v>
      </c>
      <c r="D212" s="176">
        <v>471.65</v>
      </c>
      <c r="E212" s="94">
        <v>553.98</v>
      </c>
      <c r="F212" s="94">
        <v>632.86999999999989</v>
      </c>
      <c r="G212" s="94">
        <v>591.60299999999995</v>
      </c>
      <c r="H212" s="94"/>
    </row>
    <row r="213" spans="1:8" x14ac:dyDescent="0.25">
      <c r="A213" s="6" t="s">
        <v>21</v>
      </c>
      <c r="B213" s="249"/>
      <c r="C213" s="113">
        <f>C210-C212</f>
        <v>40.629999999999995</v>
      </c>
      <c r="D213" s="94">
        <f>D210-D212</f>
        <v>16.960000000000036</v>
      </c>
      <c r="E213" s="94">
        <f>E210-E212</f>
        <v>67.549999999999955</v>
      </c>
      <c r="F213" s="94">
        <f>F210-F212</f>
        <v>20.839000000000283</v>
      </c>
      <c r="G213" s="94">
        <f>G210-G212</f>
        <v>44.04600000000039</v>
      </c>
      <c r="H213" s="94"/>
    </row>
    <row r="214" spans="1:8" x14ac:dyDescent="0.25">
      <c r="A214" s="8" t="s">
        <v>22</v>
      </c>
      <c r="B214" s="253"/>
      <c r="C214" s="324">
        <v>2017</v>
      </c>
      <c r="D214" s="174">
        <v>2018</v>
      </c>
      <c r="E214" s="37">
        <v>2019</v>
      </c>
      <c r="F214" s="37">
        <v>2020</v>
      </c>
      <c r="G214" s="37">
        <v>2021</v>
      </c>
      <c r="H214" s="404">
        <v>2022</v>
      </c>
    </row>
    <row r="215" spans="1:8" x14ac:dyDescent="0.25">
      <c r="A215" s="38" t="s">
        <v>185</v>
      </c>
      <c r="B215" s="39"/>
      <c r="C215" s="39"/>
      <c r="D215" s="39"/>
      <c r="E215" s="39"/>
      <c r="F215" s="39"/>
      <c r="G215" s="39"/>
      <c r="H215" s="10"/>
    </row>
    <row r="216" spans="1:8" x14ac:dyDescent="0.25">
      <c r="A216" s="42" t="s">
        <v>186</v>
      </c>
      <c r="B216" s="43"/>
      <c r="C216" s="43"/>
      <c r="D216" s="43"/>
      <c r="E216" s="43"/>
      <c r="F216" s="43"/>
      <c r="G216" s="43"/>
      <c r="H216" s="50"/>
    </row>
    <row r="217" spans="1:8" x14ac:dyDescent="0.25">
      <c r="A217" s="42" t="s">
        <v>187</v>
      </c>
      <c r="B217" s="43"/>
      <c r="C217" s="43"/>
      <c r="D217" s="43"/>
      <c r="E217" s="43"/>
      <c r="F217" s="43"/>
      <c r="G217" s="43"/>
      <c r="H217" s="50"/>
    </row>
    <row r="218" spans="1:8" x14ac:dyDescent="0.25">
      <c r="A218" s="49" t="s">
        <v>188</v>
      </c>
      <c r="B218" s="47"/>
      <c r="C218" s="47"/>
      <c r="D218" s="47"/>
      <c r="E218" s="47"/>
      <c r="F218" s="47"/>
      <c r="G218" s="47"/>
      <c r="H218" s="50"/>
    </row>
    <row r="219" spans="1:8" x14ac:dyDescent="0.25">
      <c r="A219" s="49" t="s">
        <v>299</v>
      </c>
      <c r="B219" s="47"/>
      <c r="C219" s="47"/>
      <c r="D219" s="47"/>
      <c r="E219" s="47"/>
      <c r="F219" s="47"/>
      <c r="G219" s="47"/>
      <c r="H219" s="50"/>
    </row>
    <row r="220" spans="1:8" x14ac:dyDescent="0.25">
      <c r="A220" s="49" t="s">
        <v>499</v>
      </c>
      <c r="B220" s="47"/>
      <c r="C220" s="47"/>
      <c r="D220" s="47"/>
      <c r="E220" s="47"/>
      <c r="F220" s="47"/>
      <c r="G220" s="47"/>
      <c r="H220" s="50"/>
    </row>
    <row r="221" spans="1:8" x14ac:dyDescent="0.25">
      <c r="A221" s="241" t="s">
        <v>679</v>
      </c>
      <c r="B221" s="12"/>
      <c r="C221" s="12"/>
      <c r="D221" s="12"/>
      <c r="E221" s="12"/>
      <c r="F221" s="12"/>
      <c r="G221" s="12"/>
      <c r="H221" s="13"/>
    </row>
    <row r="224" spans="1:8" x14ac:dyDescent="0.25">
      <c r="A224" s="1" t="s">
        <v>12</v>
      </c>
      <c r="B224" s="722" t="s">
        <v>165</v>
      </c>
      <c r="C224" s="178"/>
      <c r="D224" s="2"/>
      <c r="E224" s="2"/>
      <c r="F224" s="2"/>
      <c r="G224" s="2"/>
    </row>
    <row r="225" spans="1:14" x14ac:dyDescent="0.25">
      <c r="A225" s="435" t="s">
        <v>14</v>
      </c>
      <c r="B225" s="314" t="s">
        <v>224</v>
      </c>
      <c r="C225" s="170" t="s">
        <v>15</v>
      </c>
    </row>
    <row r="226" spans="1:14" x14ac:dyDescent="0.25">
      <c r="A226" s="436" t="s">
        <v>16</v>
      </c>
      <c r="B226" s="437">
        <v>2010</v>
      </c>
      <c r="C226" s="437">
        <v>2011</v>
      </c>
      <c r="D226" s="437">
        <v>2012</v>
      </c>
      <c r="E226" s="437">
        <v>2013</v>
      </c>
      <c r="F226" s="437">
        <v>2014</v>
      </c>
      <c r="G226" s="437">
        <v>2015</v>
      </c>
      <c r="H226" s="437">
        <v>2016</v>
      </c>
      <c r="I226" s="437">
        <v>2017</v>
      </c>
      <c r="J226" s="437">
        <v>2018</v>
      </c>
      <c r="K226" s="437">
        <v>2019</v>
      </c>
      <c r="L226" s="286">
        <v>2020</v>
      </c>
      <c r="M226" s="286">
        <v>2021</v>
      </c>
    </row>
    <row r="227" spans="1:14" x14ac:dyDescent="0.25">
      <c r="A227" s="436" t="s">
        <v>17</v>
      </c>
      <c r="B227" s="252">
        <v>200</v>
      </c>
      <c r="C227" s="252">
        <v>200</v>
      </c>
      <c r="D227" s="252">
        <v>200</v>
      </c>
      <c r="E227" s="252">
        <v>200</v>
      </c>
      <c r="F227" s="252">
        <v>200</v>
      </c>
      <c r="G227" s="252">
        <v>200</v>
      </c>
      <c r="H227" s="251">
        <v>200</v>
      </c>
      <c r="I227" s="252">
        <v>200</v>
      </c>
      <c r="J227" s="252">
        <v>200</v>
      </c>
      <c r="K227" s="252">
        <v>215</v>
      </c>
      <c r="L227" s="130">
        <v>215</v>
      </c>
      <c r="M227" s="130">
        <v>242</v>
      </c>
    </row>
    <row r="228" spans="1:14" x14ac:dyDescent="0.25">
      <c r="A228" s="436" t="s">
        <v>18</v>
      </c>
      <c r="B228" s="252">
        <v>250</v>
      </c>
      <c r="C228" s="252">
        <v>250</v>
      </c>
      <c r="D228" s="252">
        <v>250</v>
      </c>
      <c r="E228" s="252">
        <v>250</v>
      </c>
      <c r="F228" s="252">
        <v>200</v>
      </c>
      <c r="G228" s="252">
        <v>250</v>
      </c>
      <c r="H228" s="251">
        <v>250</v>
      </c>
      <c r="I228" s="252">
        <v>250</v>
      </c>
      <c r="J228" s="252">
        <v>250</v>
      </c>
      <c r="K228" s="252">
        <v>265</v>
      </c>
      <c r="L228" s="252">
        <v>265</v>
      </c>
      <c r="M228" s="252">
        <f>M227+0.25*K227</f>
        <v>295.75</v>
      </c>
    </row>
    <row r="229" spans="1:14" x14ac:dyDescent="0.25">
      <c r="A229" s="436" t="s">
        <v>19</v>
      </c>
      <c r="B229" s="252"/>
      <c r="C229" s="252"/>
      <c r="D229" s="252"/>
      <c r="E229" s="252"/>
      <c r="F229" s="252"/>
      <c r="G229" s="252"/>
      <c r="H229" s="251"/>
      <c r="I229" s="251"/>
      <c r="J229" s="251"/>
      <c r="K229" s="251"/>
      <c r="L229" s="251"/>
      <c r="M229" s="130"/>
    </row>
    <row r="230" spans="1:14" x14ac:dyDescent="0.25">
      <c r="A230" s="436" t="s">
        <v>20</v>
      </c>
      <c r="B230" s="252">
        <v>150</v>
      </c>
      <c r="C230" s="252">
        <v>101</v>
      </c>
      <c r="D230" s="252">
        <v>21</v>
      </c>
      <c r="E230" s="252">
        <v>81.085999999999999</v>
      </c>
      <c r="F230" s="252">
        <v>34.866999999999997</v>
      </c>
      <c r="G230" s="252">
        <v>20.963999999999999</v>
      </c>
      <c r="H230" s="251">
        <v>103.196</v>
      </c>
      <c r="I230" s="251">
        <v>123.654</v>
      </c>
      <c r="J230" s="251">
        <v>123.839</v>
      </c>
      <c r="K230" s="251">
        <v>129.16</v>
      </c>
      <c r="L230" s="251">
        <v>207.66</v>
      </c>
      <c r="M230" s="130"/>
    </row>
    <row r="231" spans="1:14" x14ac:dyDescent="0.25">
      <c r="A231" s="436" t="s">
        <v>21</v>
      </c>
      <c r="B231" s="252">
        <v>100</v>
      </c>
      <c r="C231" s="252">
        <v>149</v>
      </c>
      <c r="D231" s="252">
        <v>229</v>
      </c>
      <c r="E231" s="252">
        <v>168.91399999999999</v>
      </c>
      <c r="F231" s="252">
        <v>165.13300000000001</v>
      </c>
      <c r="G231" s="252">
        <v>229.036</v>
      </c>
      <c r="H231" s="251">
        <v>146.804</v>
      </c>
      <c r="I231" s="251">
        <v>126.364</v>
      </c>
      <c r="J231" s="251">
        <v>126.161</v>
      </c>
      <c r="K231" s="251">
        <v>135.84</v>
      </c>
      <c r="L231" s="251">
        <f>L228-L230</f>
        <v>57.34</v>
      </c>
      <c r="M231" s="130"/>
    </row>
    <row r="232" spans="1:14" x14ac:dyDescent="0.25">
      <c r="A232" s="436" t="s">
        <v>22</v>
      </c>
      <c r="B232" s="331">
        <v>2012</v>
      </c>
      <c r="C232" s="331">
        <v>2013</v>
      </c>
      <c r="D232" s="331">
        <v>2014</v>
      </c>
      <c r="E232" s="331">
        <v>2015</v>
      </c>
      <c r="F232" s="331">
        <v>2016</v>
      </c>
      <c r="G232" s="331">
        <v>2017</v>
      </c>
      <c r="H232" s="295">
        <v>2018</v>
      </c>
      <c r="I232" s="295">
        <v>2019</v>
      </c>
      <c r="J232" s="295">
        <v>2020</v>
      </c>
      <c r="K232" s="295">
        <v>2021</v>
      </c>
      <c r="L232" s="295">
        <v>2022</v>
      </c>
      <c r="M232" s="325">
        <v>2023</v>
      </c>
    </row>
    <row r="233" spans="1:14" x14ac:dyDescent="0.25">
      <c r="A233" s="224" t="s">
        <v>166</v>
      </c>
      <c r="B233" s="224"/>
      <c r="C233" s="224"/>
      <c r="D233" s="224"/>
      <c r="E233" s="224"/>
      <c r="F233" s="224"/>
      <c r="G233" s="224"/>
      <c r="H233" s="224"/>
      <c r="I233" s="224"/>
      <c r="J233" s="224"/>
      <c r="K233" s="224"/>
      <c r="L233" s="224"/>
      <c r="M233" s="163"/>
    </row>
    <row r="234" spans="1:14" x14ac:dyDescent="0.25">
      <c r="A234" s="438" t="s">
        <v>364</v>
      </c>
      <c r="B234" s="254"/>
      <c r="C234" s="254"/>
      <c r="D234" s="254"/>
      <c r="E234" s="254"/>
      <c r="F234" s="254"/>
      <c r="G234" s="254"/>
      <c r="H234" s="254"/>
      <c r="I234" s="254"/>
      <c r="J234" s="254"/>
      <c r="K234" s="254"/>
      <c r="L234" s="254"/>
      <c r="M234" s="248"/>
    </row>
    <row r="235" spans="1:14" x14ac:dyDescent="0.25">
      <c r="A235" s="439" t="s">
        <v>420</v>
      </c>
      <c r="B235" s="114"/>
      <c r="C235" s="114"/>
      <c r="D235" s="114"/>
      <c r="E235" s="114"/>
      <c r="F235" s="114"/>
      <c r="G235" s="114"/>
      <c r="H235" s="114"/>
      <c r="I235" s="114"/>
      <c r="J235" s="114"/>
      <c r="K235" s="114"/>
      <c r="L235" s="114"/>
      <c r="M235" s="110"/>
    </row>
    <row r="236" spans="1:14" x14ac:dyDescent="0.25">
      <c r="A236" s="439" t="s">
        <v>421</v>
      </c>
      <c r="B236" s="114"/>
      <c r="C236" s="114"/>
      <c r="D236" s="114"/>
      <c r="E236" s="114"/>
      <c r="F236" s="114"/>
      <c r="G236" s="114"/>
      <c r="H236" s="114"/>
      <c r="I236" s="114"/>
      <c r="J236" s="114"/>
      <c r="K236" s="114"/>
      <c r="L236" s="114"/>
      <c r="M236" s="110"/>
    </row>
    <row r="237" spans="1:14" x14ac:dyDescent="0.25">
      <c r="A237" s="318" t="s">
        <v>500</v>
      </c>
      <c r="B237" s="255"/>
      <c r="C237" s="255"/>
      <c r="D237" s="255"/>
      <c r="E237" s="255"/>
      <c r="F237" s="255"/>
      <c r="G237" s="255"/>
      <c r="H237" s="255"/>
      <c r="I237" s="255"/>
      <c r="J237" s="255"/>
      <c r="K237" s="255"/>
      <c r="L237" s="255"/>
      <c r="M237" s="138"/>
    </row>
    <row r="239" spans="1:14" x14ac:dyDescent="0.25">
      <c r="A239" s="61" t="s">
        <v>14</v>
      </c>
      <c r="B239" s="61" t="s">
        <v>225</v>
      </c>
      <c r="C239" s="93" t="s">
        <v>15</v>
      </c>
      <c r="D239" s="70"/>
      <c r="E239" s="70"/>
      <c r="F239" s="70"/>
      <c r="G239" s="70"/>
      <c r="H239" s="114"/>
      <c r="I239" s="114"/>
      <c r="J239" s="114"/>
      <c r="K239" s="114"/>
      <c r="L239" s="114"/>
      <c r="M239" s="108"/>
    </row>
    <row r="240" spans="1:14" x14ac:dyDescent="0.25">
      <c r="A240" s="52" t="s">
        <v>16</v>
      </c>
      <c r="B240" s="285">
        <v>2010</v>
      </c>
      <c r="C240" s="285">
        <v>2011</v>
      </c>
      <c r="D240" s="285">
        <v>2012</v>
      </c>
      <c r="E240" s="285">
        <v>2013</v>
      </c>
      <c r="F240" s="285">
        <v>2014</v>
      </c>
      <c r="G240" s="285">
        <v>2015</v>
      </c>
      <c r="H240" s="285">
        <v>2016</v>
      </c>
      <c r="I240" s="285">
        <v>2017</v>
      </c>
      <c r="J240" s="285">
        <v>2018</v>
      </c>
      <c r="K240" s="285">
        <v>2019</v>
      </c>
      <c r="L240" s="285">
        <v>2020</v>
      </c>
      <c r="M240" s="286">
        <v>2021</v>
      </c>
      <c r="N240" s="750">
        <v>2022</v>
      </c>
    </row>
    <row r="241" spans="1:14" x14ac:dyDescent="0.25">
      <c r="A241" s="52" t="s">
        <v>17</v>
      </c>
      <c r="B241" s="284">
        <v>100</v>
      </c>
      <c r="C241" s="284">
        <v>100</v>
      </c>
      <c r="D241" s="284">
        <v>100</v>
      </c>
      <c r="E241" s="284">
        <v>100</v>
      </c>
      <c r="F241" s="284">
        <v>100</v>
      </c>
      <c r="G241" s="284">
        <v>100</v>
      </c>
      <c r="H241" s="251">
        <v>100</v>
      </c>
      <c r="I241" s="284">
        <v>200</v>
      </c>
      <c r="J241" s="251">
        <v>200</v>
      </c>
      <c r="K241" s="284">
        <v>200</v>
      </c>
      <c r="L241" s="284">
        <v>200</v>
      </c>
      <c r="M241" s="290">
        <v>200</v>
      </c>
      <c r="N241" s="369">
        <v>200</v>
      </c>
    </row>
    <row r="242" spans="1:14" x14ac:dyDescent="0.25">
      <c r="A242" s="52" t="s">
        <v>18</v>
      </c>
      <c r="B242" s="284">
        <v>100</v>
      </c>
      <c r="C242" s="284">
        <v>100</v>
      </c>
      <c r="D242" s="284">
        <v>100</v>
      </c>
      <c r="E242" s="284">
        <v>100</v>
      </c>
      <c r="F242" s="284">
        <v>100</v>
      </c>
      <c r="G242" s="284">
        <v>125</v>
      </c>
      <c r="H242" s="251">
        <v>125</v>
      </c>
      <c r="I242" s="284">
        <f>200+G245</f>
        <v>204.595</v>
      </c>
      <c r="J242" s="284">
        <v>250</v>
      </c>
      <c r="K242" s="284">
        <f>K241+I245</f>
        <v>220.04499999999999</v>
      </c>
      <c r="L242" s="284">
        <v>250</v>
      </c>
      <c r="M242" s="290">
        <f>M241*1.25</f>
        <v>250</v>
      </c>
      <c r="N242" s="369">
        <f>N241*1.25</f>
        <v>250</v>
      </c>
    </row>
    <row r="243" spans="1:14" x14ac:dyDescent="0.25">
      <c r="A243" s="52" t="s">
        <v>19</v>
      </c>
      <c r="B243" s="283"/>
      <c r="C243" s="283"/>
      <c r="D243" s="283"/>
      <c r="E243" s="283"/>
      <c r="F243" s="283"/>
      <c r="G243" s="283"/>
      <c r="H243" s="113"/>
      <c r="I243" s="113"/>
      <c r="J243" s="113"/>
      <c r="K243" s="113"/>
      <c r="L243" s="113"/>
      <c r="M243" s="130"/>
      <c r="N243" s="242"/>
    </row>
    <row r="244" spans="1:14" x14ac:dyDescent="0.25">
      <c r="A244" s="52" t="s">
        <v>20</v>
      </c>
      <c r="B244" s="284">
        <v>100</v>
      </c>
      <c r="C244" s="284">
        <v>80.05</v>
      </c>
      <c r="D244" s="284">
        <v>61.02</v>
      </c>
      <c r="E244" s="284">
        <v>65.126999999999995</v>
      </c>
      <c r="F244" s="284">
        <v>33.822000000000003</v>
      </c>
      <c r="G244" s="284">
        <v>120.405</v>
      </c>
      <c r="H244" s="251">
        <v>94.369</v>
      </c>
      <c r="I244" s="251">
        <v>184.55</v>
      </c>
      <c r="J244" s="251">
        <v>116.455</v>
      </c>
      <c r="K244" s="251">
        <v>132.07</v>
      </c>
      <c r="L244" s="251">
        <v>183.94</v>
      </c>
      <c r="M244" s="290"/>
      <c r="N244" s="369"/>
    </row>
    <row r="245" spans="1:14" x14ac:dyDescent="0.25">
      <c r="A245" s="52" t="s">
        <v>21</v>
      </c>
      <c r="B245" s="284">
        <f>B242-B244</f>
        <v>0</v>
      </c>
      <c r="C245" s="284">
        <f t="shared" ref="C245:L245" si="10">C242-C244</f>
        <v>19.950000000000003</v>
      </c>
      <c r="D245" s="284">
        <f t="shared" si="10"/>
        <v>38.979999999999997</v>
      </c>
      <c r="E245" s="284">
        <f t="shared" si="10"/>
        <v>34.873000000000005</v>
      </c>
      <c r="F245" s="284">
        <f t="shared" si="10"/>
        <v>66.177999999999997</v>
      </c>
      <c r="G245" s="284">
        <f t="shared" si="10"/>
        <v>4.5949999999999989</v>
      </c>
      <c r="H245" s="284">
        <f t="shared" si="10"/>
        <v>30.631</v>
      </c>
      <c r="I245" s="284">
        <f t="shared" si="10"/>
        <v>20.044999999999987</v>
      </c>
      <c r="J245" s="284">
        <f t="shared" si="10"/>
        <v>133.54500000000002</v>
      </c>
      <c r="K245" s="284">
        <f t="shared" si="10"/>
        <v>87.974999999999994</v>
      </c>
      <c r="L245" s="284">
        <f t="shared" si="10"/>
        <v>66.06</v>
      </c>
      <c r="M245" s="290"/>
      <c r="N245" s="369"/>
    </row>
    <row r="246" spans="1:14" x14ac:dyDescent="0.25">
      <c r="A246" s="804" t="s">
        <v>22</v>
      </c>
      <c r="B246" s="805">
        <v>2012</v>
      </c>
      <c r="C246" s="805">
        <v>2013</v>
      </c>
      <c r="D246" s="805">
        <v>2014</v>
      </c>
      <c r="E246" s="805">
        <v>2015</v>
      </c>
      <c r="F246" s="805">
        <v>2016</v>
      </c>
      <c r="G246" s="805">
        <v>2017</v>
      </c>
      <c r="H246" s="340">
        <v>2018</v>
      </c>
      <c r="I246" s="340">
        <v>2019</v>
      </c>
      <c r="J246" s="340">
        <v>2020</v>
      </c>
      <c r="K246" s="340">
        <v>2021</v>
      </c>
      <c r="L246" s="340">
        <v>2022</v>
      </c>
      <c r="M246" s="316">
        <v>2023</v>
      </c>
      <c r="N246" s="798">
        <v>2024</v>
      </c>
    </row>
    <row r="247" spans="1:14" x14ac:dyDescent="0.25">
      <c r="A247" s="91" t="s">
        <v>166</v>
      </c>
      <c r="B247" s="806"/>
      <c r="C247" s="806"/>
      <c r="D247" s="806"/>
      <c r="E247" s="806"/>
      <c r="F247" s="806"/>
      <c r="G247" s="806"/>
      <c r="H247" s="807"/>
      <c r="I247" s="807"/>
      <c r="J247" s="807"/>
      <c r="K247" s="807"/>
      <c r="L247" s="807"/>
      <c r="M247" s="317"/>
      <c r="N247" s="808"/>
    </row>
    <row r="248" spans="1:14" x14ac:dyDescent="0.25">
      <c r="A248" s="281" t="s">
        <v>167</v>
      </c>
      <c r="B248" s="70"/>
      <c r="C248" s="70"/>
      <c r="D248" s="70"/>
      <c r="E248" s="70"/>
      <c r="F248" s="70"/>
      <c r="G248" s="70"/>
      <c r="H248" s="114"/>
      <c r="I248" s="114"/>
      <c r="J248" s="114"/>
      <c r="K248" s="114"/>
      <c r="L248" s="114"/>
      <c r="M248" s="108"/>
      <c r="N248" s="110"/>
    </row>
    <row r="249" spans="1:14" x14ac:dyDescent="0.25">
      <c r="A249" s="281" t="s">
        <v>168</v>
      </c>
      <c r="B249" s="70"/>
      <c r="C249" s="70"/>
      <c r="D249" s="70"/>
      <c r="E249" s="70"/>
      <c r="F249" s="70"/>
      <c r="G249" s="70"/>
      <c r="H249" s="114"/>
      <c r="I249" s="114"/>
      <c r="J249" s="114"/>
      <c r="K249" s="114"/>
      <c r="L249" s="114"/>
      <c r="M249" s="108"/>
      <c r="N249" s="110"/>
    </row>
    <row r="250" spans="1:14" x14ac:dyDescent="0.25">
      <c r="A250" s="281" t="s">
        <v>373</v>
      </c>
      <c r="B250" s="70"/>
      <c r="C250" s="70"/>
      <c r="D250" s="70"/>
      <c r="E250" s="70"/>
      <c r="F250" s="70"/>
      <c r="G250" s="70"/>
      <c r="H250" s="114"/>
      <c r="I250" s="114"/>
      <c r="J250" s="114"/>
      <c r="K250" s="114"/>
      <c r="L250" s="114"/>
      <c r="M250" s="108"/>
      <c r="N250" s="110"/>
    </row>
    <row r="251" spans="1:14" x14ac:dyDescent="0.25">
      <c r="A251" s="281" t="s">
        <v>501</v>
      </c>
      <c r="B251" s="70"/>
      <c r="C251" s="70"/>
      <c r="D251" s="70"/>
      <c r="E251" s="70"/>
      <c r="F251" s="70"/>
      <c r="G251" s="70"/>
      <c r="H251" s="114"/>
      <c r="I251" s="114"/>
      <c r="J251" s="114"/>
      <c r="K251" s="114"/>
      <c r="L251" s="114"/>
      <c r="M251" s="108"/>
      <c r="N251" s="110"/>
    </row>
    <row r="252" spans="1:14" x14ac:dyDescent="0.25">
      <c r="A252" s="440" t="s">
        <v>688</v>
      </c>
      <c r="B252" s="70"/>
      <c r="C252" s="70"/>
      <c r="D252" s="70"/>
      <c r="E252" s="70"/>
      <c r="F252" s="70"/>
      <c r="G252" s="70"/>
      <c r="H252" s="114"/>
      <c r="I252" s="114"/>
      <c r="J252" s="114"/>
      <c r="K252" s="114"/>
      <c r="L252" s="114"/>
      <c r="M252" s="108"/>
      <c r="N252" s="110"/>
    </row>
    <row r="253" spans="1:14" ht="27" customHeight="1" x14ac:dyDescent="0.25">
      <c r="A253" s="829" t="s">
        <v>372</v>
      </c>
      <c r="B253" s="830"/>
      <c r="C253" s="830"/>
      <c r="D253" s="830"/>
      <c r="E253" s="830"/>
      <c r="F253" s="830"/>
      <c r="G253" s="830"/>
      <c r="H253" s="830"/>
      <c r="I253" s="830"/>
      <c r="J253" s="830"/>
      <c r="K253" s="830"/>
      <c r="L253" s="830"/>
      <c r="M253" s="830"/>
      <c r="N253" s="138"/>
    </row>
    <row r="255" spans="1:14" x14ac:dyDescent="0.25">
      <c r="A255" s="3" t="s">
        <v>14</v>
      </c>
      <c r="B255" s="4" t="s">
        <v>220</v>
      </c>
      <c r="C255" s="4" t="s">
        <v>15</v>
      </c>
      <c r="D255" s="2"/>
      <c r="E255" s="2"/>
      <c r="F255" s="2"/>
    </row>
    <row r="256" spans="1:14" x14ac:dyDescent="0.25">
      <c r="A256" s="289" t="s">
        <v>16</v>
      </c>
      <c r="B256" s="292">
        <v>2010</v>
      </c>
      <c r="C256" s="285">
        <v>2011</v>
      </c>
      <c r="D256" s="285">
        <v>2012</v>
      </c>
      <c r="E256" s="285">
        <v>2013</v>
      </c>
      <c r="F256" s="285">
        <v>2014</v>
      </c>
      <c r="G256" s="285">
        <v>2015</v>
      </c>
      <c r="H256" s="285">
        <v>2016</v>
      </c>
      <c r="I256" s="285">
        <v>2017</v>
      </c>
      <c r="J256" s="285">
        <v>2018</v>
      </c>
      <c r="K256" s="285">
        <v>2019</v>
      </c>
      <c r="L256" s="285">
        <v>2020</v>
      </c>
      <c r="M256" s="293">
        <v>2021</v>
      </c>
    </row>
    <row r="257" spans="1:13" x14ac:dyDescent="0.25">
      <c r="A257" s="52" t="s">
        <v>17</v>
      </c>
      <c r="B257" s="284">
        <v>75</v>
      </c>
      <c r="C257" s="284">
        <v>75</v>
      </c>
      <c r="D257" s="284">
        <v>75</v>
      </c>
      <c r="E257" s="284">
        <v>75</v>
      </c>
      <c r="F257" s="284">
        <v>75</v>
      </c>
      <c r="G257" s="284">
        <v>75</v>
      </c>
      <c r="H257" s="284">
        <v>75</v>
      </c>
      <c r="I257" s="284">
        <v>75</v>
      </c>
      <c r="J257" s="251">
        <v>100</v>
      </c>
      <c r="K257" s="284">
        <v>100</v>
      </c>
      <c r="L257" s="284">
        <v>100</v>
      </c>
      <c r="M257" s="251">
        <v>100</v>
      </c>
    </row>
    <row r="258" spans="1:13" x14ac:dyDescent="0.25">
      <c r="A258" s="52" t="s">
        <v>18</v>
      </c>
      <c r="B258" s="284">
        <v>79</v>
      </c>
      <c r="C258" s="284">
        <v>80</v>
      </c>
      <c r="D258" s="284">
        <v>105.3</v>
      </c>
      <c r="E258" s="284">
        <v>100</v>
      </c>
      <c r="F258" s="284">
        <v>100</v>
      </c>
      <c r="G258" s="251">
        <v>104.054</v>
      </c>
      <c r="H258" s="284">
        <v>137.5</v>
      </c>
      <c r="I258" s="284">
        <v>88</v>
      </c>
      <c r="J258" s="251">
        <v>90.442999999999998</v>
      </c>
      <c r="K258" s="284">
        <f>K257-12.726+6.69</f>
        <v>93.963999999999999</v>
      </c>
      <c r="L258" s="284">
        <v>103.95</v>
      </c>
      <c r="M258" s="251">
        <f>M257+K261</f>
        <v>102.404</v>
      </c>
    </row>
    <row r="259" spans="1:13" x14ac:dyDescent="0.25">
      <c r="A259" s="52" t="s">
        <v>19</v>
      </c>
      <c r="B259" s="284"/>
      <c r="C259" s="284"/>
      <c r="D259" s="284"/>
      <c r="E259" s="284"/>
      <c r="F259" s="284"/>
      <c r="G259" s="251"/>
      <c r="H259" s="251"/>
      <c r="I259" s="251"/>
      <c r="J259" s="294"/>
      <c r="K259" s="251"/>
      <c r="L259" s="251"/>
      <c r="M259" s="251"/>
    </row>
    <row r="260" spans="1:13" x14ac:dyDescent="0.25">
      <c r="A260" s="52" t="s">
        <v>20</v>
      </c>
      <c r="B260" s="284">
        <v>74</v>
      </c>
      <c r="C260" s="284">
        <v>74.7</v>
      </c>
      <c r="D260" s="284">
        <v>59</v>
      </c>
      <c r="E260" s="284">
        <v>95.945999999999998</v>
      </c>
      <c r="F260" s="284">
        <v>60.292999999999999</v>
      </c>
      <c r="G260" s="251">
        <v>140.78</v>
      </c>
      <c r="H260" s="251">
        <v>135.05699999999999</v>
      </c>
      <c r="I260" s="251">
        <v>81.31</v>
      </c>
      <c r="J260" s="251">
        <v>86.498000000000005</v>
      </c>
      <c r="K260" s="251">
        <v>91.56</v>
      </c>
      <c r="L260" s="251">
        <v>96.17</v>
      </c>
      <c r="M260" s="251"/>
    </row>
    <row r="261" spans="1:13" x14ac:dyDescent="0.25">
      <c r="A261" s="52" t="s">
        <v>21</v>
      </c>
      <c r="B261" s="284">
        <v>5</v>
      </c>
      <c r="C261" s="284">
        <v>5.3</v>
      </c>
      <c r="D261" s="284">
        <v>46.3</v>
      </c>
      <c r="E261" s="284">
        <v>4.0540000000000003</v>
      </c>
      <c r="F261" s="284">
        <v>39.707000000000001</v>
      </c>
      <c r="G261" s="251">
        <v>-36.725999999999999</v>
      </c>
      <c r="H261" s="251">
        <v>2.4430000000000001</v>
      </c>
      <c r="I261" s="251">
        <v>6.6899999999999977</v>
      </c>
      <c r="J261" s="251">
        <v>3.9449999999999998</v>
      </c>
      <c r="K261" s="251">
        <f>K258-K260</f>
        <v>2.4039999999999964</v>
      </c>
      <c r="L261" s="251">
        <f>L258-L260</f>
        <v>7.7800000000000011</v>
      </c>
      <c r="M261" s="251"/>
    </row>
    <row r="262" spans="1:13" x14ac:dyDescent="0.25">
      <c r="A262" s="52" t="s">
        <v>22</v>
      </c>
      <c r="B262" s="64">
        <v>2011</v>
      </c>
      <c r="C262" s="64">
        <v>2012</v>
      </c>
      <c r="D262" s="64">
        <v>2014</v>
      </c>
      <c r="E262" s="64">
        <v>2015</v>
      </c>
      <c r="F262" s="64">
        <v>2016</v>
      </c>
      <c r="G262" s="295">
        <v>2017</v>
      </c>
      <c r="H262" s="295">
        <v>2018</v>
      </c>
      <c r="I262" s="295">
        <v>2019</v>
      </c>
      <c r="J262" s="295">
        <v>2020</v>
      </c>
      <c r="K262" s="295">
        <v>2021</v>
      </c>
      <c r="L262" s="295">
        <v>2022</v>
      </c>
      <c r="M262" s="111">
        <v>2023</v>
      </c>
    </row>
    <row r="263" spans="1:13" x14ac:dyDescent="0.25">
      <c r="A263" s="273" t="s">
        <v>166</v>
      </c>
      <c r="B263" s="273"/>
      <c r="C263" s="273"/>
      <c r="D263" s="273"/>
      <c r="E263" s="273"/>
      <c r="F263" s="273"/>
      <c r="G263" s="224"/>
      <c r="H263" s="224"/>
      <c r="I263" s="224"/>
      <c r="J263" s="224"/>
      <c r="K263" s="224"/>
      <c r="L263" s="224"/>
      <c r="M263" s="224"/>
    </row>
    <row r="264" spans="1:13" x14ac:dyDescent="0.25">
      <c r="A264" s="885" t="s">
        <v>502</v>
      </c>
      <c r="B264" s="886"/>
      <c r="C264" s="886"/>
      <c r="D264" s="886"/>
      <c r="E264" s="886"/>
      <c r="F264" s="886"/>
      <c r="G264" s="886"/>
      <c r="H264" s="886"/>
      <c r="I264" s="886"/>
      <c r="J264" s="886"/>
      <c r="K264" s="886"/>
      <c r="L264" s="886"/>
      <c r="M264" s="887"/>
    </row>
    <row r="265" spans="1:13" x14ac:dyDescent="0.25">
      <c r="A265" s="281" t="s">
        <v>374</v>
      </c>
      <c r="B265" s="114"/>
      <c r="C265" s="114"/>
      <c r="D265" s="114"/>
      <c r="E265" s="114"/>
      <c r="F265" s="114"/>
      <c r="G265" s="114"/>
      <c r="H265" s="114"/>
      <c r="I265" s="114"/>
      <c r="J265" s="114"/>
      <c r="K265" s="114"/>
      <c r="L265" s="114"/>
      <c r="M265" s="135"/>
    </row>
    <row r="266" spans="1:13" x14ac:dyDescent="0.25">
      <c r="A266" s="256" t="s">
        <v>169</v>
      </c>
      <c r="B266" s="114"/>
      <c r="C266" s="114"/>
      <c r="D266" s="114"/>
      <c r="E266" s="114"/>
      <c r="F266" s="114"/>
      <c r="G266" s="114"/>
      <c r="H266" s="114"/>
      <c r="I266" s="114"/>
      <c r="J266" s="114"/>
      <c r="K266" s="114"/>
      <c r="L266" s="114"/>
      <c r="M266" s="135"/>
    </row>
    <row r="267" spans="1:13" x14ac:dyDescent="0.25">
      <c r="A267" s="256" t="s">
        <v>503</v>
      </c>
      <c r="B267" s="114"/>
      <c r="C267" s="114"/>
      <c r="D267" s="114"/>
      <c r="E267" s="114"/>
      <c r="F267" s="114"/>
      <c r="G267" s="114"/>
      <c r="H267" s="114"/>
      <c r="I267" s="114"/>
      <c r="J267" s="114"/>
      <c r="K267" s="114"/>
      <c r="L267" s="114"/>
      <c r="M267" s="135"/>
    </row>
    <row r="268" spans="1:13" x14ac:dyDescent="0.25">
      <c r="A268" s="257" t="s">
        <v>504</v>
      </c>
      <c r="B268" s="255"/>
      <c r="C268" s="255"/>
      <c r="D268" s="255"/>
      <c r="E268" s="255"/>
      <c r="F268" s="255"/>
      <c r="G268" s="255"/>
      <c r="H268" s="255"/>
      <c r="I268" s="255"/>
      <c r="J268" s="255"/>
      <c r="K268" s="255"/>
      <c r="L268" s="255"/>
      <c r="M268" s="225"/>
    </row>
    <row r="270" spans="1:13" x14ac:dyDescent="0.25">
      <c r="A270" s="3" t="s">
        <v>14</v>
      </c>
      <c r="B270" s="4" t="s">
        <v>226</v>
      </c>
      <c r="C270" s="4" t="s">
        <v>15</v>
      </c>
      <c r="D270" s="2"/>
      <c r="E270" s="2"/>
      <c r="F270" s="2"/>
    </row>
    <row r="271" spans="1:13" x14ac:dyDescent="0.25">
      <c r="A271" s="52" t="s">
        <v>16</v>
      </c>
      <c r="B271" s="285">
        <v>2010</v>
      </c>
      <c r="C271" s="285">
        <v>2011</v>
      </c>
      <c r="D271" s="285">
        <v>2012</v>
      </c>
      <c r="E271" s="285">
        <v>2013</v>
      </c>
      <c r="F271" s="285">
        <v>2014</v>
      </c>
      <c r="G271" s="285">
        <v>2015</v>
      </c>
      <c r="H271" s="285">
        <v>2016</v>
      </c>
      <c r="I271" s="285">
        <v>2017</v>
      </c>
      <c r="J271" s="293">
        <v>2018</v>
      </c>
      <c r="K271" s="285">
        <v>2019</v>
      </c>
      <c r="L271" s="285">
        <v>2020</v>
      </c>
      <c r="M271" s="286">
        <v>2021</v>
      </c>
    </row>
    <row r="272" spans="1:13" x14ac:dyDescent="0.25">
      <c r="A272" s="52" t="s">
        <v>17</v>
      </c>
      <c r="B272" s="284">
        <v>263</v>
      </c>
      <c r="C272" s="284">
        <v>263</v>
      </c>
      <c r="D272" s="284">
        <v>263</v>
      </c>
      <c r="E272" s="284">
        <v>263</v>
      </c>
      <c r="F272" s="284">
        <v>263</v>
      </c>
      <c r="G272" s="284">
        <v>263</v>
      </c>
      <c r="H272" s="284">
        <v>263</v>
      </c>
      <c r="I272" s="284">
        <v>313</v>
      </c>
      <c r="J272" s="251">
        <v>313</v>
      </c>
      <c r="K272" s="284">
        <v>313</v>
      </c>
      <c r="L272" s="284">
        <v>313</v>
      </c>
      <c r="M272" s="284">
        <v>313</v>
      </c>
    </row>
    <row r="273" spans="1:13" x14ac:dyDescent="0.25">
      <c r="A273" s="52" t="s">
        <v>18</v>
      </c>
      <c r="B273" s="284">
        <v>393</v>
      </c>
      <c r="C273" s="284">
        <v>362</v>
      </c>
      <c r="D273" s="284">
        <v>377.49</v>
      </c>
      <c r="E273" s="284">
        <v>263</v>
      </c>
      <c r="F273" s="284">
        <v>324.99</v>
      </c>
      <c r="G273" s="251">
        <v>330.03800000000001</v>
      </c>
      <c r="H273" s="284">
        <v>341.9</v>
      </c>
      <c r="I273" s="284">
        <v>315.34399999999999</v>
      </c>
      <c r="J273" s="251">
        <v>391.9</v>
      </c>
      <c r="K273" s="284">
        <v>326.76</v>
      </c>
      <c r="L273" s="284">
        <v>350.05</v>
      </c>
      <c r="M273" s="130">
        <f>M272+0.2*K272</f>
        <v>375.6</v>
      </c>
    </row>
    <row r="274" spans="1:13" x14ac:dyDescent="0.25">
      <c r="A274" s="52" t="s">
        <v>19</v>
      </c>
      <c r="B274" s="284"/>
      <c r="C274" s="284"/>
      <c r="D274" s="284"/>
      <c r="E274" s="284"/>
      <c r="F274" s="284"/>
      <c r="G274" s="251"/>
      <c r="H274" s="251"/>
      <c r="I274" s="251"/>
      <c r="J274" s="251"/>
      <c r="K274" s="251"/>
      <c r="L274" s="251"/>
      <c r="M274" s="112"/>
    </row>
    <row r="275" spans="1:13" x14ac:dyDescent="0.25">
      <c r="A275" s="52" t="s">
        <v>20</v>
      </c>
      <c r="B275" s="284">
        <v>294</v>
      </c>
      <c r="C275" s="284">
        <v>247.51</v>
      </c>
      <c r="D275" s="284">
        <v>315.5</v>
      </c>
      <c r="E275" s="284">
        <v>195.96199999999999</v>
      </c>
      <c r="F275" s="284">
        <v>205.89400000000001</v>
      </c>
      <c r="G275" s="251">
        <v>327.69600000000003</v>
      </c>
      <c r="H275" s="251">
        <v>222.22</v>
      </c>
      <c r="I275" s="251">
        <v>301.58</v>
      </c>
      <c r="J275" s="251">
        <v>354.85</v>
      </c>
      <c r="K275" s="251">
        <v>210.91</v>
      </c>
      <c r="L275" s="251">
        <v>88.54</v>
      </c>
      <c r="M275" s="112"/>
    </row>
    <row r="276" spans="1:13" x14ac:dyDescent="0.25">
      <c r="A276" s="52" t="s">
        <v>21</v>
      </c>
      <c r="B276" s="284">
        <v>99</v>
      </c>
      <c r="C276" s="284">
        <v>114.49</v>
      </c>
      <c r="D276" s="284">
        <v>61.99</v>
      </c>
      <c r="E276" s="284">
        <v>67.037999999999997</v>
      </c>
      <c r="F276" s="284">
        <v>119.096</v>
      </c>
      <c r="G276" s="251">
        <v>2.3439999999999999</v>
      </c>
      <c r="H276" s="251">
        <v>119.68</v>
      </c>
      <c r="I276" s="251">
        <v>13.759999999999991</v>
      </c>
      <c r="J276" s="251">
        <v>37.049999999999997</v>
      </c>
      <c r="K276" s="251">
        <f>K273-K275</f>
        <v>115.85</v>
      </c>
      <c r="L276" s="251">
        <f>L273-L275</f>
        <v>261.51</v>
      </c>
      <c r="M276" s="112"/>
    </row>
    <row r="277" spans="1:13" x14ac:dyDescent="0.25">
      <c r="A277" s="52" t="s">
        <v>22</v>
      </c>
      <c r="B277" s="285">
        <v>2011</v>
      </c>
      <c r="C277" s="285">
        <v>2012</v>
      </c>
      <c r="D277" s="285">
        <v>2014</v>
      </c>
      <c r="E277" s="285">
        <v>2015</v>
      </c>
      <c r="F277" s="285">
        <v>2016</v>
      </c>
      <c r="G277" s="293">
        <v>2017</v>
      </c>
      <c r="H277" s="293">
        <v>2018</v>
      </c>
      <c r="I277" s="293">
        <v>2019</v>
      </c>
      <c r="J277" s="293">
        <v>2020</v>
      </c>
      <c r="K277" s="293">
        <v>2021</v>
      </c>
      <c r="L277" s="293">
        <v>2022</v>
      </c>
      <c r="M277" s="170">
        <v>2023</v>
      </c>
    </row>
    <row r="278" spans="1:13" x14ac:dyDescent="0.25">
      <c r="A278" s="273" t="s">
        <v>166</v>
      </c>
      <c r="B278" s="273"/>
      <c r="C278" s="273"/>
      <c r="D278" s="273"/>
      <c r="E278" s="273"/>
      <c r="F278" s="273"/>
      <c r="G278" s="224"/>
      <c r="H278" s="224"/>
      <c r="I278" s="224"/>
      <c r="J278" s="224"/>
      <c r="K278" s="224"/>
      <c r="L278" s="224"/>
      <c r="M278" s="163"/>
    </row>
    <row r="279" spans="1:13" x14ac:dyDescent="0.25">
      <c r="A279" s="280" t="s">
        <v>170</v>
      </c>
      <c r="B279" s="97"/>
      <c r="C279" s="97"/>
      <c r="D279" s="97"/>
      <c r="E279" s="97"/>
      <c r="F279" s="97"/>
      <c r="G279" s="254"/>
      <c r="H279" s="254"/>
      <c r="I279" s="254"/>
      <c r="J279" s="254"/>
      <c r="K279" s="254"/>
      <c r="L279" s="254"/>
      <c r="M279" s="248"/>
    </row>
    <row r="280" spans="1:13" x14ac:dyDescent="0.25">
      <c r="A280" s="281" t="s">
        <v>375</v>
      </c>
      <c r="B280" s="70"/>
      <c r="C280" s="70"/>
      <c r="D280" s="70"/>
      <c r="E280" s="70"/>
      <c r="F280" s="70"/>
      <c r="G280" s="114"/>
      <c r="H280" s="114"/>
      <c r="I280" s="114"/>
      <c r="J280" s="114"/>
      <c r="K280" s="114"/>
      <c r="L280" s="114"/>
      <c r="M280" s="110"/>
    </row>
    <row r="281" spans="1:13" x14ac:dyDescent="0.25">
      <c r="A281" s="281" t="s">
        <v>376</v>
      </c>
      <c r="B281" s="70"/>
      <c r="C281" s="70"/>
      <c r="D281" s="70"/>
      <c r="E281" s="70"/>
      <c r="F281" s="70"/>
      <c r="G281" s="114"/>
      <c r="H281" s="114"/>
      <c r="I281" s="114"/>
      <c r="J281" s="114"/>
      <c r="K281" s="114"/>
      <c r="L281" s="114"/>
      <c r="M281" s="110"/>
    </row>
    <row r="282" spans="1:13" x14ac:dyDescent="0.25">
      <c r="A282" s="282" t="s">
        <v>505</v>
      </c>
      <c r="B282" s="276"/>
      <c r="C282" s="276"/>
      <c r="D282" s="276"/>
      <c r="E282" s="276"/>
      <c r="F282" s="276"/>
      <c r="G282" s="255"/>
      <c r="H282" s="255"/>
      <c r="I282" s="255"/>
      <c r="J282" s="255"/>
      <c r="K282" s="255"/>
      <c r="L282" s="255"/>
      <c r="M282" s="138"/>
    </row>
    <row r="284" spans="1:13" x14ac:dyDescent="0.25">
      <c r="A284" s="93" t="s">
        <v>14</v>
      </c>
      <c r="B284" s="271" t="s">
        <v>76</v>
      </c>
      <c r="C284" s="271" t="s">
        <v>15</v>
      </c>
      <c r="D284" s="164"/>
      <c r="E284" s="164"/>
      <c r="F284" s="164"/>
      <c r="G284" s="178"/>
      <c r="H284" s="178"/>
      <c r="I284" s="178"/>
      <c r="J284" s="178"/>
      <c r="K284" s="178"/>
      <c r="L284" s="178"/>
      <c r="M284" s="178"/>
    </row>
    <row r="285" spans="1:13" x14ac:dyDescent="0.25">
      <c r="A285" s="289" t="s">
        <v>16</v>
      </c>
      <c r="B285" s="292">
        <v>2010</v>
      </c>
      <c r="C285" s="285">
        <v>2011</v>
      </c>
      <c r="D285" s="285">
        <v>2012</v>
      </c>
      <c r="E285" s="285">
        <v>2013</v>
      </c>
      <c r="F285" s="285">
        <v>2014</v>
      </c>
      <c r="G285" s="285">
        <v>2015</v>
      </c>
      <c r="H285" s="285">
        <v>2016</v>
      </c>
      <c r="I285" s="285">
        <v>2017</v>
      </c>
      <c r="J285" s="285">
        <v>2018</v>
      </c>
      <c r="K285" s="293">
        <v>2019</v>
      </c>
      <c r="L285" s="293">
        <v>2020</v>
      </c>
      <c r="M285" s="293">
        <v>2021</v>
      </c>
    </row>
    <row r="286" spans="1:13" x14ac:dyDescent="0.25">
      <c r="A286" s="52" t="s">
        <v>17</v>
      </c>
      <c r="B286" s="284">
        <v>5900</v>
      </c>
      <c r="C286" s="284">
        <v>5572</v>
      </c>
      <c r="D286" s="284">
        <v>5572</v>
      </c>
      <c r="E286" s="284">
        <v>5572</v>
      </c>
      <c r="F286" s="284">
        <v>5572</v>
      </c>
      <c r="G286" s="284">
        <v>5572</v>
      </c>
      <c r="H286" s="284">
        <v>5376</v>
      </c>
      <c r="I286" s="284">
        <v>5376</v>
      </c>
      <c r="J286" s="251">
        <v>5376</v>
      </c>
      <c r="K286" s="251">
        <v>5376</v>
      </c>
      <c r="L286" s="251">
        <v>4462.08</v>
      </c>
      <c r="M286" s="251">
        <v>4462.08</v>
      </c>
    </row>
    <row r="287" spans="1:13" x14ac:dyDescent="0.25">
      <c r="A287" s="52" t="s">
        <v>18</v>
      </c>
      <c r="B287" s="284">
        <v>9670</v>
      </c>
      <c r="C287" s="284">
        <v>8572</v>
      </c>
      <c r="D287" s="284">
        <v>10173</v>
      </c>
      <c r="E287" s="284">
        <v>8502</v>
      </c>
      <c r="F287" s="284">
        <v>10173.6</v>
      </c>
      <c r="G287" s="284">
        <v>10173.6</v>
      </c>
      <c r="H287" s="284">
        <v>7182.4</v>
      </c>
      <c r="I287" s="284">
        <v>7182.4</v>
      </c>
      <c r="J287" s="284">
        <v>7182.4</v>
      </c>
      <c r="K287" s="251">
        <v>7182.4</v>
      </c>
      <c r="L287" s="296">
        <f>L286+0.15*J286+600</f>
        <v>5868.48</v>
      </c>
      <c r="M287" s="251">
        <f>M286+0.1*K286+600</f>
        <v>5599.68</v>
      </c>
    </row>
    <row r="288" spans="1:13" x14ac:dyDescent="0.25">
      <c r="A288" s="52" t="s">
        <v>19</v>
      </c>
      <c r="B288" s="52"/>
      <c r="C288" s="52"/>
      <c r="D288" s="52"/>
      <c r="E288" s="52"/>
      <c r="F288" s="52"/>
      <c r="G288" s="111"/>
      <c r="H288" s="111"/>
      <c r="I288" s="111"/>
      <c r="J288" s="291"/>
      <c r="K288" s="111"/>
      <c r="L288" s="111"/>
      <c r="M288" s="111"/>
    </row>
    <row r="289" spans="1:13" x14ac:dyDescent="0.25">
      <c r="A289" s="52" t="s">
        <v>20</v>
      </c>
      <c r="B289" s="284">
        <v>5489</v>
      </c>
      <c r="C289" s="284">
        <v>3720.78</v>
      </c>
      <c r="D289" s="284">
        <v>3231</v>
      </c>
      <c r="E289" s="284">
        <v>2371.0340000000001</v>
      </c>
      <c r="F289" s="284">
        <v>2231.75</v>
      </c>
      <c r="G289" s="251">
        <v>4941.848</v>
      </c>
      <c r="H289" s="251">
        <v>5852.39</v>
      </c>
      <c r="I289" s="251">
        <v>5514.3580000000002</v>
      </c>
      <c r="J289" s="251">
        <v>4823.0860000000002</v>
      </c>
      <c r="K289" s="251">
        <v>5718.49</v>
      </c>
      <c r="L289" s="251">
        <v>3613.58</v>
      </c>
      <c r="M289" s="251"/>
    </row>
    <row r="290" spans="1:13" x14ac:dyDescent="0.25">
      <c r="A290" s="52" t="s">
        <v>21</v>
      </c>
      <c r="B290" s="284">
        <v>4181</v>
      </c>
      <c r="C290" s="284">
        <v>4581.22</v>
      </c>
      <c r="D290" s="284">
        <v>6942</v>
      </c>
      <c r="E290" s="284">
        <v>6130.6959999999999</v>
      </c>
      <c r="F290" s="284">
        <v>7941.85</v>
      </c>
      <c r="G290" s="251">
        <v>5232.116</v>
      </c>
      <c r="H290" s="251">
        <v>1330.01</v>
      </c>
      <c r="I290" s="251">
        <v>1449.932</v>
      </c>
      <c r="J290" s="251">
        <v>2359.3139999999999</v>
      </c>
      <c r="K290" s="251">
        <f>K287-K289</f>
        <v>1463.9099999999999</v>
      </c>
      <c r="L290" s="251">
        <f>L287-L289</f>
        <v>2254.8999999999996</v>
      </c>
      <c r="M290" s="251"/>
    </row>
    <row r="291" spans="1:13" x14ac:dyDescent="0.25">
      <c r="A291" s="52" t="s">
        <v>22</v>
      </c>
      <c r="B291" s="52">
        <v>2012</v>
      </c>
      <c r="C291" s="52">
        <v>2013</v>
      </c>
      <c r="D291" s="52">
        <v>2014</v>
      </c>
      <c r="E291" s="52">
        <v>2015</v>
      </c>
      <c r="F291" s="52">
        <v>2016</v>
      </c>
      <c r="G291" s="111">
        <v>2017</v>
      </c>
      <c r="H291" s="111">
        <v>2018</v>
      </c>
      <c r="I291" s="111">
        <v>2019</v>
      </c>
      <c r="J291" s="111">
        <v>2020</v>
      </c>
      <c r="K291" s="111">
        <v>2021</v>
      </c>
      <c r="L291" s="111"/>
      <c r="M291" s="111"/>
    </row>
    <row r="292" spans="1:13" x14ac:dyDescent="0.25">
      <c r="A292" s="273" t="s">
        <v>166</v>
      </c>
      <c r="B292" s="273"/>
      <c r="C292" s="273"/>
      <c r="D292" s="273"/>
      <c r="E292" s="273"/>
      <c r="F292" s="273"/>
      <c r="G292" s="224"/>
      <c r="H292" s="224"/>
      <c r="I292" s="224"/>
      <c r="J292" s="224"/>
      <c r="K292" s="224"/>
      <c r="L292" s="224"/>
      <c r="M292" s="224"/>
    </row>
    <row r="293" spans="1:13" x14ac:dyDescent="0.25">
      <c r="A293" s="280" t="s">
        <v>171</v>
      </c>
      <c r="B293" s="97"/>
      <c r="C293" s="97"/>
      <c r="D293" s="97"/>
      <c r="E293" s="97"/>
      <c r="F293" s="97"/>
      <c r="G293" s="254"/>
      <c r="H293" s="254"/>
      <c r="I293" s="254"/>
      <c r="J293" s="254"/>
      <c r="K293" s="254"/>
      <c r="L293" s="254"/>
      <c r="M293" s="134"/>
    </row>
    <row r="294" spans="1:13" x14ac:dyDescent="0.25">
      <c r="A294" s="281" t="s">
        <v>172</v>
      </c>
      <c r="B294" s="70"/>
      <c r="C294" s="70"/>
      <c r="D294" s="70"/>
      <c r="E294" s="70"/>
      <c r="F294" s="70"/>
      <c r="G294" s="114"/>
      <c r="H294" s="114"/>
      <c r="I294" s="114"/>
      <c r="J294" s="114"/>
      <c r="K294" s="114"/>
      <c r="L294" s="114"/>
      <c r="M294" s="135"/>
    </row>
    <row r="295" spans="1:13" x14ac:dyDescent="0.25">
      <c r="A295" s="440" t="s">
        <v>506</v>
      </c>
      <c r="B295" s="70"/>
      <c r="C295" s="70"/>
      <c r="D295" s="70"/>
      <c r="E295" s="70"/>
      <c r="F295" s="70"/>
      <c r="G295" s="114"/>
      <c r="H295" s="114"/>
      <c r="I295" s="114"/>
      <c r="J295" s="114"/>
      <c r="K295" s="114"/>
      <c r="L295" s="114"/>
      <c r="M295" s="135"/>
    </row>
    <row r="296" spans="1:13" x14ac:dyDescent="0.25">
      <c r="A296" s="282" t="s">
        <v>507</v>
      </c>
      <c r="B296" s="255"/>
      <c r="C296" s="255"/>
      <c r="D296" s="255"/>
      <c r="E296" s="255"/>
      <c r="F296" s="255"/>
      <c r="G296" s="255"/>
      <c r="H296" s="255"/>
      <c r="I296" s="255"/>
      <c r="J296" s="255"/>
      <c r="K296" s="255"/>
      <c r="L296" s="255"/>
      <c r="M296" s="225"/>
    </row>
    <row r="298" spans="1:13" x14ac:dyDescent="0.25">
      <c r="A298" s="93" t="s">
        <v>14</v>
      </c>
      <c r="B298" s="271" t="s">
        <v>85</v>
      </c>
      <c r="C298" s="271" t="s">
        <v>15</v>
      </c>
      <c r="D298" s="164"/>
      <c r="E298" s="164"/>
      <c r="F298" s="164"/>
      <c r="G298" s="164"/>
      <c r="H298" s="164"/>
      <c r="I298" s="164"/>
      <c r="J298" s="164"/>
      <c r="K298" s="164"/>
      <c r="L298" s="164"/>
      <c r="M298" s="164"/>
    </row>
    <row r="299" spans="1:13" x14ac:dyDescent="0.25">
      <c r="A299" s="289" t="s">
        <v>16</v>
      </c>
      <c r="B299" s="292">
        <v>2010</v>
      </c>
      <c r="C299" s="285">
        <v>2011</v>
      </c>
      <c r="D299" s="285">
        <v>2012</v>
      </c>
      <c r="E299" s="285">
        <v>2013</v>
      </c>
      <c r="F299" s="285">
        <v>2014</v>
      </c>
      <c r="G299" s="285">
        <v>2015</v>
      </c>
      <c r="H299" s="285">
        <v>2016</v>
      </c>
      <c r="I299" s="285">
        <v>2017</v>
      </c>
      <c r="J299" s="285">
        <v>2018</v>
      </c>
      <c r="K299" s="60">
        <v>2019</v>
      </c>
      <c r="L299" s="60">
        <v>2020</v>
      </c>
      <c r="M299" s="60">
        <v>2021</v>
      </c>
    </row>
    <row r="300" spans="1:13" x14ac:dyDescent="0.25">
      <c r="A300" s="52" t="s">
        <v>17</v>
      </c>
      <c r="B300" s="284">
        <v>100.5</v>
      </c>
      <c r="C300" s="284">
        <v>100.5</v>
      </c>
      <c r="D300" s="284">
        <v>100.5</v>
      </c>
      <c r="E300" s="284">
        <v>45</v>
      </c>
      <c r="F300" s="284">
        <v>45</v>
      </c>
      <c r="G300" s="284">
        <v>45</v>
      </c>
      <c r="H300" s="284">
        <v>45</v>
      </c>
      <c r="I300" s="284">
        <v>45</v>
      </c>
      <c r="J300" s="298">
        <v>45</v>
      </c>
      <c r="K300" s="298">
        <v>45</v>
      </c>
      <c r="L300" s="298">
        <v>37.9</v>
      </c>
      <c r="M300" s="298">
        <v>37.9</v>
      </c>
    </row>
    <row r="301" spans="1:13" x14ac:dyDescent="0.25">
      <c r="A301" s="52" t="s">
        <v>18</v>
      </c>
      <c r="B301" s="284">
        <v>100.5</v>
      </c>
      <c r="C301" s="284">
        <v>100.5</v>
      </c>
      <c r="D301" s="284">
        <v>100.5</v>
      </c>
      <c r="E301" s="284">
        <v>45</v>
      </c>
      <c r="F301" s="284">
        <v>45</v>
      </c>
      <c r="G301" s="284">
        <v>45</v>
      </c>
      <c r="H301" s="284">
        <v>50.34</v>
      </c>
      <c r="I301" s="284">
        <v>45.585000000000001</v>
      </c>
      <c r="J301" s="284">
        <v>45.628999999999998</v>
      </c>
      <c r="K301" s="298">
        <v>50.27</v>
      </c>
      <c r="L301" s="298">
        <f>L300+J304</f>
        <v>41.338000000000001</v>
      </c>
      <c r="M301" s="298">
        <f>M300+K304</f>
        <v>41.77</v>
      </c>
    </row>
    <row r="302" spans="1:13" x14ac:dyDescent="0.25">
      <c r="A302" s="52" t="s">
        <v>19</v>
      </c>
      <c r="B302" s="52"/>
      <c r="C302" s="52"/>
      <c r="D302" s="52"/>
      <c r="E302" s="52"/>
      <c r="F302" s="52"/>
      <c r="G302" s="92"/>
      <c r="H302" s="92"/>
      <c r="I302" s="92"/>
      <c r="J302" s="92"/>
      <c r="K302" s="92"/>
      <c r="L302" s="92"/>
      <c r="M302" s="92"/>
    </row>
    <row r="303" spans="1:13" x14ac:dyDescent="0.25">
      <c r="A303" s="52" t="s">
        <v>20</v>
      </c>
      <c r="B303" s="284">
        <v>77</v>
      </c>
      <c r="C303" s="284">
        <v>99.5</v>
      </c>
      <c r="D303" s="284">
        <v>35</v>
      </c>
      <c r="E303" s="284">
        <v>44.86</v>
      </c>
      <c r="F303" s="284">
        <v>39.659999999999997</v>
      </c>
      <c r="G303" s="298">
        <v>44.414999999999999</v>
      </c>
      <c r="H303" s="298">
        <v>49.710999999999999</v>
      </c>
      <c r="I303" s="298">
        <v>40.31</v>
      </c>
      <c r="J303" s="298">
        <v>42.191000000000003</v>
      </c>
      <c r="K303" s="298">
        <v>46.4</v>
      </c>
      <c r="L303" s="298">
        <v>37.24</v>
      </c>
      <c r="M303" s="298"/>
    </row>
    <row r="304" spans="1:13" x14ac:dyDescent="0.25">
      <c r="A304" s="52" t="s">
        <v>21</v>
      </c>
      <c r="B304" s="284">
        <v>23.5</v>
      </c>
      <c r="C304" s="284">
        <v>1</v>
      </c>
      <c r="D304" s="284">
        <v>65.5</v>
      </c>
      <c r="E304" s="284">
        <v>0.14199999999999999</v>
      </c>
      <c r="F304" s="284">
        <v>5.34</v>
      </c>
      <c r="G304" s="298">
        <v>0.58499999999999996</v>
      </c>
      <c r="H304" s="298">
        <v>0.629</v>
      </c>
      <c r="I304" s="298">
        <v>5.269999999999996</v>
      </c>
      <c r="J304" s="298">
        <v>3.4380000000000002</v>
      </c>
      <c r="K304" s="298">
        <f>K301-K303</f>
        <v>3.8700000000000045</v>
      </c>
      <c r="L304" s="298">
        <f>L301-L303</f>
        <v>4.097999999999999</v>
      </c>
      <c r="M304" s="298"/>
    </row>
    <row r="305" spans="1:13" x14ac:dyDescent="0.25">
      <c r="A305" s="52" t="s">
        <v>22</v>
      </c>
      <c r="B305" s="64" t="s">
        <v>173</v>
      </c>
      <c r="C305" s="64" t="s">
        <v>173</v>
      </c>
      <c r="D305" s="64" t="s">
        <v>173</v>
      </c>
      <c r="E305" s="64">
        <v>2015</v>
      </c>
      <c r="F305" s="64">
        <v>2016</v>
      </c>
      <c r="G305" s="299">
        <v>2017</v>
      </c>
      <c r="H305" s="299">
        <v>2018</v>
      </c>
      <c r="I305" s="299">
        <v>2019</v>
      </c>
      <c r="J305" s="299">
        <v>2020</v>
      </c>
      <c r="K305" s="299">
        <v>2021</v>
      </c>
      <c r="L305" s="64"/>
      <c r="M305" s="64"/>
    </row>
    <row r="306" spans="1:13" x14ac:dyDescent="0.25">
      <c r="A306" s="92" t="s">
        <v>166</v>
      </c>
      <c r="B306" s="92"/>
      <c r="C306" s="92"/>
      <c r="D306" s="92"/>
      <c r="E306" s="92"/>
      <c r="F306" s="92"/>
      <c r="G306" s="92"/>
      <c r="H306" s="92"/>
      <c r="I306" s="92"/>
      <c r="J306" s="92"/>
      <c r="K306" s="92"/>
      <c r="L306" s="273"/>
      <c r="M306" s="92"/>
    </row>
    <row r="307" spans="1:13" x14ac:dyDescent="0.25">
      <c r="A307" s="273" t="s">
        <v>174</v>
      </c>
      <c r="B307" s="273"/>
      <c r="C307" s="273"/>
      <c r="D307" s="273"/>
      <c r="E307" s="273"/>
      <c r="F307" s="273"/>
      <c r="G307" s="273"/>
      <c r="H307" s="273"/>
      <c r="I307" s="273"/>
      <c r="J307" s="273"/>
      <c r="K307" s="273"/>
      <c r="L307" s="273"/>
      <c r="M307" s="273"/>
    </row>
    <row r="308" spans="1:13" x14ac:dyDescent="0.25">
      <c r="A308" s="280" t="s">
        <v>175</v>
      </c>
      <c r="B308" s="97"/>
      <c r="C308" s="97"/>
      <c r="D308" s="97"/>
      <c r="E308" s="97"/>
      <c r="F308" s="97"/>
      <c r="G308" s="97"/>
      <c r="H308" s="97"/>
      <c r="I308" s="97"/>
      <c r="J308" s="97"/>
      <c r="K308" s="97"/>
      <c r="L308" s="97"/>
      <c r="M308" s="274"/>
    </row>
    <row r="309" spans="1:13" x14ac:dyDescent="0.25">
      <c r="A309" s="281" t="s">
        <v>377</v>
      </c>
      <c r="B309" s="70"/>
      <c r="C309" s="70"/>
      <c r="D309" s="70"/>
      <c r="E309" s="70"/>
      <c r="F309" s="70"/>
      <c r="G309" s="70"/>
      <c r="H309" s="70"/>
      <c r="I309" s="70"/>
      <c r="J309" s="70"/>
      <c r="K309" s="70"/>
      <c r="L309" s="70"/>
      <c r="M309" s="279"/>
    </row>
    <row r="310" spans="1:13" x14ac:dyDescent="0.25">
      <c r="A310" s="300" t="s">
        <v>378</v>
      </c>
      <c r="B310" s="70"/>
      <c r="C310" s="70"/>
      <c r="D310" s="70"/>
      <c r="E310" s="70"/>
      <c r="F310" s="70"/>
      <c r="G310" s="70"/>
      <c r="H310" s="70"/>
      <c r="I310" s="70"/>
      <c r="J310" s="70"/>
      <c r="K310" s="70"/>
      <c r="L310" s="70"/>
      <c r="M310" s="279"/>
    </row>
    <row r="311" spans="1:13" x14ac:dyDescent="0.25">
      <c r="A311" s="275" t="s">
        <v>508</v>
      </c>
      <c r="B311" s="276"/>
      <c r="C311" s="276"/>
      <c r="D311" s="276"/>
      <c r="E311" s="276"/>
      <c r="F311" s="276"/>
      <c r="G311" s="276"/>
      <c r="H311" s="276"/>
      <c r="I311" s="276"/>
      <c r="J311" s="276"/>
      <c r="K311" s="276"/>
      <c r="L311" s="276"/>
      <c r="M311" s="277"/>
    </row>
    <row r="313" spans="1:13" x14ac:dyDescent="0.25">
      <c r="A313" s="93" t="s">
        <v>14</v>
      </c>
      <c r="B313" s="297" t="s">
        <v>90</v>
      </c>
      <c r="C313" s="271" t="s">
        <v>15</v>
      </c>
      <c r="D313" s="178"/>
      <c r="E313" s="178"/>
      <c r="F313" s="178"/>
      <c r="G313" s="178"/>
      <c r="H313" s="178"/>
      <c r="I313" s="178"/>
      <c r="J313" s="178"/>
      <c r="K313" s="178"/>
      <c r="L313" s="178"/>
      <c r="M313" s="178"/>
    </row>
    <row r="314" spans="1:13" x14ac:dyDescent="0.25">
      <c r="A314" s="289" t="s">
        <v>16</v>
      </c>
      <c r="B314" s="292">
        <v>2010</v>
      </c>
      <c r="C314" s="285">
        <v>2011</v>
      </c>
      <c r="D314" s="285">
        <v>2012</v>
      </c>
      <c r="E314" s="285">
        <v>2013</v>
      </c>
      <c r="F314" s="285">
        <v>2014</v>
      </c>
      <c r="G314" s="285">
        <v>2015</v>
      </c>
      <c r="H314" s="285">
        <v>2016</v>
      </c>
      <c r="I314" s="285">
        <v>2017</v>
      </c>
      <c r="J314" s="285">
        <v>2018</v>
      </c>
      <c r="K314" s="293">
        <v>2019</v>
      </c>
      <c r="L314" s="293">
        <v>2020</v>
      </c>
      <c r="M314" s="293">
        <v>2021</v>
      </c>
    </row>
    <row r="315" spans="1:13" x14ac:dyDescent="0.25">
      <c r="A315" s="52" t="s">
        <v>17</v>
      </c>
      <c r="B315" s="284">
        <v>9.9</v>
      </c>
      <c r="C315" s="284">
        <v>9.9</v>
      </c>
      <c r="D315" s="284">
        <v>9.9</v>
      </c>
      <c r="E315" s="284">
        <v>10</v>
      </c>
      <c r="F315" s="284">
        <v>10</v>
      </c>
      <c r="G315" s="284">
        <v>10</v>
      </c>
      <c r="H315" s="251">
        <v>10</v>
      </c>
      <c r="I315" s="251">
        <v>10</v>
      </c>
      <c r="J315" s="251">
        <v>10</v>
      </c>
      <c r="K315" s="251">
        <v>10</v>
      </c>
      <c r="L315" s="251">
        <v>10</v>
      </c>
      <c r="M315" s="251">
        <v>10</v>
      </c>
    </row>
    <row r="316" spans="1:13" x14ac:dyDescent="0.25">
      <c r="A316" s="52" t="s">
        <v>18</v>
      </c>
      <c r="B316" s="284">
        <v>9.9</v>
      </c>
      <c r="C316" s="284">
        <v>9.9</v>
      </c>
      <c r="D316" s="284">
        <v>9.9</v>
      </c>
      <c r="E316" s="284">
        <v>10</v>
      </c>
      <c r="F316" s="284">
        <v>10</v>
      </c>
      <c r="G316" s="284">
        <v>12</v>
      </c>
      <c r="H316" s="251">
        <v>12</v>
      </c>
      <c r="I316" s="251">
        <v>12</v>
      </c>
      <c r="J316" s="284">
        <v>12</v>
      </c>
      <c r="K316" s="251">
        <v>12</v>
      </c>
      <c r="L316" s="251">
        <f>L315*1.2</f>
        <v>12</v>
      </c>
      <c r="M316" s="251">
        <f>M315*1.2</f>
        <v>12</v>
      </c>
    </row>
    <row r="317" spans="1:13" x14ac:dyDescent="0.25">
      <c r="A317" s="52" t="s">
        <v>19</v>
      </c>
      <c r="B317" s="52"/>
      <c r="C317" s="52"/>
      <c r="D317" s="52"/>
      <c r="E317" s="52"/>
      <c r="F317" s="52"/>
      <c r="G317" s="111"/>
      <c r="H317" s="111"/>
      <c r="I317" s="111"/>
      <c r="J317" s="111"/>
      <c r="K317" s="111"/>
      <c r="L317" s="111"/>
      <c r="M317" s="111"/>
    </row>
    <row r="318" spans="1:13" x14ac:dyDescent="0.25">
      <c r="A318" s="52" t="s">
        <v>20</v>
      </c>
      <c r="B318" s="284">
        <v>8</v>
      </c>
      <c r="C318" s="284">
        <v>0.73</v>
      </c>
      <c r="D318" s="284">
        <v>0.21</v>
      </c>
      <c r="E318" s="284">
        <v>2.1179999999999999</v>
      </c>
      <c r="F318" s="284">
        <v>0</v>
      </c>
      <c r="G318" s="251">
        <v>0.34799999999999998</v>
      </c>
      <c r="H318" s="251">
        <v>0.26300000000000001</v>
      </c>
      <c r="I318" s="251">
        <v>2.5299999999999998</v>
      </c>
      <c r="J318" s="251">
        <v>3.23</v>
      </c>
      <c r="K318" s="251">
        <v>2.88</v>
      </c>
      <c r="L318" s="251">
        <v>1.81</v>
      </c>
      <c r="M318" s="251"/>
    </row>
    <row r="319" spans="1:13" x14ac:dyDescent="0.25">
      <c r="A319" s="52" t="s">
        <v>21</v>
      </c>
      <c r="B319" s="284">
        <v>1.9</v>
      </c>
      <c r="C319" s="284">
        <v>9.17</v>
      </c>
      <c r="D319" s="284">
        <v>9.69</v>
      </c>
      <c r="E319" s="284">
        <v>7.8819999999999997</v>
      </c>
      <c r="F319" s="284">
        <v>10</v>
      </c>
      <c r="G319" s="251">
        <v>11.651999999999999</v>
      </c>
      <c r="H319" s="251">
        <v>11.737</v>
      </c>
      <c r="I319" s="251">
        <v>9.4700000000000006</v>
      </c>
      <c r="J319" s="251">
        <v>8.77</v>
      </c>
      <c r="K319" s="251">
        <f>K316-K318</f>
        <v>9.120000000000001</v>
      </c>
      <c r="L319" s="251">
        <f>L316-L318</f>
        <v>10.19</v>
      </c>
      <c r="M319" s="251"/>
    </row>
    <row r="320" spans="1:13" x14ac:dyDescent="0.25">
      <c r="A320" s="52" t="s">
        <v>22</v>
      </c>
      <c r="B320" s="64" t="s">
        <v>173</v>
      </c>
      <c r="C320" s="64" t="s">
        <v>173</v>
      </c>
      <c r="D320" s="64" t="s">
        <v>173</v>
      </c>
      <c r="E320" s="64">
        <v>2015</v>
      </c>
      <c r="F320" s="64">
        <v>2016</v>
      </c>
      <c r="G320" s="295">
        <v>2017</v>
      </c>
      <c r="H320" s="295">
        <v>2018</v>
      </c>
      <c r="I320" s="295">
        <v>2019</v>
      </c>
      <c r="J320" s="295">
        <v>2020</v>
      </c>
      <c r="K320" s="295">
        <v>2021</v>
      </c>
      <c r="L320" s="64"/>
      <c r="M320" s="64"/>
    </row>
    <row r="321" spans="1:13" x14ac:dyDescent="0.25">
      <c r="A321" s="273" t="s">
        <v>166</v>
      </c>
      <c r="B321" s="273"/>
      <c r="C321" s="273"/>
      <c r="D321" s="273"/>
      <c r="E321" s="273"/>
      <c r="F321" s="273"/>
      <c r="G321" s="224"/>
      <c r="H321" s="224"/>
      <c r="I321" s="224"/>
      <c r="J321" s="224"/>
      <c r="K321" s="224"/>
      <c r="L321" s="224"/>
      <c r="M321" s="224"/>
    </row>
    <row r="322" spans="1:13" x14ac:dyDescent="0.25">
      <c r="A322" s="272" t="s">
        <v>174</v>
      </c>
      <c r="B322" s="97"/>
      <c r="C322" s="97"/>
      <c r="D322" s="97"/>
      <c r="E322" s="97"/>
      <c r="F322" s="97"/>
      <c r="G322" s="254"/>
      <c r="H322" s="254"/>
      <c r="I322" s="254"/>
      <c r="J322" s="254"/>
      <c r="K322" s="254"/>
      <c r="L322" s="254"/>
      <c r="M322" s="134"/>
    </row>
    <row r="323" spans="1:13" x14ac:dyDescent="0.25">
      <c r="A323" s="300" t="s">
        <v>176</v>
      </c>
      <c r="B323" s="114"/>
      <c r="C323" s="114"/>
      <c r="D323" s="114"/>
      <c r="E323" s="114"/>
      <c r="F323" s="114"/>
      <c r="G323" s="114"/>
      <c r="H323" s="114"/>
      <c r="I323" s="114"/>
      <c r="J323" s="114"/>
      <c r="K323" s="114"/>
      <c r="L323" s="114"/>
      <c r="M323" s="135"/>
    </row>
    <row r="324" spans="1:13" x14ac:dyDescent="0.25">
      <c r="A324" s="300" t="s">
        <v>379</v>
      </c>
      <c r="B324" s="114"/>
      <c r="C324" s="114"/>
      <c r="D324" s="114"/>
      <c r="E324" s="114"/>
      <c r="F324" s="114"/>
      <c r="G324" s="114"/>
      <c r="H324" s="114"/>
      <c r="I324" s="114"/>
      <c r="J324" s="114"/>
      <c r="K324" s="114"/>
      <c r="L324" s="114"/>
      <c r="M324" s="135"/>
    </row>
    <row r="325" spans="1:13" x14ac:dyDescent="0.25">
      <c r="A325" s="275" t="s">
        <v>509</v>
      </c>
      <c r="B325" s="255"/>
      <c r="C325" s="255"/>
      <c r="D325" s="255"/>
      <c r="E325" s="255"/>
      <c r="F325" s="255"/>
      <c r="G325" s="255"/>
      <c r="H325" s="255"/>
      <c r="I325" s="255"/>
      <c r="J325" s="255"/>
      <c r="K325" s="255"/>
      <c r="L325" s="255"/>
      <c r="M325" s="225"/>
    </row>
    <row r="327" spans="1:13" x14ac:dyDescent="0.25">
      <c r="A327" s="1" t="s">
        <v>12</v>
      </c>
      <c r="B327" s="722" t="s">
        <v>96</v>
      </c>
      <c r="C327" s="178"/>
      <c r="D327" s="2"/>
      <c r="E327" s="2"/>
      <c r="F327" s="2"/>
      <c r="G327" s="2"/>
    </row>
    <row r="328" spans="1:13" x14ac:dyDescent="0.25">
      <c r="A328" s="3" t="s">
        <v>14</v>
      </c>
      <c r="B328" s="4" t="s">
        <v>224</v>
      </c>
      <c r="C328" s="5" t="s">
        <v>15</v>
      </c>
      <c r="D328" s="2"/>
      <c r="E328" s="2"/>
      <c r="F328" s="2"/>
      <c r="G328" s="2"/>
    </row>
    <row r="329" spans="1:13" x14ac:dyDescent="0.25">
      <c r="A329" s="6" t="s">
        <v>16</v>
      </c>
      <c r="B329" s="303">
        <v>2015</v>
      </c>
      <c r="C329" s="304">
        <v>2016</v>
      </c>
      <c r="D329" s="303">
        <v>2017</v>
      </c>
      <c r="E329" s="305">
        <v>2018</v>
      </c>
      <c r="F329" s="305">
        <v>2019</v>
      </c>
      <c r="G329" s="303">
        <v>2020</v>
      </c>
      <c r="H329" s="303">
        <v>2021</v>
      </c>
    </row>
    <row r="330" spans="1:13" x14ac:dyDescent="0.25">
      <c r="A330" s="6" t="s">
        <v>17</v>
      </c>
      <c r="B330" s="306">
        <v>3271.7</v>
      </c>
      <c r="C330" s="307">
        <v>3271.7</v>
      </c>
      <c r="D330" s="306">
        <v>3271.7</v>
      </c>
      <c r="E330" s="308">
        <v>3926</v>
      </c>
      <c r="F330" s="308">
        <v>3926</v>
      </c>
      <c r="G330" s="306">
        <v>3926</v>
      </c>
      <c r="H330" s="306">
        <v>4416.8999999999996</v>
      </c>
    </row>
    <row r="331" spans="1:13" x14ac:dyDescent="0.25">
      <c r="A331" s="6" t="s">
        <v>18</v>
      </c>
      <c r="B331" s="306">
        <v>3789.62</v>
      </c>
      <c r="C331" s="307">
        <v>3789.62</v>
      </c>
      <c r="D331" s="306">
        <v>3789.62</v>
      </c>
      <c r="E331" s="308">
        <v>4281.62</v>
      </c>
      <c r="F331" s="308">
        <v>4543.9250000000002</v>
      </c>
      <c r="G331" s="308">
        <v>4707.5</v>
      </c>
      <c r="H331" s="308">
        <f>H330+0.25*F330-200</f>
        <v>5198.3999999999996</v>
      </c>
    </row>
    <row r="332" spans="1:13" ht="26.4" x14ac:dyDescent="0.25">
      <c r="A332" s="6" t="s">
        <v>19</v>
      </c>
      <c r="B332" s="104" t="s">
        <v>97</v>
      </c>
      <c r="C332" s="104" t="s">
        <v>97</v>
      </c>
      <c r="D332" s="104" t="s">
        <v>97</v>
      </c>
      <c r="E332" s="105" t="s">
        <v>98</v>
      </c>
      <c r="F332" s="105" t="s">
        <v>440</v>
      </c>
      <c r="G332" s="105" t="s">
        <v>441</v>
      </c>
      <c r="H332" s="105" t="s">
        <v>512</v>
      </c>
    </row>
    <row r="333" spans="1:13" x14ac:dyDescent="0.25">
      <c r="A333" s="6" t="s">
        <v>20</v>
      </c>
      <c r="B333" s="306">
        <v>2857</v>
      </c>
      <c r="C333" s="307">
        <v>3134</v>
      </c>
      <c r="D333" s="306">
        <v>2385</v>
      </c>
      <c r="E333" s="306">
        <v>2926</v>
      </c>
      <c r="F333" s="308">
        <v>2770</v>
      </c>
      <c r="G333" s="306">
        <v>3549</v>
      </c>
      <c r="H333" s="306"/>
    </row>
    <row r="334" spans="1:13" x14ac:dyDescent="0.25">
      <c r="A334" s="6" t="s">
        <v>21</v>
      </c>
      <c r="B334" s="306">
        <v>932.62</v>
      </c>
      <c r="C334" s="307">
        <v>655.62</v>
      </c>
      <c r="D334" s="306">
        <v>1404.62</v>
      </c>
      <c r="E334" s="306">
        <v>1355.62</v>
      </c>
      <c r="F334" s="308">
        <v>1773.9250000000002</v>
      </c>
      <c r="G334" s="308">
        <f>G331-G333</f>
        <v>1158.5</v>
      </c>
      <c r="H334" s="306"/>
    </row>
    <row r="335" spans="1:13" x14ac:dyDescent="0.25">
      <c r="A335" s="8" t="s">
        <v>22</v>
      </c>
      <c r="B335" s="57">
        <v>2017</v>
      </c>
      <c r="C335" s="58">
        <v>2018</v>
      </c>
      <c r="D335" s="57">
        <v>2019</v>
      </c>
      <c r="E335" s="59">
        <v>2020</v>
      </c>
      <c r="F335" s="59">
        <v>2021</v>
      </c>
      <c r="G335" s="57">
        <v>2022</v>
      </c>
      <c r="H335" s="57">
        <v>2023</v>
      </c>
    </row>
    <row r="336" spans="1:13" x14ac:dyDescent="0.25">
      <c r="A336" s="6" t="s">
        <v>23</v>
      </c>
      <c r="B336" s="54"/>
      <c r="C336" s="54"/>
      <c r="D336" s="54"/>
      <c r="E336" s="54"/>
      <c r="F336" s="54"/>
      <c r="G336" s="54"/>
      <c r="H336" s="48"/>
    </row>
    <row r="337" spans="1:9" x14ac:dyDescent="0.25">
      <c r="A337" s="310" t="s">
        <v>99</v>
      </c>
      <c r="B337" s="309"/>
      <c r="C337" s="309"/>
      <c r="D337" s="309"/>
      <c r="E337" s="309"/>
      <c r="F337" s="309"/>
      <c r="G337" s="47"/>
      <c r="H337" s="110"/>
    </row>
    <row r="338" spans="1:9" x14ac:dyDescent="0.25">
      <c r="A338" s="858" t="s">
        <v>442</v>
      </c>
      <c r="B338" s="859"/>
      <c r="C338" s="859"/>
      <c r="D338" s="859"/>
      <c r="E338" s="859"/>
      <c r="F338" s="859"/>
      <c r="G338" s="859"/>
      <c r="H338" s="110"/>
    </row>
    <row r="339" spans="1:9" x14ac:dyDescent="0.25">
      <c r="A339" s="310" t="s">
        <v>380</v>
      </c>
      <c r="B339" s="309"/>
      <c r="C339" s="309"/>
      <c r="D339" s="309"/>
      <c r="E339" s="309"/>
      <c r="F339" s="309"/>
      <c r="G339" s="47"/>
      <c r="H339" s="110"/>
    </row>
    <row r="340" spans="1:9" x14ac:dyDescent="0.25">
      <c r="A340" s="310" t="s">
        <v>443</v>
      </c>
      <c r="B340" s="309"/>
      <c r="C340" s="309"/>
      <c r="D340" s="309"/>
      <c r="E340" s="309"/>
      <c r="F340" s="309"/>
      <c r="G340" s="47"/>
      <c r="H340" s="110"/>
    </row>
    <row r="341" spans="1:9" x14ac:dyDescent="0.25">
      <c r="A341" s="310" t="s">
        <v>510</v>
      </c>
      <c r="B341" s="309"/>
      <c r="C341" s="309"/>
      <c r="D341" s="309"/>
      <c r="E341" s="309"/>
      <c r="F341" s="309"/>
      <c r="G341" s="47"/>
      <c r="H341" s="110"/>
    </row>
    <row r="342" spans="1:9" x14ac:dyDescent="0.25">
      <c r="A342" s="832" t="s">
        <v>511</v>
      </c>
      <c r="B342" s="833"/>
      <c r="C342" s="833"/>
      <c r="D342" s="833"/>
      <c r="E342" s="833"/>
      <c r="F342" s="833"/>
      <c r="G342" s="833"/>
      <c r="H342" s="138"/>
    </row>
    <row r="343" spans="1:9" x14ac:dyDescent="0.25">
      <c r="A343" s="2"/>
      <c r="B343" s="2"/>
      <c r="C343" s="2"/>
      <c r="D343" s="2"/>
      <c r="E343" s="2"/>
      <c r="F343" s="2"/>
      <c r="G343" s="47"/>
    </row>
    <row r="344" spans="1:9" x14ac:dyDescent="0.25">
      <c r="A344" s="3" t="s">
        <v>14</v>
      </c>
      <c r="B344" s="4" t="s">
        <v>225</v>
      </c>
      <c r="C344" s="5" t="s">
        <v>15</v>
      </c>
      <c r="D344" s="2"/>
      <c r="E344" s="2"/>
      <c r="F344" s="2"/>
      <c r="G344" s="2"/>
    </row>
    <row r="345" spans="1:9" x14ac:dyDescent="0.25">
      <c r="A345" s="6" t="s">
        <v>16</v>
      </c>
      <c r="B345" s="303">
        <v>2015</v>
      </c>
      <c r="C345" s="304">
        <v>2016</v>
      </c>
      <c r="D345" s="303">
        <v>2017</v>
      </c>
      <c r="E345" s="305">
        <v>2018</v>
      </c>
      <c r="F345" s="305">
        <v>2019</v>
      </c>
      <c r="G345" s="303">
        <v>2020</v>
      </c>
      <c r="H345" s="303">
        <v>2021</v>
      </c>
      <c r="I345" s="750">
        <v>2022</v>
      </c>
    </row>
    <row r="346" spans="1:9" x14ac:dyDescent="0.25">
      <c r="A346" s="6" t="s">
        <v>17</v>
      </c>
      <c r="B346" s="306">
        <v>9400</v>
      </c>
      <c r="C346" s="307">
        <v>9400</v>
      </c>
      <c r="D346" s="306">
        <v>9400</v>
      </c>
      <c r="E346" s="308">
        <v>9400</v>
      </c>
      <c r="F346" s="308">
        <v>9400</v>
      </c>
      <c r="G346" s="306">
        <v>9400</v>
      </c>
      <c r="H346" s="306">
        <v>9400</v>
      </c>
      <c r="I346" s="369">
        <v>9400</v>
      </c>
    </row>
    <row r="347" spans="1:9" x14ac:dyDescent="0.25">
      <c r="A347" s="6" t="s">
        <v>18</v>
      </c>
      <c r="B347" s="306">
        <v>11506.75</v>
      </c>
      <c r="C347" s="307">
        <v>11750</v>
      </c>
      <c r="D347" s="306">
        <v>11750</v>
      </c>
      <c r="E347" s="308">
        <v>11750</v>
      </c>
      <c r="F347" s="308">
        <f>F346*1.25</f>
        <v>11750</v>
      </c>
      <c r="G347" s="306">
        <f>G346*1.25-200</f>
        <v>11550</v>
      </c>
      <c r="H347" s="306">
        <f>H346+F350</f>
        <v>11524</v>
      </c>
      <c r="I347" s="369">
        <f>I346+G350+145</f>
        <v>11244</v>
      </c>
    </row>
    <row r="348" spans="1:9" x14ac:dyDescent="0.25">
      <c r="A348" s="6" t="s">
        <v>19</v>
      </c>
      <c r="B348" s="104" t="s">
        <v>100</v>
      </c>
      <c r="C348" s="104" t="s">
        <v>101</v>
      </c>
      <c r="D348" s="104" t="s">
        <v>101</v>
      </c>
      <c r="E348" s="105" t="s">
        <v>101</v>
      </c>
      <c r="F348" s="105" t="s">
        <v>101</v>
      </c>
      <c r="G348" s="313" t="s">
        <v>382</v>
      </c>
      <c r="H348" s="313" t="s">
        <v>514</v>
      </c>
      <c r="I348" s="820" t="s">
        <v>691</v>
      </c>
    </row>
    <row r="349" spans="1:9" x14ac:dyDescent="0.25">
      <c r="A349" s="6" t="s">
        <v>20</v>
      </c>
      <c r="B349" s="306">
        <v>7157</v>
      </c>
      <c r="C349" s="307">
        <v>8907</v>
      </c>
      <c r="D349" s="306">
        <v>9090</v>
      </c>
      <c r="E349" s="306">
        <v>9227</v>
      </c>
      <c r="F349" s="308">
        <v>9626</v>
      </c>
      <c r="G349" s="306">
        <v>9851</v>
      </c>
      <c r="H349" s="306"/>
      <c r="I349" s="369"/>
    </row>
    <row r="350" spans="1:9" x14ac:dyDescent="0.25">
      <c r="A350" s="6" t="s">
        <v>21</v>
      </c>
      <c r="B350" s="306">
        <v>4349.75</v>
      </c>
      <c r="C350" s="307">
        <v>2843</v>
      </c>
      <c r="D350" s="306">
        <v>2660</v>
      </c>
      <c r="E350" s="306">
        <v>2523</v>
      </c>
      <c r="F350" s="308">
        <f>F347-F349</f>
        <v>2124</v>
      </c>
      <c r="G350" s="306">
        <f>G347-G349</f>
        <v>1699</v>
      </c>
      <c r="H350" s="306"/>
      <c r="I350" s="369"/>
    </row>
    <row r="351" spans="1:9" x14ac:dyDescent="0.25">
      <c r="A351" s="8" t="s">
        <v>22</v>
      </c>
      <c r="B351" s="57">
        <v>2017</v>
      </c>
      <c r="C351" s="58">
        <v>2018</v>
      </c>
      <c r="D351" s="57">
        <v>2019</v>
      </c>
      <c r="E351" s="59">
        <v>2020</v>
      </c>
      <c r="F351" s="59">
        <v>2021</v>
      </c>
      <c r="G351" s="59">
        <v>2022</v>
      </c>
      <c r="H351" s="59">
        <v>2023</v>
      </c>
      <c r="I351" s="821">
        <v>2024</v>
      </c>
    </row>
    <row r="352" spans="1:9" x14ac:dyDescent="0.25">
      <c r="A352" s="8" t="s">
        <v>23</v>
      </c>
      <c r="B352" s="9"/>
      <c r="C352" s="9"/>
      <c r="D352" s="9"/>
      <c r="E352" s="9"/>
      <c r="F352" s="9"/>
      <c r="G352" s="9"/>
      <c r="H352" s="10"/>
      <c r="I352" s="412"/>
    </row>
    <row r="353" spans="1:9" x14ac:dyDescent="0.25">
      <c r="A353" s="854" t="s">
        <v>102</v>
      </c>
      <c r="B353" s="855"/>
      <c r="C353" s="855"/>
      <c r="D353" s="855"/>
      <c r="E353" s="855"/>
      <c r="F353" s="855"/>
      <c r="G353" s="9"/>
      <c r="H353" s="9"/>
      <c r="I353" s="248"/>
    </row>
    <row r="354" spans="1:9" x14ac:dyDescent="0.25">
      <c r="A354" s="452" t="s">
        <v>381</v>
      </c>
      <c r="B354" s="780"/>
      <c r="C354" s="780"/>
      <c r="D354" s="780"/>
      <c r="E354" s="780"/>
      <c r="F354" s="780"/>
      <c r="G354" s="47"/>
      <c r="H354" s="47"/>
      <c r="I354" s="110"/>
    </row>
    <row r="355" spans="1:9" x14ac:dyDescent="0.25">
      <c r="A355" s="452" t="s">
        <v>513</v>
      </c>
      <c r="B355" s="780"/>
      <c r="C355" s="780"/>
      <c r="D355" s="780"/>
      <c r="E355" s="780"/>
      <c r="F355" s="780"/>
      <c r="G355" s="47"/>
      <c r="H355" s="47"/>
      <c r="I355" s="110"/>
    </row>
    <row r="356" spans="1:9" x14ac:dyDescent="0.25">
      <c r="A356" s="822" t="s">
        <v>692</v>
      </c>
      <c r="B356" s="777"/>
      <c r="C356" s="777"/>
      <c r="D356" s="777"/>
      <c r="E356" s="777"/>
      <c r="F356" s="777"/>
      <c r="G356" s="12"/>
      <c r="H356" s="12"/>
      <c r="I356" s="138"/>
    </row>
    <row r="357" spans="1:9" x14ac:dyDescent="0.25">
      <c r="A357" s="2"/>
      <c r="B357" s="2"/>
      <c r="C357" s="2"/>
      <c r="D357" s="2"/>
      <c r="E357" s="2"/>
      <c r="F357" s="2"/>
      <c r="G357" s="2"/>
    </row>
    <row r="358" spans="1:9" x14ac:dyDescent="0.25">
      <c r="A358" s="3" t="s">
        <v>14</v>
      </c>
      <c r="B358" s="4" t="s">
        <v>220</v>
      </c>
      <c r="C358" s="5" t="s">
        <v>15</v>
      </c>
      <c r="D358" s="2"/>
      <c r="E358" s="2"/>
      <c r="F358" s="2"/>
      <c r="G358" s="2"/>
    </row>
    <row r="359" spans="1:9" x14ac:dyDescent="0.25">
      <c r="A359" s="6" t="s">
        <v>16</v>
      </c>
      <c r="B359" s="303">
        <v>2015</v>
      </c>
      <c r="C359" s="304">
        <v>2016</v>
      </c>
      <c r="D359" s="303">
        <v>2017</v>
      </c>
      <c r="E359" s="305">
        <v>2018</v>
      </c>
      <c r="F359" s="305">
        <v>2019</v>
      </c>
      <c r="G359" s="303">
        <v>2020</v>
      </c>
      <c r="H359" s="303">
        <v>2021</v>
      </c>
    </row>
    <row r="360" spans="1:9" x14ac:dyDescent="0.25">
      <c r="A360" s="6" t="s">
        <v>17</v>
      </c>
      <c r="B360" s="306">
        <v>270</v>
      </c>
      <c r="C360" s="307">
        <v>270</v>
      </c>
      <c r="D360" s="306">
        <v>270</v>
      </c>
      <c r="E360" s="308">
        <v>270</v>
      </c>
      <c r="F360" s="308">
        <v>270</v>
      </c>
      <c r="G360" s="306">
        <v>270</v>
      </c>
      <c r="H360" s="306">
        <v>270</v>
      </c>
    </row>
    <row r="361" spans="1:9" x14ac:dyDescent="0.25">
      <c r="A361" s="6" t="s">
        <v>18</v>
      </c>
      <c r="B361" s="306">
        <v>370</v>
      </c>
      <c r="C361" s="307">
        <v>370</v>
      </c>
      <c r="D361" s="306">
        <v>370</v>
      </c>
      <c r="E361" s="308">
        <v>343</v>
      </c>
      <c r="F361" s="450">
        <v>343</v>
      </c>
      <c r="G361" s="306">
        <f>G360*1.4-35-20</f>
        <v>323</v>
      </c>
      <c r="H361" s="306">
        <f>H360*1.4-35-20</f>
        <v>323</v>
      </c>
    </row>
    <row r="362" spans="1:9" x14ac:dyDescent="0.25">
      <c r="A362" s="6" t="s">
        <v>19</v>
      </c>
      <c r="B362" s="104" t="s">
        <v>103</v>
      </c>
      <c r="C362" s="104" t="s">
        <v>103</v>
      </c>
      <c r="D362" s="104" t="s">
        <v>103</v>
      </c>
      <c r="E362" s="105" t="s">
        <v>104</v>
      </c>
      <c r="F362" s="451" t="s">
        <v>104</v>
      </c>
      <c r="G362" s="313" t="s">
        <v>387</v>
      </c>
      <c r="H362" s="313" t="s">
        <v>387</v>
      </c>
    </row>
    <row r="363" spans="1:9" x14ac:dyDescent="0.25">
      <c r="A363" s="6" t="s">
        <v>20</v>
      </c>
      <c r="B363" s="306">
        <v>115</v>
      </c>
      <c r="C363" s="369">
        <v>151.72</v>
      </c>
      <c r="D363" s="369">
        <v>95.51</v>
      </c>
      <c r="E363" s="298">
        <v>169.22</v>
      </c>
      <c r="F363" s="308">
        <v>122.25</v>
      </c>
      <c r="G363" s="306">
        <v>171.75</v>
      </c>
      <c r="H363" s="306"/>
    </row>
    <row r="364" spans="1:9" x14ac:dyDescent="0.25">
      <c r="A364" s="6" t="s">
        <v>21</v>
      </c>
      <c r="B364" s="306">
        <v>255</v>
      </c>
      <c r="C364" s="369">
        <f>C361-C363</f>
        <v>218.28</v>
      </c>
      <c r="D364" s="369">
        <f>D361-D363</f>
        <v>274.49</v>
      </c>
      <c r="E364" s="298">
        <v>173.78</v>
      </c>
      <c r="F364" s="308">
        <f>F361-F363</f>
        <v>220.75</v>
      </c>
      <c r="G364" s="306">
        <f>G361-G363</f>
        <v>151.25</v>
      </c>
      <c r="H364" s="306"/>
    </row>
    <row r="365" spans="1:9" x14ac:dyDescent="0.25">
      <c r="A365" s="8" t="s">
        <v>22</v>
      </c>
      <c r="B365" s="57">
        <v>2017</v>
      </c>
      <c r="C365" s="58">
        <v>2018</v>
      </c>
      <c r="D365" s="57">
        <v>2019</v>
      </c>
      <c r="E365" s="59">
        <v>2020</v>
      </c>
      <c r="F365" s="59">
        <v>2021</v>
      </c>
      <c r="G365" s="59">
        <v>2022</v>
      </c>
      <c r="H365" s="59">
        <v>2023</v>
      </c>
    </row>
    <row r="366" spans="1:9" x14ac:dyDescent="0.25">
      <c r="A366" s="6" t="s">
        <v>23</v>
      </c>
      <c r="B366" s="54"/>
      <c r="C366" s="54"/>
      <c r="D366" s="54"/>
      <c r="E366" s="54"/>
      <c r="F366" s="54"/>
      <c r="G366" s="54"/>
      <c r="H366" s="48"/>
    </row>
    <row r="367" spans="1:9" x14ac:dyDescent="0.25">
      <c r="A367" s="848" t="s">
        <v>105</v>
      </c>
      <c r="B367" s="849"/>
      <c r="C367" s="849"/>
      <c r="D367" s="849"/>
      <c r="E367" s="849"/>
      <c r="F367" s="849"/>
      <c r="G367" s="47"/>
      <c r="H367" s="50"/>
    </row>
    <row r="368" spans="1:9" x14ac:dyDescent="0.25">
      <c r="A368" s="281" t="s">
        <v>384</v>
      </c>
      <c r="B368" s="302"/>
      <c r="C368" s="302"/>
      <c r="D368" s="302"/>
      <c r="E368" s="302"/>
      <c r="F368" s="302"/>
      <c r="G368" s="47"/>
      <c r="H368" s="50"/>
    </row>
    <row r="369" spans="1:8" x14ac:dyDescent="0.25">
      <c r="A369" s="281" t="s">
        <v>385</v>
      </c>
      <c r="B369" s="302"/>
      <c r="C369" s="302"/>
      <c r="D369" s="302"/>
      <c r="E369" s="302"/>
      <c r="F369" s="302"/>
      <c r="G369" s="47"/>
      <c r="H369" s="50"/>
    </row>
    <row r="370" spans="1:8" ht="13.2" customHeight="1" x14ac:dyDescent="0.25">
      <c r="A370" s="457" t="s">
        <v>386</v>
      </c>
      <c r="B370" s="455"/>
      <c r="C370" s="455"/>
      <c r="D370" s="455"/>
      <c r="E370" s="455"/>
      <c r="F370" s="455"/>
      <c r="G370" s="455"/>
      <c r="H370" s="50"/>
    </row>
    <row r="371" spans="1:8" x14ac:dyDescent="0.25">
      <c r="A371" s="281" t="s">
        <v>515</v>
      </c>
      <c r="B371" s="302"/>
      <c r="C371" s="302"/>
      <c r="D371" s="302"/>
      <c r="E371" s="302"/>
      <c r="F371" s="302"/>
      <c r="G371" s="47"/>
      <c r="H371" s="50"/>
    </row>
    <row r="372" spans="1:8" x14ac:dyDescent="0.25">
      <c r="A372" s="453" t="s">
        <v>516</v>
      </c>
      <c r="B372" s="454"/>
      <c r="C372" s="454"/>
      <c r="D372" s="454"/>
      <c r="E372" s="454"/>
      <c r="F372" s="454"/>
      <c r="G372" s="454"/>
      <c r="H372" s="456"/>
    </row>
    <row r="373" spans="1:8" x14ac:dyDescent="0.25">
      <c r="A373" s="2"/>
      <c r="B373" s="2"/>
      <c r="C373" s="2"/>
      <c r="D373" s="2"/>
      <c r="E373" s="2"/>
      <c r="F373" s="2"/>
      <c r="G373" s="2"/>
    </row>
    <row r="374" spans="1:8" x14ac:dyDescent="0.25">
      <c r="A374" s="3" t="s">
        <v>14</v>
      </c>
      <c r="B374" s="4" t="s">
        <v>226</v>
      </c>
      <c r="C374" s="5" t="s">
        <v>15</v>
      </c>
      <c r="D374" s="2"/>
      <c r="E374" s="2"/>
      <c r="F374" s="2"/>
      <c r="G374" s="2"/>
    </row>
    <row r="375" spans="1:8" x14ac:dyDescent="0.25">
      <c r="A375" s="6" t="s">
        <v>16</v>
      </c>
      <c r="B375" s="303">
        <v>2015</v>
      </c>
      <c r="C375" s="304">
        <v>2016</v>
      </c>
      <c r="D375" s="303">
        <v>2017</v>
      </c>
      <c r="E375" s="305">
        <v>2018</v>
      </c>
      <c r="F375" s="305">
        <v>2019</v>
      </c>
      <c r="G375" s="303">
        <v>2020</v>
      </c>
      <c r="H375" s="303">
        <v>2021</v>
      </c>
    </row>
    <row r="376" spans="1:8" x14ac:dyDescent="0.25">
      <c r="A376" s="6" t="s">
        <v>17</v>
      </c>
      <c r="B376" s="306">
        <v>459</v>
      </c>
      <c r="C376" s="307">
        <v>459</v>
      </c>
      <c r="D376" s="306">
        <v>459</v>
      </c>
      <c r="E376" s="308">
        <v>459</v>
      </c>
      <c r="F376" s="308">
        <v>459</v>
      </c>
      <c r="G376" s="306">
        <v>459</v>
      </c>
      <c r="H376" s="306">
        <v>459</v>
      </c>
    </row>
    <row r="377" spans="1:8" x14ac:dyDescent="0.25">
      <c r="A377" s="6" t="s">
        <v>18</v>
      </c>
      <c r="B377" s="306">
        <v>587.9</v>
      </c>
      <c r="C377" s="307">
        <v>535.9</v>
      </c>
      <c r="D377" s="306">
        <v>516.9</v>
      </c>
      <c r="E377" s="308">
        <v>559.9</v>
      </c>
      <c r="F377" s="450">
        <v>546.79999999999995</v>
      </c>
      <c r="G377" s="306">
        <v>550.79999999999995</v>
      </c>
      <c r="H377" s="306">
        <v>550.79999999999995</v>
      </c>
    </row>
    <row r="378" spans="1:8" x14ac:dyDescent="0.25">
      <c r="A378" s="6" t="s">
        <v>19</v>
      </c>
      <c r="B378" s="104" t="s">
        <v>106</v>
      </c>
      <c r="C378" s="104" t="s">
        <v>107</v>
      </c>
      <c r="D378" s="104" t="s">
        <v>108</v>
      </c>
      <c r="E378" s="105" t="s">
        <v>424</v>
      </c>
      <c r="F378" s="451" t="s">
        <v>425</v>
      </c>
      <c r="G378" s="7" t="s">
        <v>388</v>
      </c>
      <c r="H378" s="7" t="s">
        <v>388</v>
      </c>
    </row>
    <row r="379" spans="1:8" x14ac:dyDescent="0.25">
      <c r="A379" s="6" t="s">
        <v>20</v>
      </c>
      <c r="B379" s="306">
        <v>511</v>
      </c>
      <c r="C379" s="307">
        <v>478</v>
      </c>
      <c r="D379" s="306">
        <v>416</v>
      </c>
      <c r="E379" s="306">
        <v>472.1</v>
      </c>
      <c r="F379" s="308">
        <v>395.31</v>
      </c>
      <c r="G379" s="306">
        <v>410.05</v>
      </c>
      <c r="H379" s="306"/>
    </row>
    <row r="380" spans="1:8" x14ac:dyDescent="0.25">
      <c r="A380" s="6" t="s">
        <v>21</v>
      </c>
      <c r="B380" s="306">
        <v>76.900000000000006</v>
      </c>
      <c r="C380" s="307">
        <v>57.9</v>
      </c>
      <c r="D380" s="306">
        <v>100.9</v>
      </c>
      <c r="E380" s="306">
        <v>87.799999999999955</v>
      </c>
      <c r="F380" s="308">
        <v>151.48999999999995</v>
      </c>
      <c r="G380" s="306">
        <f>G377-G379</f>
        <v>140.74999999999994</v>
      </c>
      <c r="H380" s="306"/>
    </row>
    <row r="381" spans="1:8" x14ac:dyDescent="0.25">
      <c r="A381" s="8" t="s">
        <v>22</v>
      </c>
      <c r="B381" s="57">
        <v>2016</v>
      </c>
      <c r="C381" s="58">
        <v>2017</v>
      </c>
      <c r="D381" s="57">
        <v>2018</v>
      </c>
      <c r="E381" s="59">
        <v>2019</v>
      </c>
      <c r="F381" s="59">
        <v>2020</v>
      </c>
      <c r="G381" s="59">
        <v>2021</v>
      </c>
      <c r="H381" s="59">
        <v>2023</v>
      </c>
    </row>
    <row r="382" spans="1:8" x14ac:dyDescent="0.25">
      <c r="A382" s="6" t="s">
        <v>23</v>
      </c>
      <c r="B382" s="54"/>
      <c r="C382" s="54"/>
      <c r="D382" s="54"/>
      <c r="E382" s="54"/>
      <c r="F382" s="54"/>
      <c r="G382" s="54"/>
      <c r="H382" s="311"/>
    </row>
    <row r="383" spans="1:8" ht="13.2" customHeight="1" x14ac:dyDescent="0.25">
      <c r="A383" s="457" t="s">
        <v>109</v>
      </c>
      <c r="B383" s="455"/>
      <c r="C383" s="455"/>
      <c r="D383" s="455"/>
      <c r="E383" s="455"/>
      <c r="F383" s="455"/>
      <c r="G383" s="47"/>
      <c r="H383" s="110"/>
    </row>
    <row r="384" spans="1:8" ht="13.2" customHeight="1" x14ac:dyDescent="0.25">
      <c r="A384" s="858" t="s">
        <v>426</v>
      </c>
      <c r="B384" s="859"/>
      <c r="C384" s="859"/>
      <c r="D384" s="859"/>
      <c r="E384" s="859"/>
      <c r="F384" s="859"/>
      <c r="G384" s="47"/>
      <c r="H384" s="110"/>
    </row>
    <row r="385" spans="1:8" x14ac:dyDescent="0.25">
      <c r="A385" s="281" t="s">
        <v>389</v>
      </c>
      <c r="B385" s="302"/>
      <c r="C385" s="302"/>
      <c r="D385" s="302"/>
      <c r="E385" s="302"/>
      <c r="F385" s="302"/>
      <c r="G385" s="47"/>
      <c r="H385" s="110"/>
    </row>
    <row r="386" spans="1:8" x14ac:dyDescent="0.25">
      <c r="A386" s="281" t="s">
        <v>390</v>
      </c>
      <c r="B386" s="302"/>
      <c r="C386" s="302"/>
      <c r="D386" s="302"/>
      <c r="E386" s="302"/>
      <c r="F386" s="302"/>
      <c r="G386" s="47"/>
      <c r="H386" s="110"/>
    </row>
    <row r="387" spans="1:8" ht="13.2" customHeight="1" x14ac:dyDescent="0.25">
      <c r="A387" s="281" t="s">
        <v>517</v>
      </c>
      <c r="B387" s="302"/>
      <c r="C387" s="302"/>
      <c r="D387" s="302"/>
      <c r="E387" s="302"/>
      <c r="F387" s="302"/>
      <c r="G387" s="47"/>
      <c r="H387" s="110"/>
    </row>
    <row r="388" spans="1:8" ht="13.2" customHeight="1" x14ac:dyDescent="0.25">
      <c r="A388" s="282" t="s">
        <v>518</v>
      </c>
      <c r="B388" s="430"/>
      <c r="C388" s="430"/>
      <c r="D388" s="430"/>
      <c r="E388" s="430"/>
      <c r="F388" s="430"/>
      <c r="G388" s="12"/>
      <c r="H388" s="138"/>
    </row>
    <row r="389" spans="1:8" x14ac:dyDescent="0.25">
      <c r="A389" s="2"/>
      <c r="B389" s="2"/>
      <c r="C389" s="2"/>
      <c r="D389" s="2"/>
      <c r="E389" s="2"/>
      <c r="F389" s="2"/>
      <c r="G389" s="2"/>
    </row>
    <row r="390" spans="1:8" x14ac:dyDescent="0.25">
      <c r="A390" s="3" t="s">
        <v>14</v>
      </c>
      <c r="B390" s="4" t="s">
        <v>276</v>
      </c>
      <c r="C390" s="5" t="s">
        <v>15</v>
      </c>
      <c r="D390" s="2"/>
      <c r="E390" s="2"/>
      <c r="F390" s="2"/>
      <c r="G390" s="2"/>
    </row>
    <row r="391" spans="1:8" x14ac:dyDescent="0.25">
      <c r="A391" s="6" t="s">
        <v>16</v>
      </c>
      <c r="B391" s="303">
        <v>2015</v>
      </c>
      <c r="C391" s="304">
        <v>2016</v>
      </c>
      <c r="D391" s="303">
        <v>2017</v>
      </c>
      <c r="E391" s="305">
        <v>2018</v>
      </c>
      <c r="F391" s="305">
        <v>2019</v>
      </c>
      <c r="G391" s="303">
        <v>2020</v>
      </c>
      <c r="H391" s="303">
        <v>2021</v>
      </c>
    </row>
    <row r="392" spans="1:8" x14ac:dyDescent="0.25">
      <c r="A392" s="6" t="s">
        <v>17</v>
      </c>
      <c r="B392" s="94">
        <v>48.76</v>
      </c>
      <c r="C392" s="259">
        <v>58.28</v>
      </c>
      <c r="D392" s="94">
        <v>69.97</v>
      </c>
      <c r="E392" s="261">
        <v>79</v>
      </c>
      <c r="F392" s="261">
        <v>84</v>
      </c>
      <c r="G392" s="94">
        <v>90</v>
      </c>
      <c r="H392" s="94">
        <v>90</v>
      </c>
    </row>
    <row r="393" spans="1:8" x14ac:dyDescent="0.25">
      <c r="A393" s="6" t="s">
        <v>18</v>
      </c>
      <c r="B393" s="94">
        <v>38.76</v>
      </c>
      <c r="C393" s="259">
        <v>48.28</v>
      </c>
      <c r="D393" s="94">
        <v>59.97</v>
      </c>
      <c r="E393" s="261">
        <v>29</v>
      </c>
      <c r="F393" s="261">
        <v>34</v>
      </c>
      <c r="G393" s="94">
        <f>G392-50</f>
        <v>40</v>
      </c>
      <c r="H393" s="94">
        <f>H392-50</f>
        <v>40</v>
      </c>
    </row>
    <row r="394" spans="1:8" x14ac:dyDescent="0.25">
      <c r="A394" s="6" t="s">
        <v>19</v>
      </c>
      <c r="B394" s="55" t="s">
        <v>110</v>
      </c>
      <c r="C394" s="55" t="s">
        <v>111</v>
      </c>
      <c r="D394" s="55" t="s">
        <v>112</v>
      </c>
      <c r="E394" s="56" t="s">
        <v>113</v>
      </c>
      <c r="F394" s="56" t="s">
        <v>114</v>
      </c>
      <c r="G394" s="313" t="s">
        <v>391</v>
      </c>
      <c r="H394" s="313" t="s">
        <v>391</v>
      </c>
    </row>
    <row r="395" spans="1:8" x14ac:dyDescent="0.25">
      <c r="A395" s="6" t="s">
        <v>20</v>
      </c>
      <c r="B395" s="94">
        <v>0</v>
      </c>
      <c r="C395" s="259">
        <v>0</v>
      </c>
      <c r="D395" s="94">
        <v>0</v>
      </c>
      <c r="E395" s="94">
        <v>0</v>
      </c>
      <c r="F395" s="261">
        <v>0</v>
      </c>
      <c r="G395" s="94">
        <v>0</v>
      </c>
      <c r="H395" s="94"/>
    </row>
    <row r="396" spans="1:8" x14ac:dyDescent="0.25">
      <c r="A396" s="6" t="s">
        <v>21</v>
      </c>
      <c r="B396" s="94">
        <v>38.76</v>
      </c>
      <c r="C396" s="259">
        <v>48.28</v>
      </c>
      <c r="D396" s="94">
        <v>59.97</v>
      </c>
      <c r="E396" s="94">
        <v>29</v>
      </c>
      <c r="F396" s="261">
        <f>F393-F395</f>
        <v>34</v>
      </c>
      <c r="G396" s="94">
        <f>G393-G395</f>
        <v>40</v>
      </c>
      <c r="H396" s="94"/>
    </row>
    <row r="397" spans="1:8" x14ac:dyDescent="0.25">
      <c r="A397" s="8" t="s">
        <v>22</v>
      </c>
      <c r="B397" s="57">
        <v>2017</v>
      </c>
      <c r="C397" s="58">
        <v>2018</v>
      </c>
      <c r="D397" s="57">
        <v>2019</v>
      </c>
      <c r="E397" s="57">
        <v>2020</v>
      </c>
      <c r="F397" s="57">
        <v>2021</v>
      </c>
      <c r="G397" s="57">
        <v>2022</v>
      </c>
      <c r="H397" s="57">
        <v>2023</v>
      </c>
    </row>
    <row r="398" spans="1:8" x14ac:dyDescent="0.25">
      <c r="A398" s="6" t="s">
        <v>23</v>
      </c>
      <c r="B398" s="54"/>
      <c r="C398" s="54"/>
      <c r="D398" s="54"/>
      <c r="E398" s="54"/>
      <c r="F398" s="54"/>
      <c r="G398" s="54"/>
      <c r="H398" s="48"/>
    </row>
    <row r="399" spans="1:8" x14ac:dyDescent="0.25">
      <c r="A399" s="49" t="s">
        <v>115</v>
      </c>
      <c r="B399" s="47"/>
      <c r="C399" s="47"/>
      <c r="D399" s="47"/>
      <c r="E399" s="47"/>
      <c r="F399" s="47"/>
      <c r="G399" s="47"/>
      <c r="H399" s="110"/>
    </row>
    <row r="400" spans="1:8" x14ac:dyDescent="0.25">
      <c r="A400" s="49" t="s">
        <v>392</v>
      </c>
      <c r="B400" s="47"/>
      <c r="C400" s="47"/>
      <c r="D400" s="47"/>
      <c r="E400" s="47"/>
      <c r="F400" s="47"/>
      <c r="G400" s="47"/>
      <c r="H400" s="110"/>
    </row>
    <row r="401" spans="1:8" x14ac:dyDescent="0.25">
      <c r="A401" s="11" t="s">
        <v>519</v>
      </c>
      <c r="B401" s="12"/>
      <c r="C401" s="12"/>
      <c r="D401" s="12"/>
      <c r="E401" s="12"/>
      <c r="F401" s="12"/>
      <c r="G401" s="12"/>
      <c r="H401" s="138"/>
    </row>
    <row r="402" spans="1:8" x14ac:dyDescent="0.25">
      <c r="A402" s="11"/>
      <c r="B402" s="12"/>
      <c r="C402" s="47"/>
      <c r="D402" s="47"/>
      <c r="E402" s="47"/>
      <c r="F402" s="47"/>
      <c r="G402" s="2"/>
    </row>
    <row r="403" spans="1:8" x14ac:dyDescent="0.25">
      <c r="A403" s="3" t="s">
        <v>14</v>
      </c>
      <c r="B403" s="4" t="s">
        <v>76</v>
      </c>
      <c r="C403" s="5" t="s">
        <v>15</v>
      </c>
      <c r="D403" s="2"/>
      <c r="E403" s="2"/>
      <c r="F403" s="2"/>
      <c r="G403" s="2"/>
    </row>
    <row r="404" spans="1:8" x14ac:dyDescent="0.25">
      <c r="A404" s="6" t="s">
        <v>16</v>
      </c>
      <c r="B404" s="303">
        <v>2015</v>
      </c>
      <c r="C404" s="304">
        <v>2016</v>
      </c>
      <c r="D404" s="303">
        <v>2017</v>
      </c>
      <c r="E404" s="305">
        <v>2018</v>
      </c>
      <c r="F404" s="305">
        <v>2019</v>
      </c>
      <c r="G404" s="303">
        <v>2020</v>
      </c>
      <c r="H404" s="303">
        <v>2021</v>
      </c>
    </row>
    <row r="405" spans="1:8" x14ac:dyDescent="0.25">
      <c r="A405" s="6" t="s">
        <v>17</v>
      </c>
      <c r="B405" s="306">
        <v>15583</v>
      </c>
      <c r="C405" s="307">
        <v>11679</v>
      </c>
      <c r="D405" s="306">
        <v>11679</v>
      </c>
      <c r="E405" s="308">
        <v>11679</v>
      </c>
      <c r="F405" s="308">
        <v>11679</v>
      </c>
      <c r="G405" s="306">
        <v>9226.41</v>
      </c>
      <c r="H405" s="306">
        <v>9226.41</v>
      </c>
    </row>
    <row r="406" spans="1:8" x14ac:dyDescent="0.25">
      <c r="A406" s="6" t="s">
        <v>18</v>
      </c>
      <c r="B406" s="306">
        <v>20187.900000000001</v>
      </c>
      <c r="C406" s="307">
        <v>16353.9</v>
      </c>
      <c r="D406" s="306">
        <f>14016.45</f>
        <v>14016.45</v>
      </c>
      <c r="E406" s="308">
        <v>13653.85</v>
      </c>
      <c r="F406" s="308">
        <v>13653.85</v>
      </c>
      <c r="G406" s="306">
        <f>G405+E405*0.15+223</f>
        <v>11201.26</v>
      </c>
      <c r="H406" s="306">
        <f>H405+0.1*F405+223</f>
        <v>10617.31</v>
      </c>
    </row>
    <row r="407" spans="1:8" ht="26.4" x14ac:dyDescent="0.25">
      <c r="A407" s="6" t="s">
        <v>19</v>
      </c>
      <c r="B407" s="104" t="s">
        <v>116</v>
      </c>
      <c r="C407" s="104" t="s">
        <v>117</v>
      </c>
      <c r="D407" s="104" t="s">
        <v>118</v>
      </c>
      <c r="E407" s="105" t="s">
        <v>119</v>
      </c>
      <c r="F407" s="105" t="s">
        <v>119</v>
      </c>
      <c r="G407" s="103" t="s">
        <v>521</v>
      </c>
      <c r="H407" s="103" t="s">
        <v>522</v>
      </c>
    </row>
    <row r="408" spans="1:8" x14ac:dyDescent="0.25">
      <c r="A408" s="6" t="s">
        <v>20</v>
      </c>
      <c r="B408" s="306">
        <v>16453</v>
      </c>
      <c r="C408" s="307">
        <v>13115</v>
      </c>
      <c r="D408" s="306">
        <v>11845</v>
      </c>
      <c r="E408" s="306">
        <v>11630</v>
      </c>
      <c r="F408" s="308">
        <v>11288</v>
      </c>
      <c r="G408" s="306">
        <v>9226</v>
      </c>
      <c r="H408" s="306"/>
    </row>
    <row r="409" spans="1:8" x14ac:dyDescent="0.25">
      <c r="A409" s="6" t="s">
        <v>21</v>
      </c>
      <c r="B409" s="306">
        <v>3734.9</v>
      </c>
      <c r="C409" s="307">
        <v>3238.9</v>
      </c>
      <c r="D409" s="306">
        <v>2171.4499999999998</v>
      </c>
      <c r="E409" s="306">
        <v>2023.85</v>
      </c>
      <c r="F409" s="308">
        <f>F406-F408</f>
        <v>2365.8500000000004</v>
      </c>
      <c r="G409" s="306">
        <f>G406-G408</f>
        <v>1975.2600000000002</v>
      </c>
      <c r="H409" s="306"/>
    </row>
    <row r="410" spans="1:8" x14ac:dyDescent="0.25">
      <c r="A410" s="8" t="s">
        <v>22</v>
      </c>
      <c r="B410" s="57">
        <v>2017</v>
      </c>
      <c r="C410" s="58">
        <v>2018</v>
      </c>
      <c r="D410" s="57">
        <v>2019</v>
      </c>
      <c r="E410" s="57">
        <v>2020</v>
      </c>
      <c r="F410" s="59">
        <v>2021</v>
      </c>
      <c r="G410" s="57">
        <v>2022</v>
      </c>
      <c r="H410" s="57">
        <v>2023</v>
      </c>
    </row>
    <row r="411" spans="1:8" x14ac:dyDescent="0.25">
      <c r="A411" s="6" t="s">
        <v>23</v>
      </c>
      <c r="B411" s="54"/>
      <c r="C411" s="54"/>
      <c r="D411" s="54"/>
      <c r="E411" s="54"/>
      <c r="F411" s="54"/>
      <c r="G411" s="54"/>
      <c r="H411" s="48"/>
    </row>
    <row r="412" spans="1:8" x14ac:dyDescent="0.25">
      <c r="A412" s="310" t="s">
        <v>120</v>
      </c>
      <c r="B412" s="309"/>
      <c r="C412" s="309"/>
      <c r="D412" s="309"/>
      <c r="E412" s="309"/>
      <c r="F412" s="309"/>
      <c r="G412" s="47"/>
      <c r="H412" s="110"/>
    </row>
    <row r="413" spans="1:8" x14ac:dyDescent="0.25">
      <c r="A413" s="310" t="s">
        <v>393</v>
      </c>
      <c r="B413" s="309"/>
      <c r="C413" s="309"/>
      <c r="D413" s="309"/>
      <c r="E413" s="309"/>
      <c r="F413" s="309"/>
      <c r="G413" s="47"/>
      <c r="H413" s="110"/>
    </row>
    <row r="414" spans="1:8" x14ac:dyDescent="0.25">
      <c r="A414" s="310" t="s">
        <v>393</v>
      </c>
      <c r="B414" s="309"/>
      <c r="C414" s="309"/>
      <c r="D414" s="309"/>
      <c r="E414" s="309"/>
      <c r="F414" s="309"/>
      <c r="G414" s="47"/>
      <c r="H414" s="110"/>
    </row>
    <row r="415" spans="1:8" x14ac:dyDescent="0.25">
      <c r="A415" s="312" t="s">
        <v>520</v>
      </c>
      <c r="B415" s="429"/>
      <c r="C415" s="429"/>
      <c r="D415" s="429"/>
      <c r="E415" s="429"/>
      <c r="F415" s="429"/>
      <c r="G415" s="12"/>
      <c r="H415" s="138"/>
    </row>
    <row r="416" spans="1:8" x14ac:dyDescent="0.25">
      <c r="A416" s="2"/>
      <c r="B416" s="2"/>
      <c r="C416" s="2"/>
      <c r="D416" s="2"/>
      <c r="E416" s="2"/>
      <c r="F416" s="2"/>
      <c r="G416" s="2"/>
    </row>
    <row r="417" spans="1:8" x14ac:dyDescent="0.25">
      <c r="A417" s="3" t="s">
        <v>14</v>
      </c>
      <c r="B417" s="4" t="s">
        <v>85</v>
      </c>
      <c r="C417" s="5" t="s">
        <v>15</v>
      </c>
      <c r="D417" s="2"/>
      <c r="E417" s="2"/>
      <c r="F417" s="2"/>
      <c r="G417" s="2"/>
    </row>
    <row r="418" spans="1:8" x14ac:dyDescent="0.25">
      <c r="A418" s="6" t="s">
        <v>16</v>
      </c>
      <c r="B418" s="303">
        <v>2015</v>
      </c>
      <c r="C418" s="304">
        <v>2016</v>
      </c>
      <c r="D418" s="303">
        <v>2017</v>
      </c>
      <c r="E418" s="305">
        <v>2018</v>
      </c>
      <c r="F418" s="305">
        <v>2019</v>
      </c>
      <c r="G418" s="303">
        <v>2020</v>
      </c>
      <c r="H418" s="303">
        <v>2021</v>
      </c>
    </row>
    <row r="419" spans="1:8" x14ac:dyDescent="0.25">
      <c r="A419" s="6" t="s">
        <v>17</v>
      </c>
      <c r="B419" s="94">
        <v>150</v>
      </c>
      <c r="C419" s="259">
        <v>150</v>
      </c>
      <c r="D419" s="94">
        <v>150</v>
      </c>
      <c r="E419" s="261">
        <v>150</v>
      </c>
      <c r="F419" s="261">
        <v>150</v>
      </c>
      <c r="G419" s="94">
        <v>126.2</v>
      </c>
      <c r="H419" s="94">
        <v>126.2</v>
      </c>
    </row>
    <row r="420" spans="1:8" x14ac:dyDescent="0.25">
      <c r="A420" s="6" t="s">
        <v>18</v>
      </c>
      <c r="B420" s="94">
        <v>165</v>
      </c>
      <c r="C420" s="259">
        <v>165</v>
      </c>
      <c r="D420" s="94">
        <v>165</v>
      </c>
      <c r="E420" s="261">
        <v>165</v>
      </c>
      <c r="F420" s="261">
        <v>165</v>
      </c>
      <c r="G420" s="94">
        <f>G419+0.1*E419</f>
        <v>141.19999999999999</v>
      </c>
      <c r="H420" s="94">
        <f>H419+0.1*F419</f>
        <v>141.19999999999999</v>
      </c>
    </row>
    <row r="421" spans="1:8" x14ac:dyDescent="0.25">
      <c r="A421" s="6" t="s">
        <v>19</v>
      </c>
      <c r="B421" s="55" t="s">
        <v>121</v>
      </c>
      <c r="C421" s="55" t="s">
        <v>121</v>
      </c>
      <c r="D421" s="55" t="s">
        <v>121</v>
      </c>
      <c r="E421" s="56" t="s">
        <v>121</v>
      </c>
      <c r="F421" s="56" t="s">
        <v>121</v>
      </c>
      <c r="G421" s="56" t="s">
        <v>394</v>
      </c>
      <c r="H421" s="56" t="s">
        <v>394</v>
      </c>
    </row>
    <row r="422" spans="1:8" x14ac:dyDescent="0.25">
      <c r="A422" s="6" t="s">
        <v>20</v>
      </c>
      <c r="B422" s="94">
        <v>61</v>
      </c>
      <c r="C422" s="259">
        <v>75</v>
      </c>
      <c r="D422" s="94">
        <v>73</v>
      </c>
      <c r="E422" s="94">
        <v>74</v>
      </c>
      <c r="F422" s="261">
        <v>40</v>
      </c>
      <c r="G422" s="242">
        <v>112.4</v>
      </c>
      <c r="H422" s="94"/>
    </row>
    <row r="423" spans="1:8" x14ac:dyDescent="0.25">
      <c r="A423" s="6" t="s">
        <v>21</v>
      </c>
      <c r="B423" s="94">
        <v>104</v>
      </c>
      <c r="C423" s="259">
        <v>90</v>
      </c>
      <c r="D423" s="94">
        <v>92</v>
      </c>
      <c r="E423" s="94">
        <v>91</v>
      </c>
      <c r="F423" s="261">
        <f>F420-F422</f>
        <v>125</v>
      </c>
      <c r="G423" s="242">
        <f>G420-G422</f>
        <v>28.799999999999983</v>
      </c>
      <c r="H423" s="94"/>
    </row>
    <row r="424" spans="1:8" x14ac:dyDescent="0.25">
      <c r="A424" s="8" t="s">
        <v>22</v>
      </c>
      <c r="B424" s="57">
        <v>2017</v>
      </c>
      <c r="C424" s="58">
        <v>2018</v>
      </c>
      <c r="D424" s="57">
        <v>2019</v>
      </c>
      <c r="E424" s="57">
        <v>2020</v>
      </c>
      <c r="F424" s="59">
        <v>2021</v>
      </c>
      <c r="G424" s="57" t="s">
        <v>173</v>
      </c>
      <c r="H424" s="57" t="s">
        <v>173</v>
      </c>
    </row>
    <row r="425" spans="1:8" x14ac:dyDescent="0.25">
      <c r="A425" s="6" t="s">
        <v>23</v>
      </c>
      <c r="B425" s="54"/>
      <c r="C425" s="54"/>
      <c r="D425" s="54"/>
      <c r="E425" s="54"/>
      <c r="F425" s="54"/>
      <c r="G425" s="54"/>
      <c r="H425" s="311"/>
    </row>
    <row r="426" spans="1:8" x14ac:dyDescent="0.25">
      <c r="A426" s="858" t="s">
        <v>122</v>
      </c>
      <c r="B426" s="859"/>
      <c r="C426" s="859"/>
      <c r="D426" s="859"/>
      <c r="E426" s="859"/>
      <c r="F426" s="859"/>
      <c r="G426" s="47"/>
      <c r="H426" s="110"/>
    </row>
    <row r="427" spans="1:8" x14ac:dyDescent="0.25">
      <c r="A427" s="452" t="s">
        <v>395</v>
      </c>
      <c r="B427" s="428"/>
      <c r="C427" s="428"/>
      <c r="D427" s="428"/>
      <c r="E427" s="428"/>
      <c r="F427" s="428"/>
      <c r="G427" s="47"/>
      <c r="H427" s="110"/>
    </row>
    <row r="428" spans="1:8" x14ac:dyDescent="0.25">
      <c r="A428" s="312" t="s">
        <v>523</v>
      </c>
      <c r="B428" s="429"/>
      <c r="C428" s="429"/>
      <c r="D428" s="429"/>
      <c r="E428" s="429"/>
      <c r="F428" s="429"/>
      <c r="G428" s="12"/>
      <c r="H428" s="138"/>
    </row>
    <row r="429" spans="1:8" x14ac:dyDescent="0.25">
      <c r="A429" s="2"/>
      <c r="B429" s="2"/>
      <c r="C429" s="2"/>
      <c r="D429" s="2"/>
      <c r="E429" s="2"/>
      <c r="F429" s="2"/>
      <c r="G429" s="2"/>
    </row>
    <row r="430" spans="1:8" x14ac:dyDescent="0.25">
      <c r="A430" s="3" t="s">
        <v>14</v>
      </c>
      <c r="B430" s="4" t="s">
        <v>90</v>
      </c>
      <c r="C430" s="5" t="s">
        <v>15</v>
      </c>
      <c r="D430" s="2"/>
      <c r="E430" s="2"/>
      <c r="F430" s="2"/>
      <c r="G430" s="2"/>
    </row>
    <row r="431" spans="1:8" x14ac:dyDescent="0.25">
      <c r="A431" s="6" t="s">
        <v>16</v>
      </c>
      <c r="B431" s="303">
        <v>2015</v>
      </c>
      <c r="C431" s="304">
        <v>2016</v>
      </c>
      <c r="D431" s="303">
        <v>2017</v>
      </c>
      <c r="E431" s="305">
        <v>2018</v>
      </c>
      <c r="F431" s="305">
        <v>2019</v>
      </c>
      <c r="G431" s="303">
        <v>2020</v>
      </c>
      <c r="H431" s="750">
        <v>2021</v>
      </c>
    </row>
    <row r="432" spans="1:8" x14ac:dyDescent="0.25">
      <c r="A432" s="6" t="s">
        <v>17</v>
      </c>
      <c r="B432" s="94">
        <v>50</v>
      </c>
      <c r="C432" s="259">
        <v>50</v>
      </c>
      <c r="D432" s="94">
        <v>50</v>
      </c>
      <c r="E432" s="261">
        <v>50</v>
      </c>
      <c r="F432" s="261">
        <v>50</v>
      </c>
      <c r="G432" s="94">
        <v>50</v>
      </c>
      <c r="H432" s="94">
        <v>50</v>
      </c>
    </row>
    <row r="433" spans="1:8" x14ac:dyDescent="0.25">
      <c r="A433" s="6" t="s">
        <v>18</v>
      </c>
      <c r="B433" s="94">
        <v>55</v>
      </c>
      <c r="C433" s="259">
        <v>55</v>
      </c>
      <c r="D433" s="94">
        <v>55</v>
      </c>
      <c r="E433" s="261">
        <v>55</v>
      </c>
      <c r="F433" s="261">
        <v>55</v>
      </c>
      <c r="G433" s="94">
        <f>G432*1.1</f>
        <v>55.000000000000007</v>
      </c>
      <c r="H433" s="94">
        <f>H432*1.1</f>
        <v>55.000000000000007</v>
      </c>
    </row>
    <row r="434" spans="1:8" x14ac:dyDescent="0.25">
      <c r="A434" s="6" t="s">
        <v>19</v>
      </c>
      <c r="B434" s="55" t="s">
        <v>123</v>
      </c>
      <c r="C434" s="55" t="s">
        <v>123</v>
      </c>
      <c r="D434" s="55" t="s">
        <v>123</v>
      </c>
      <c r="E434" s="56" t="s">
        <v>123</v>
      </c>
      <c r="F434" s="56" t="s">
        <v>123</v>
      </c>
      <c r="G434" s="56" t="s">
        <v>123</v>
      </c>
      <c r="H434" s="56" t="s">
        <v>123</v>
      </c>
    </row>
    <row r="435" spans="1:8" x14ac:dyDescent="0.25">
      <c r="A435" s="6" t="s">
        <v>20</v>
      </c>
      <c r="B435" s="94">
        <v>12</v>
      </c>
      <c r="C435" s="259">
        <v>11</v>
      </c>
      <c r="D435" s="94">
        <v>7</v>
      </c>
      <c r="E435" s="65">
        <v>9</v>
      </c>
      <c r="F435" s="261">
        <v>3</v>
      </c>
      <c r="G435" s="94">
        <v>17.72</v>
      </c>
      <c r="H435" s="94"/>
    </row>
    <row r="436" spans="1:8" x14ac:dyDescent="0.25">
      <c r="A436" s="6" t="s">
        <v>21</v>
      </c>
      <c r="B436" s="94">
        <v>43</v>
      </c>
      <c r="C436" s="259">
        <v>44</v>
      </c>
      <c r="D436" s="94">
        <v>48</v>
      </c>
      <c r="E436" s="65">
        <v>46</v>
      </c>
      <c r="F436" s="261">
        <f>F433-F435</f>
        <v>52</v>
      </c>
      <c r="G436" s="94">
        <f>G433-G435</f>
        <v>37.280000000000008</v>
      </c>
      <c r="H436" s="94"/>
    </row>
    <row r="437" spans="1:8" x14ac:dyDescent="0.25">
      <c r="A437" s="8" t="s">
        <v>22</v>
      </c>
      <c r="B437" s="57">
        <v>2017</v>
      </c>
      <c r="C437" s="58">
        <v>2018</v>
      </c>
      <c r="D437" s="57">
        <v>2019</v>
      </c>
      <c r="E437" s="57">
        <v>2020</v>
      </c>
      <c r="F437" s="59">
        <v>2021</v>
      </c>
      <c r="G437" s="57" t="s">
        <v>173</v>
      </c>
      <c r="H437" s="57" t="s">
        <v>173</v>
      </c>
    </row>
    <row r="438" spans="1:8" s="108" customFormat="1" x14ac:dyDescent="0.25">
      <c r="A438" s="6" t="s">
        <v>23</v>
      </c>
      <c r="B438" s="54"/>
      <c r="C438" s="54"/>
      <c r="D438" s="54"/>
      <c r="E438" s="54"/>
      <c r="F438" s="54"/>
      <c r="G438" s="317"/>
      <c r="H438" s="311"/>
    </row>
    <row r="439" spans="1:8" s="108" customFormat="1" x14ac:dyDescent="0.25">
      <c r="A439" s="858" t="s">
        <v>124</v>
      </c>
      <c r="B439" s="859"/>
      <c r="C439" s="859"/>
      <c r="D439" s="859"/>
      <c r="E439" s="859"/>
      <c r="F439" s="859"/>
      <c r="H439" s="110"/>
    </row>
    <row r="440" spans="1:8" s="108" customFormat="1" x14ac:dyDescent="0.25">
      <c r="A440" s="452" t="s">
        <v>396</v>
      </c>
      <c r="B440" s="428"/>
      <c r="C440" s="428"/>
      <c r="D440" s="428"/>
      <c r="E440" s="428"/>
      <c r="F440" s="428"/>
      <c r="H440" s="110"/>
    </row>
    <row r="441" spans="1:8" s="108" customFormat="1" x14ac:dyDescent="0.25">
      <c r="A441" s="312" t="s">
        <v>524</v>
      </c>
      <c r="B441" s="301"/>
      <c r="C441" s="301"/>
      <c r="D441" s="301"/>
      <c r="E441" s="301"/>
      <c r="F441" s="301"/>
      <c r="G441" s="137"/>
      <c r="H441" s="138"/>
    </row>
    <row r="444" spans="1:8" x14ac:dyDescent="0.25">
      <c r="A444" s="620" t="s">
        <v>12</v>
      </c>
      <c r="B444" s="724" t="s">
        <v>269</v>
      </c>
      <c r="C444" s="178"/>
    </row>
    <row r="445" spans="1:8" x14ac:dyDescent="0.25">
      <c r="A445" s="269" t="s">
        <v>14</v>
      </c>
      <c r="B445" s="231" t="s">
        <v>220</v>
      </c>
      <c r="C445" s="78" t="s">
        <v>164</v>
      </c>
      <c r="D445" s="71"/>
      <c r="E445" s="71"/>
      <c r="F445" s="71"/>
      <c r="G445" s="71"/>
    </row>
    <row r="446" spans="1:8" x14ac:dyDescent="0.25">
      <c r="A446" s="81" t="s">
        <v>16</v>
      </c>
      <c r="B446" s="621"/>
      <c r="C446" s="319">
        <v>2015</v>
      </c>
      <c r="D446" s="319">
        <v>2016</v>
      </c>
      <c r="E446" s="319" t="s">
        <v>264</v>
      </c>
      <c r="F446" s="319" t="s">
        <v>265</v>
      </c>
      <c r="G446" s="319" t="s">
        <v>266</v>
      </c>
      <c r="H446" s="319" t="s">
        <v>316</v>
      </c>
    </row>
    <row r="447" spans="1:8" x14ac:dyDescent="0.25">
      <c r="A447" s="73" t="s">
        <v>17</v>
      </c>
      <c r="B447" s="74"/>
      <c r="C447" s="126">
        <v>50</v>
      </c>
      <c r="D447" s="126">
        <v>50</v>
      </c>
      <c r="E447" s="126">
        <v>50</v>
      </c>
      <c r="F447" s="235">
        <v>50</v>
      </c>
      <c r="G447" s="235">
        <v>50</v>
      </c>
      <c r="H447" s="235">
        <v>50</v>
      </c>
    </row>
    <row r="448" spans="1:8" x14ac:dyDescent="0.25">
      <c r="A448" s="73" t="s">
        <v>18</v>
      </c>
      <c r="B448" s="122"/>
      <c r="C448" s="126">
        <v>75</v>
      </c>
      <c r="D448" s="126">
        <v>75</v>
      </c>
      <c r="E448" s="126">
        <v>75</v>
      </c>
      <c r="F448" s="235">
        <v>70</v>
      </c>
      <c r="G448" s="235">
        <v>70</v>
      </c>
      <c r="H448" s="235">
        <f>H447+F451</f>
        <v>62.6</v>
      </c>
    </row>
    <row r="449" spans="1:8" x14ac:dyDescent="0.25">
      <c r="A449" s="73" t="s">
        <v>19</v>
      </c>
      <c r="B449" s="123"/>
      <c r="C449" s="124" t="s">
        <v>153</v>
      </c>
      <c r="D449" s="124" t="s">
        <v>153</v>
      </c>
      <c r="E449" s="124" t="s">
        <v>153</v>
      </c>
      <c r="F449" s="80" t="s">
        <v>267</v>
      </c>
      <c r="G449" s="80" t="s">
        <v>267</v>
      </c>
      <c r="H449" s="238" t="s">
        <v>365</v>
      </c>
    </row>
    <row r="450" spans="1:8" x14ac:dyDescent="0.25">
      <c r="A450" s="73" t="s">
        <v>20</v>
      </c>
      <c r="B450" s="74"/>
      <c r="C450" s="126">
        <v>0</v>
      </c>
      <c r="D450" s="126">
        <v>27.449000000000002</v>
      </c>
      <c r="E450" s="126">
        <v>21.13</v>
      </c>
      <c r="F450" s="235">
        <v>57.4</v>
      </c>
      <c r="G450" s="235">
        <v>21.8</v>
      </c>
      <c r="H450" s="235">
        <v>27.576000000000001</v>
      </c>
    </row>
    <row r="451" spans="1:8" x14ac:dyDescent="0.25">
      <c r="A451" s="73" t="s">
        <v>21</v>
      </c>
      <c r="B451" s="74"/>
      <c r="C451" s="126">
        <v>75</v>
      </c>
      <c r="D451" s="126">
        <f>D448-D450</f>
        <v>47.551000000000002</v>
      </c>
      <c r="E451" s="126">
        <f>E448-E450</f>
        <v>53.870000000000005</v>
      </c>
      <c r="F451" s="235">
        <f>F448-F450</f>
        <v>12.600000000000001</v>
      </c>
      <c r="G451" s="235">
        <f>G448-G450</f>
        <v>48.2</v>
      </c>
      <c r="H451" s="235">
        <f>H448-H450</f>
        <v>35.024000000000001</v>
      </c>
    </row>
    <row r="452" spans="1:8" x14ac:dyDescent="0.25">
      <c r="A452" s="73" t="s">
        <v>22</v>
      </c>
      <c r="B452" s="74"/>
      <c r="C452" s="319">
        <v>2017</v>
      </c>
      <c r="D452" s="319">
        <v>2018</v>
      </c>
      <c r="E452" s="319">
        <v>2019</v>
      </c>
      <c r="F452" s="326">
        <v>2020</v>
      </c>
      <c r="G452" s="326">
        <v>2021</v>
      </c>
      <c r="H452" s="326">
        <v>2022</v>
      </c>
    </row>
    <row r="453" spans="1:8" ht="39.6" customHeight="1" x14ac:dyDescent="0.25">
      <c r="A453" s="838" t="s">
        <v>268</v>
      </c>
      <c r="B453" s="839"/>
      <c r="C453" s="839"/>
      <c r="D453" s="839"/>
      <c r="E453" s="839"/>
      <c r="F453" s="839"/>
      <c r="G453" s="839"/>
      <c r="H453" s="840"/>
    </row>
    <row r="454" spans="1:8" x14ac:dyDescent="0.25">
      <c r="A454" s="157"/>
      <c r="B454" s="157"/>
      <c r="C454" s="157"/>
      <c r="D454" s="157"/>
      <c r="E454" s="157"/>
      <c r="F454" s="157"/>
      <c r="G454" s="157"/>
    </row>
    <row r="455" spans="1:8" x14ac:dyDescent="0.25">
      <c r="A455" s="623" t="s">
        <v>14</v>
      </c>
      <c r="B455" s="143" t="s">
        <v>226</v>
      </c>
      <c r="C455" s="18" t="s">
        <v>164</v>
      </c>
      <c r="D455" s="26"/>
      <c r="E455" s="26"/>
      <c r="F455" s="26"/>
      <c r="G455" s="26"/>
      <c r="H455" s="2"/>
    </row>
    <row r="456" spans="1:8" x14ac:dyDescent="0.25">
      <c r="A456" s="151" t="s">
        <v>16</v>
      </c>
      <c r="B456" s="622"/>
      <c r="C456" s="443">
        <v>2015</v>
      </c>
      <c r="D456" s="443">
        <v>2016</v>
      </c>
      <c r="E456" s="443" t="s">
        <v>264</v>
      </c>
      <c r="F456" s="443" t="s">
        <v>265</v>
      </c>
      <c r="G456" s="443" t="s">
        <v>266</v>
      </c>
      <c r="H456" s="443" t="s">
        <v>316</v>
      </c>
    </row>
    <row r="457" spans="1:8" x14ac:dyDescent="0.25">
      <c r="A457" s="29" t="s">
        <v>17</v>
      </c>
      <c r="B457" s="20"/>
      <c r="C457" s="148">
        <v>125</v>
      </c>
      <c r="D457" s="148">
        <v>125</v>
      </c>
      <c r="E457" s="148">
        <v>125</v>
      </c>
      <c r="F457" s="148">
        <v>125</v>
      </c>
      <c r="G457" s="148">
        <v>125</v>
      </c>
      <c r="H457" s="148">
        <v>125</v>
      </c>
    </row>
    <row r="458" spans="1:8" x14ac:dyDescent="0.25">
      <c r="A458" s="29" t="s">
        <v>18</v>
      </c>
      <c r="B458" s="122"/>
      <c r="C458" s="148">
        <f>C457*1.3</f>
        <v>162.5</v>
      </c>
      <c r="D458" s="148">
        <f>D457*1.3+25</f>
        <v>187.5</v>
      </c>
      <c r="E458" s="148">
        <f t="shared" ref="E458" si="11">E457*1.3+25</f>
        <v>187.5</v>
      </c>
      <c r="F458" s="148">
        <f>F457*1.2+25</f>
        <v>175</v>
      </c>
      <c r="G458" s="148">
        <f t="shared" ref="G458:H458" si="12">G457*1.2+25</f>
        <v>175</v>
      </c>
      <c r="H458" s="148">
        <f t="shared" si="12"/>
        <v>175</v>
      </c>
    </row>
    <row r="459" spans="1:8" x14ac:dyDescent="0.25">
      <c r="A459" s="29" t="s">
        <v>19</v>
      </c>
      <c r="B459" s="123"/>
      <c r="C459" s="444" t="s">
        <v>369</v>
      </c>
      <c r="D459" s="444" t="s">
        <v>370</v>
      </c>
      <c r="E459" s="444" t="s">
        <v>370</v>
      </c>
      <c r="F459" s="444" t="s">
        <v>371</v>
      </c>
      <c r="G459" s="444" t="s">
        <v>371</v>
      </c>
      <c r="H459" s="444" t="s">
        <v>371</v>
      </c>
    </row>
    <row r="460" spans="1:8" x14ac:dyDescent="0.25">
      <c r="A460" s="29" t="s">
        <v>20</v>
      </c>
      <c r="B460" s="20"/>
      <c r="C460" s="148">
        <v>41.9</v>
      </c>
      <c r="D460" s="148">
        <v>25.21</v>
      </c>
      <c r="E460" s="148">
        <v>16.8</v>
      </c>
      <c r="F460" s="144">
        <v>46.8</v>
      </c>
      <c r="G460" s="144">
        <v>101.46</v>
      </c>
      <c r="H460" s="144">
        <v>17.2</v>
      </c>
    </row>
    <row r="461" spans="1:8" x14ac:dyDescent="0.25">
      <c r="A461" s="29" t="s">
        <v>21</v>
      </c>
      <c r="B461" s="20"/>
      <c r="C461" s="148">
        <f>C458-C460</f>
        <v>120.6</v>
      </c>
      <c r="D461" s="148">
        <f t="shared" ref="D461:G461" si="13">D458-D460</f>
        <v>162.29</v>
      </c>
      <c r="E461" s="148">
        <f t="shared" si="13"/>
        <v>170.7</v>
      </c>
      <c r="F461" s="148">
        <f t="shared" si="13"/>
        <v>128.19999999999999</v>
      </c>
      <c r="G461" s="148">
        <f t="shared" si="13"/>
        <v>73.540000000000006</v>
      </c>
      <c r="H461" s="144">
        <f>H458-H460</f>
        <v>157.80000000000001</v>
      </c>
    </row>
    <row r="462" spans="1:8" x14ac:dyDescent="0.25">
      <c r="A462" s="149" t="s">
        <v>22</v>
      </c>
      <c r="B462" s="156"/>
      <c r="C462" s="445">
        <v>2017</v>
      </c>
      <c r="D462" s="445">
        <v>2018</v>
      </c>
      <c r="E462" s="445">
        <v>2019</v>
      </c>
      <c r="F462" s="446">
        <v>2020</v>
      </c>
      <c r="G462" s="446">
        <v>2021</v>
      </c>
      <c r="H462" s="446">
        <v>2022</v>
      </c>
    </row>
    <row r="463" spans="1:8" x14ac:dyDescent="0.25">
      <c r="A463" s="835" t="s">
        <v>367</v>
      </c>
      <c r="B463" s="836"/>
      <c r="C463" s="836"/>
      <c r="D463" s="836"/>
      <c r="E463" s="836"/>
      <c r="F463" s="836"/>
      <c r="G463" s="836"/>
      <c r="H463" s="837"/>
    </row>
    <row r="464" spans="1:8" x14ac:dyDescent="0.25">
      <c r="A464" s="424" t="s">
        <v>368</v>
      </c>
      <c r="B464" s="447"/>
      <c r="C464" s="447"/>
      <c r="D464" s="447"/>
      <c r="E464" s="447"/>
      <c r="F464" s="447"/>
      <c r="G464" s="447"/>
      <c r="H464" s="50"/>
    </row>
    <row r="465" spans="1:8" ht="13.2" customHeight="1" x14ac:dyDescent="0.25">
      <c r="A465" s="424" t="s">
        <v>366</v>
      </c>
      <c r="B465" s="447"/>
      <c r="C465" s="447"/>
      <c r="D465" s="447"/>
      <c r="E465" s="447"/>
      <c r="F465" s="447"/>
      <c r="G465" s="447"/>
      <c r="H465" s="50"/>
    </row>
    <row r="466" spans="1:8" x14ac:dyDescent="0.25">
      <c r="A466" s="448"/>
      <c r="B466" s="449"/>
      <c r="C466" s="449"/>
      <c r="D466" s="449"/>
      <c r="E466" s="449"/>
      <c r="F466" s="449"/>
      <c r="G466" s="449"/>
      <c r="H466" s="13"/>
    </row>
    <row r="467" spans="1:8" x14ac:dyDescent="0.25">
      <c r="A467" s="157"/>
      <c r="B467" s="157"/>
      <c r="C467" s="157"/>
      <c r="D467" s="157"/>
      <c r="E467" s="157"/>
      <c r="F467" s="157"/>
      <c r="G467" s="157"/>
    </row>
    <row r="468" spans="1:8" x14ac:dyDescent="0.25">
      <c r="A468" s="157"/>
      <c r="B468" s="157"/>
      <c r="C468" s="157"/>
      <c r="D468" s="157"/>
      <c r="E468" s="157"/>
      <c r="F468" s="157"/>
      <c r="G468" s="157"/>
    </row>
    <row r="469" spans="1:8" x14ac:dyDescent="0.25">
      <c r="A469" s="620" t="s">
        <v>12</v>
      </c>
      <c r="B469" s="724" t="s">
        <v>285</v>
      </c>
      <c r="C469" s="178"/>
    </row>
    <row r="470" spans="1:8" x14ac:dyDescent="0.25">
      <c r="A470" s="623" t="s">
        <v>14</v>
      </c>
      <c r="B470" s="143" t="s">
        <v>76</v>
      </c>
      <c r="C470" s="143" t="s">
        <v>164</v>
      </c>
      <c r="D470" s="159"/>
      <c r="E470" s="159"/>
      <c r="F470" s="159"/>
      <c r="G470" s="159"/>
    </row>
    <row r="471" spans="1:8" x14ac:dyDescent="0.25">
      <c r="A471" s="624" t="s">
        <v>16</v>
      </c>
      <c r="B471" s="625" t="s">
        <v>265</v>
      </c>
      <c r="C471" s="327" t="s">
        <v>266</v>
      </c>
      <c r="D471" s="327" t="s">
        <v>316</v>
      </c>
    </row>
    <row r="472" spans="1:8" x14ac:dyDescent="0.25">
      <c r="A472" s="145" t="s">
        <v>17</v>
      </c>
      <c r="B472" s="144" t="s">
        <v>57</v>
      </c>
      <c r="C472" s="144" t="s">
        <v>57</v>
      </c>
      <c r="D472" s="144">
        <v>1552.77</v>
      </c>
    </row>
    <row r="473" spans="1:8" x14ac:dyDescent="0.25">
      <c r="A473" s="145" t="s">
        <v>18</v>
      </c>
      <c r="B473" s="144" t="s">
        <v>57</v>
      </c>
      <c r="C473" s="144" t="s">
        <v>57</v>
      </c>
      <c r="D473" s="144"/>
    </row>
    <row r="474" spans="1:8" x14ac:dyDescent="0.25">
      <c r="A474" s="145" t="s">
        <v>19</v>
      </c>
      <c r="B474" s="431"/>
      <c r="C474" s="431"/>
      <c r="D474" s="431"/>
    </row>
    <row r="475" spans="1:8" x14ac:dyDescent="0.25">
      <c r="A475" s="145" t="s">
        <v>20</v>
      </c>
      <c r="B475" s="287">
        <v>2633.56</v>
      </c>
      <c r="C475" s="287">
        <v>2463.83</v>
      </c>
      <c r="D475" s="287">
        <v>1518.43</v>
      </c>
    </row>
    <row r="476" spans="1:8" x14ac:dyDescent="0.25">
      <c r="A476" s="145" t="s">
        <v>21</v>
      </c>
      <c r="B476" s="144" t="s">
        <v>57</v>
      </c>
      <c r="C476" s="144" t="s">
        <v>57</v>
      </c>
      <c r="D476" s="287">
        <f>D472-D475</f>
        <v>34.339999999999918</v>
      </c>
    </row>
    <row r="477" spans="1:8" x14ac:dyDescent="0.25">
      <c r="A477" s="146" t="s">
        <v>22</v>
      </c>
      <c r="B477" s="147"/>
      <c r="C477" s="147"/>
      <c r="D477" s="147"/>
    </row>
    <row r="478" spans="1:8" ht="37.799999999999997" customHeight="1" x14ac:dyDescent="0.25">
      <c r="A478" s="838" t="s">
        <v>286</v>
      </c>
      <c r="B478" s="839"/>
      <c r="C478" s="839"/>
      <c r="D478" s="840"/>
      <c r="E478" s="125"/>
      <c r="F478" s="125"/>
      <c r="G478" s="125"/>
      <c r="H478" s="125"/>
    </row>
    <row r="480" spans="1:8" ht="13.2" customHeight="1" x14ac:dyDescent="0.25"/>
    <row r="481" spans="1:13" x14ac:dyDescent="0.25">
      <c r="A481" s="620" t="s">
        <v>12</v>
      </c>
      <c r="B481" s="724" t="s">
        <v>48</v>
      </c>
      <c r="C481" s="178"/>
      <c r="D481" s="2"/>
      <c r="E481" s="2"/>
      <c r="F481" s="2"/>
      <c r="G481" s="2"/>
      <c r="H481" s="2"/>
    </row>
    <row r="482" spans="1:13" x14ac:dyDescent="0.25">
      <c r="A482" s="3" t="s">
        <v>14</v>
      </c>
      <c r="B482" s="629" t="s">
        <v>224</v>
      </c>
      <c r="C482" s="4" t="s">
        <v>15</v>
      </c>
      <c r="D482" s="2"/>
      <c r="E482" s="2"/>
      <c r="F482" s="2"/>
      <c r="G482" s="2"/>
      <c r="H482" s="2"/>
    </row>
    <row r="483" spans="1:13" x14ac:dyDescent="0.25">
      <c r="A483" s="11" t="s">
        <v>16</v>
      </c>
      <c r="B483" s="626">
        <v>2014</v>
      </c>
      <c r="C483" s="60">
        <v>2015</v>
      </c>
      <c r="D483" s="60">
        <v>2016</v>
      </c>
      <c r="E483" s="60">
        <v>2017</v>
      </c>
      <c r="F483" s="60">
        <v>2018</v>
      </c>
      <c r="G483" s="60">
        <v>2019</v>
      </c>
      <c r="H483" s="60">
        <v>2020</v>
      </c>
      <c r="I483" s="60">
        <v>2021</v>
      </c>
      <c r="J483" s="60">
        <v>2022</v>
      </c>
    </row>
    <row r="484" spans="1:13" x14ac:dyDescent="0.25">
      <c r="A484" s="6" t="s">
        <v>17</v>
      </c>
      <c r="B484" s="62">
        <v>21551.3</v>
      </c>
      <c r="C484" s="62">
        <v>21551.3</v>
      </c>
      <c r="D484" s="62">
        <v>21551.3</v>
      </c>
      <c r="E484" s="62">
        <v>21551.3</v>
      </c>
      <c r="F484" s="62">
        <v>25861.599999999999</v>
      </c>
      <c r="G484" s="62">
        <v>25861.599999999999</v>
      </c>
      <c r="H484" s="62">
        <v>25861.599999999999</v>
      </c>
      <c r="I484" s="130">
        <v>29095.1</v>
      </c>
      <c r="J484" s="130" t="s">
        <v>77</v>
      </c>
    </row>
    <row r="485" spans="1:13" x14ac:dyDescent="0.25">
      <c r="A485" s="6" t="s">
        <v>18</v>
      </c>
      <c r="B485" s="62">
        <v>26534.959999999999</v>
      </c>
      <c r="C485" s="62">
        <v>26939.13</v>
      </c>
      <c r="D485" s="62">
        <v>24541.7</v>
      </c>
      <c r="E485" s="62">
        <v>26939.125</v>
      </c>
      <c r="F485" s="62">
        <v>26094.649999999998</v>
      </c>
      <c r="G485" s="62">
        <v>29536.849000000002</v>
      </c>
      <c r="H485" s="62">
        <v>26869.420999999995</v>
      </c>
      <c r="I485" s="130">
        <f>I484+G488-434.04</f>
        <v>28121.021000000001</v>
      </c>
      <c r="J485" s="130"/>
      <c r="K485" s="173"/>
      <c r="L485" s="173"/>
      <c r="M485" s="173"/>
    </row>
    <row r="486" spans="1:13" ht="92.4" x14ac:dyDescent="0.25">
      <c r="A486" s="6" t="s">
        <v>19</v>
      </c>
      <c r="B486" s="63" t="s">
        <v>50</v>
      </c>
      <c r="C486" s="63" t="s">
        <v>51</v>
      </c>
      <c r="D486" s="63" t="s">
        <v>52</v>
      </c>
      <c r="E486" s="171" t="s">
        <v>53</v>
      </c>
      <c r="F486" s="171" t="s">
        <v>54</v>
      </c>
      <c r="G486" s="171" t="s">
        <v>55</v>
      </c>
      <c r="H486" s="171" t="s">
        <v>56</v>
      </c>
      <c r="I486" s="512" t="s">
        <v>547</v>
      </c>
      <c r="J486" s="512" t="s">
        <v>548</v>
      </c>
    </row>
    <row r="487" spans="1:13" ht="12.6" customHeight="1" x14ac:dyDescent="0.25">
      <c r="A487" s="6" t="s">
        <v>20</v>
      </c>
      <c r="B487" s="65">
        <v>23544.560000000001</v>
      </c>
      <c r="C487" s="65">
        <v>20891.8</v>
      </c>
      <c r="D487" s="65">
        <v>24308.65</v>
      </c>
      <c r="E487" s="65">
        <v>23263.875999999997</v>
      </c>
      <c r="F487" s="65">
        <v>25086.829000000002</v>
      </c>
      <c r="G487" s="113">
        <v>30076.887999999999</v>
      </c>
      <c r="H487" s="113">
        <v>25580.704000000002</v>
      </c>
      <c r="I487" s="130"/>
      <c r="J487" s="130"/>
    </row>
    <row r="488" spans="1:13" x14ac:dyDescent="0.25">
      <c r="A488" s="6" t="s">
        <v>21</v>
      </c>
      <c r="B488" s="65">
        <v>2990.4</v>
      </c>
      <c r="C488" s="65">
        <v>6047.33</v>
      </c>
      <c r="D488" s="65">
        <v>233.04999999999927</v>
      </c>
      <c r="E488" s="65">
        <v>3675.2490000000034</v>
      </c>
      <c r="F488" s="65">
        <v>1007.8209999999963</v>
      </c>
      <c r="G488" s="113">
        <f>G485-G487</f>
        <v>-540.03899999999703</v>
      </c>
      <c r="H488" s="113">
        <f>H485-H487</f>
        <v>1288.7169999999933</v>
      </c>
      <c r="I488" s="130"/>
      <c r="J488" s="130"/>
    </row>
    <row r="489" spans="1:13" x14ac:dyDescent="0.25">
      <c r="A489" s="8" t="s">
        <v>22</v>
      </c>
      <c r="B489" s="391">
        <v>2016</v>
      </c>
      <c r="C489" s="391">
        <v>2017</v>
      </c>
      <c r="D489" s="391">
        <v>2018</v>
      </c>
      <c r="E489" s="391">
        <v>2019</v>
      </c>
      <c r="F489" s="391">
        <v>2020</v>
      </c>
      <c r="G489" s="391">
        <v>2021</v>
      </c>
      <c r="H489" s="391">
        <v>2022</v>
      </c>
      <c r="I489" s="316">
        <v>2023</v>
      </c>
      <c r="J489" s="316">
        <v>2024</v>
      </c>
    </row>
    <row r="490" spans="1:13" x14ac:dyDescent="0.25">
      <c r="A490" s="8" t="s">
        <v>545</v>
      </c>
      <c r="B490" s="508"/>
      <c r="C490" s="508"/>
      <c r="D490" s="508"/>
      <c r="E490" s="508"/>
      <c r="F490" s="508"/>
      <c r="G490" s="508"/>
      <c r="H490" s="508"/>
      <c r="I490" s="509"/>
      <c r="J490" s="248"/>
    </row>
    <row r="491" spans="1:13" x14ac:dyDescent="0.25">
      <c r="A491" s="49" t="s">
        <v>546</v>
      </c>
      <c r="B491" s="506"/>
      <c r="C491" s="506"/>
      <c r="D491" s="506"/>
      <c r="E491" s="506"/>
      <c r="F491" s="506"/>
      <c r="G491" s="506"/>
      <c r="H491" s="506"/>
      <c r="I491" s="507"/>
      <c r="J491" s="110"/>
    </row>
    <row r="492" spans="1:13" x14ac:dyDescent="0.25">
      <c r="A492" s="49" t="s">
        <v>549</v>
      </c>
      <c r="B492" s="506"/>
      <c r="C492" s="506"/>
      <c r="D492" s="506"/>
      <c r="E492" s="506"/>
      <c r="F492" s="506"/>
      <c r="G492" s="506"/>
      <c r="H492" s="506"/>
      <c r="I492" s="507"/>
      <c r="J492" s="110"/>
    </row>
    <row r="493" spans="1:13" x14ac:dyDescent="0.25">
      <c r="A493" s="11" t="s">
        <v>550</v>
      </c>
      <c r="B493" s="513"/>
      <c r="C493" s="513"/>
      <c r="D493" s="513"/>
      <c r="E493" s="513"/>
      <c r="F493" s="513"/>
      <c r="G493" s="513"/>
      <c r="H493" s="513"/>
      <c r="I493" s="514"/>
      <c r="J493" s="138"/>
    </row>
    <row r="495" spans="1:13" x14ac:dyDescent="0.25">
      <c r="A495" s="3" t="s">
        <v>14</v>
      </c>
      <c r="B495" s="629" t="s">
        <v>225</v>
      </c>
      <c r="C495" s="4" t="s">
        <v>15</v>
      </c>
      <c r="D495" s="2"/>
      <c r="E495" s="2"/>
      <c r="F495" s="2"/>
      <c r="G495" s="2"/>
      <c r="H495" s="2"/>
    </row>
    <row r="496" spans="1:13" x14ac:dyDescent="0.25">
      <c r="A496" s="11" t="s">
        <v>16</v>
      </c>
      <c r="B496" s="626">
        <v>2014</v>
      </c>
      <c r="C496" s="60">
        <v>2015</v>
      </c>
      <c r="D496" s="60">
        <v>2016</v>
      </c>
      <c r="E496" s="60">
        <v>2017</v>
      </c>
      <c r="F496" s="60">
        <v>2018</v>
      </c>
      <c r="G496" s="60">
        <v>2019</v>
      </c>
      <c r="H496" s="60">
        <v>2020</v>
      </c>
      <c r="I496" s="286">
        <v>2021</v>
      </c>
      <c r="J496" s="286">
        <v>2022</v>
      </c>
    </row>
    <row r="497" spans="1:10" x14ac:dyDescent="0.25">
      <c r="A497" s="6" t="s">
        <v>17</v>
      </c>
      <c r="B497" s="62">
        <v>1470</v>
      </c>
      <c r="C497" s="62">
        <v>1470</v>
      </c>
      <c r="D497" s="62">
        <v>1470</v>
      </c>
      <c r="E497" s="62">
        <v>1470</v>
      </c>
      <c r="F497" s="62">
        <v>1470</v>
      </c>
      <c r="G497" s="62">
        <v>1470</v>
      </c>
      <c r="H497" s="62">
        <v>1470</v>
      </c>
      <c r="I497" s="130">
        <v>1470</v>
      </c>
      <c r="J497" s="130">
        <v>1470</v>
      </c>
    </row>
    <row r="498" spans="1:10" x14ac:dyDescent="0.25">
      <c r="A498" s="6" t="s">
        <v>18</v>
      </c>
      <c r="B498" s="62">
        <v>1470</v>
      </c>
      <c r="C498" s="62">
        <v>1719</v>
      </c>
      <c r="D498" s="62">
        <v>1837.5</v>
      </c>
      <c r="E498" s="62">
        <v>1837.5</v>
      </c>
      <c r="F498" s="62">
        <v>1837.5</v>
      </c>
      <c r="G498" s="62">
        <v>1837.5</v>
      </c>
      <c r="H498" s="62">
        <v>1837.5</v>
      </c>
      <c r="I498" s="62">
        <f>+I497+G497*0.25</f>
        <v>1837.5</v>
      </c>
      <c r="J498" s="62">
        <f>+J497+H497*0.25</f>
        <v>1837.5</v>
      </c>
    </row>
    <row r="499" spans="1:10" ht="39.6" x14ac:dyDescent="0.25">
      <c r="A499" s="6" t="s">
        <v>19</v>
      </c>
      <c r="B499" s="63" t="s">
        <v>57</v>
      </c>
      <c r="C499" s="63" t="s">
        <v>58</v>
      </c>
      <c r="D499" s="63" t="s">
        <v>59</v>
      </c>
      <c r="E499" s="171" t="s">
        <v>53</v>
      </c>
      <c r="F499" s="171" t="s">
        <v>60</v>
      </c>
      <c r="G499" s="171" t="s">
        <v>61</v>
      </c>
      <c r="H499" s="171" t="s">
        <v>62</v>
      </c>
      <c r="I499" s="512" t="s">
        <v>292</v>
      </c>
      <c r="J499" s="512" t="s">
        <v>554</v>
      </c>
    </row>
    <row r="500" spans="1:10" x14ac:dyDescent="0.25">
      <c r="A500" s="6" t="s">
        <v>20</v>
      </c>
      <c r="B500" s="65">
        <v>335.36</v>
      </c>
      <c r="C500" s="65">
        <v>472.71</v>
      </c>
      <c r="D500" s="65">
        <v>54.77</v>
      </c>
      <c r="E500" s="65">
        <v>178.2</v>
      </c>
      <c r="F500" s="65">
        <v>102.81099999999999</v>
      </c>
      <c r="G500" s="171">
        <v>81.733813276999982</v>
      </c>
      <c r="H500" s="113">
        <v>60.466000000000008</v>
      </c>
      <c r="I500" s="130"/>
      <c r="J500" s="130"/>
    </row>
    <row r="501" spans="1:10" x14ac:dyDescent="0.25">
      <c r="A501" s="6" t="s">
        <v>21</v>
      </c>
      <c r="B501" s="65">
        <v>1135</v>
      </c>
      <c r="C501" s="65">
        <v>1246.29</v>
      </c>
      <c r="D501" s="65">
        <v>1782.73</v>
      </c>
      <c r="E501" s="65">
        <v>1659.3</v>
      </c>
      <c r="F501" s="65">
        <v>1734.6890000000001</v>
      </c>
      <c r="G501" s="171">
        <f>G498-G500</f>
        <v>1755.7661867229999</v>
      </c>
      <c r="H501" s="113">
        <f>H498-H500</f>
        <v>1777.0340000000001</v>
      </c>
      <c r="I501" s="130"/>
      <c r="J501" s="130"/>
    </row>
    <row r="502" spans="1:10" x14ac:dyDescent="0.25">
      <c r="A502" s="8" t="s">
        <v>22</v>
      </c>
      <c r="B502" s="391">
        <v>2016</v>
      </c>
      <c r="C502" s="391">
        <v>2017</v>
      </c>
      <c r="D502" s="391">
        <v>2018</v>
      </c>
      <c r="E502" s="391">
        <v>2019</v>
      </c>
      <c r="F502" s="391">
        <v>2020</v>
      </c>
      <c r="G502" s="391">
        <v>2021</v>
      </c>
      <c r="H502" s="391">
        <v>2022</v>
      </c>
      <c r="I502" s="391">
        <v>2023</v>
      </c>
      <c r="J502" s="391">
        <v>2024</v>
      </c>
    </row>
    <row r="503" spans="1:10" x14ac:dyDescent="0.25">
      <c r="A503" s="8" t="s">
        <v>552</v>
      </c>
      <c r="B503" s="508"/>
      <c r="C503" s="508"/>
      <c r="D503" s="508"/>
      <c r="E503" s="508"/>
      <c r="F503" s="508"/>
      <c r="G503" s="508"/>
      <c r="H503" s="508"/>
      <c r="I503" s="508"/>
      <c r="J503" s="248"/>
    </row>
    <row r="504" spans="1:10" x14ac:dyDescent="0.25">
      <c r="A504" s="310" t="s">
        <v>551</v>
      </c>
      <c r="B504" s="309"/>
      <c r="C504" s="309"/>
      <c r="D504" s="309"/>
      <c r="E504" s="309"/>
      <c r="F504" s="309"/>
      <c r="G504" s="309"/>
      <c r="H504" s="309"/>
      <c r="I504" s="309"/>
      <c r="J504" s="110"/>
    </row>
    <row r="505" spans="1:10" x14ac:dyDescent="0.25">
      <c r="A505" s="510" t="s">
        <v>553</v>
      </c>
      <c r="B505" s="516"/>
      <c r="C505" s="516"/>
      <c r="D505" s="516"/>
      <c r="E505" s="516"/>
      <c r="F505" s="516"/>
      <c r="G505" s="516"/>
      <c r="H505" s="516"/>
      <c r="I505" s="516"/>
      <c r="J505" s="138"/>
    </row>
    <row r="507" spans="1:10" x14ac:dyDescent="0.25">
      <c r="A507" s="3" t="s">
        <v>14</v>
      </c>
      <c r="B507" s="629" t="s">
        <v>220</v>
      </c>
      <c r="C507" s="4" t="s">
        <v>15</v>
      </c>
      <c r="D507" s="2"/>
      <c r="E507" s="2"/>
      <c r="F507" s="2"/>
      <c r="G507" s="2"/>
      <c r="H507" s="2"/>
    </row>
    <row r="508" spans="1:10" x14ac:dyDescent="0.25">
      <c r="A508" s="11" t="s">
        <v>16</v>
      </c>
      <c r="B508" s="626">
        <v>2014</v>
      </c>
      <c r="C508" s="60">
        <v>2015</v>
      </c>
      <c r="D508" s="60">
        <v>2016</v>
      </c>
      <c r="E508" s="60">
        <v>2017</v>
      </c>
      <c r="F508" s="60">
        <v>2018</v>
      </c>
      <c r="G508" s="60">
        <v>2019</v>
      </c>
      <c r="H508" s="60">
        <v>2020</v>
      </c>
      <c r="I508" s="60">
        <v>2021</v>
      </c>
      <c r="J508" s="60">
        <v>2022</v>
      </c>
    </row>
    <row r="509" spans="1:10" x14ac:dyDescent="0.25">
      <c r="A509" s="6" t="s">
        <v>17</v>
      </c>
      <c r="B509" s="62">
        <v>6718</v>
      </c>
      <c r="C509" s="62">
        <v>6718</v>
      </c>
      <c r="D509" s="62">
        <v>6718</v>
      </c>
      <c r="E509" s="62">
        <v>6718</v>
      </c>
      <c r="F509" s="62">
        <v>6718</v>
      </c>
      <c r="G509" s="62">
        <v>6718</v>
      </c>
      <c r="H509" s="62">
        <v>6718</v>
      </c>
      <c r="I509" s="94">
        <v>6718</v>
      </c>
      <c r="J509" s="94">
        <v>6718</v>
      </c>
    </row>
    <row r="510" spans="1:10" x14ac:dyDescent="0.25">
      <c r="A510" s="6" t="s">
        <v>18</v>
      </c>
      <c r="B510" s="62">
        <v>7887.5</v>
      </c>
      <c r="C510" s="62">
        <v>7897.5</v>
      </c>
      <c r="D510" s="62">
        <v>7390.7</v>
      </c>
      <c r="E510" s="62">
        <v>7425.7</v>
      </c>
      <c r="F510" s="62">
        <v>7385.7</v>
      </c>
      <c r="G510" s="62">
        <v>7385.7</v>
      </c>
      <c r="H510" s="608">
        <f>H509+F509*0.15-100-40</f>
        <v>7585.7</v>
      </c>
      <c r="I510" s="608">
        <f>I509+0.15*G509-40-200-0.67</f>
        <v>7485.03</v>
      </c>
      <c r="J510" s="62">
        <f>J509+0.15*H509-40-300-0.0001*J509</f>
        <v>7385.0281999999997</v>
      </c>
    </row>
    <row r="511" spans="1:10" ht="52.8" x14ac:dyDescent="0.25">
      <c r="A511" s="6" t="s">
        <v>19</v>
      </c>
      <c r="B511" s="63" t="s">
        <v>63</v>
      </c>
      <c r="C511" s="63" t="s">
        <v>64</v>
      </c>
      <c r="D511" s="63" t="s">
        <v>65</v>
      </c>
      <c r="E511" s="171" t="s">
        <v>66</v>
      </c>
      <c r="F511" s="171" t="s">
        <v>67</v>
      </c>
      <c r="G511" s="171" t="s">
        <v>68</v>
      </c>
      <c r="H511" s="606" t="s">
        <v>614</v>
      </c>
      <c r="I511" s="607" t="s">
        <v>615</v>
      </c>
      <c r="J511" s="352" t="s">
        <v>560</v>
      </c>
    </row>
    <row r="512" spans="1:10" s="173" customFormat="1" x14ac:dyDescent="0.25">
      <c r="A512" s="172" t="s">
        <v>20</v>
      </c>
      <c r="B512" s="65">
        <v>5020.43</v>
      </c>
      <c r="C512" s="65">
        <v>5449.08</v>
      </c>
      <c r="D512" s="65">
        <v>5765.63</v>
      </c>
      <c r="E512" s="65">
        <v>5573.6610000000001</v>
      </c>
      <c r="F512" s="65">
        <v>4966.4159999999993</v>
      </c>
      <c r="G512" s="65">
        <v>5740.2240000000002</v>
      </c>
      <c r="H512" s="65">
        <v>5960.2599999999993</v>
      </c>
      <c r="I512" s="94"/>
      <c r="J512" s="94"/>
    </row>
    <row r="513" spans="1:10" x14ac:dyDescent="0.25">
      <c r="A513" s="6" t="s">
        <v>21</v>
      </c>
      <c r="B513" s="65">
        <v>2867.0699999999997</v>
      </c>
      <c r="C513" s="65">
        <v>2448.42</v>
      </c>
      <c r="D513" s="65">
        <v>1625.0699999999997</v>
      </c>
      <c r="E513" s="65">
        <v>1852.039</v>
      </c>
      <c r="F513" s="65">
        <v>2419.2840000000006</v>
      </c>
      <c r="G513" s="65">
        <v>1645.4759999999997</v>
      </c>
      <c r="H513" s="65">
        <f>H510-H512</f>
        <v>1625.4400000000005</v>
      </c>
      <c r="I513" s="94"/>
      <c r="J513" s="94"/>
    </row>
    <row r="514" spans="1:10" x14ac:dyDescent="0.25">
      <c r="A514" s="8" t="s">
        <v>22</v>
      </c>
      <c r="B514" s="391">
        <v>2016</v>
      </c>
      <c r="C514" s="391">
        <v>2017</v>
      </c>
      <c r="D514" s="391">
        <v>2018</v>
      </c>
      <c r="E514" s="391">
        <v>2019</v>
      </c>
      <c r="F514" s="391">
        <v>2020</v>
      </c>
      <c r="G514" s="391">
        <v>2021</v>
      </c>
      <c r="H514" s="391">
        <v>2022</v>
      </c>
      <c r="I514" s="316">
        <v>2023</v>
      </c>
      <c r="J514" s="316">
        <v>2024</v>
      </c>
    </row>
    <row r="515" spans="1:10" x14ac:dyDescent="0.25">
      <c r="A515" s="8" t="s">
        <v>555</v>
      </c>
      <c r="B515" s="518"/>
      <c r="C515" s="518"/>
      <c r="D515" s="518"/>
      <c r="E515" s="518"/>
      <c r="F515" s="518"/>
      <c r="G515" s="518"/>
      <c r="H515" s="518"/>
      <c r="I515" s="519"/>
      <c r="J515" s="248"/>
    </row>
    <row r="516" spans="1:10" x14ac:dyDescent="0.25">
      <c r="A516" s="360" t="s">
        <v>616</v>
      </c>
      <c r="B516" s="401"/>
      <c r="C516" s="401"/>
      <c r="D516" s="401"/>
      <c r="E516" s="401"/>
      <c r="F516" s="401"/>
      <c r="G516" s="401"/>
      <c r="H516" s="401"/>
      <c r="I516" s="517"/>
      <c r="J516" s="110"/>
    </row>
    <row r="517" spans="1:10" x14ac:dyDescent="0.25">
      <c r="A517" s="49" t="s">
        <v>556</v>
      </c>
      <c r="B517" s="401"/>
      <c r="C517" s="401"/>
      <c r="D517" s="401"/>
      <c r="E517" s="401"/>
      <c r="F517" s="401"/>
      <c r="G517" s="401"/>
      <c r="H517" s="401"/>
      <c r="I517" s="517"/>
      <c r="J517" s="110"/>
    </row>
    <row r="518" spans="1:10" x14ac:dyDescent="0.25">
      <c r="A518" s="360" t="s">
        <v>617</v>
      </c>
      <c r="B518" s="401"/>
      <c r="C518" s="401"/>
      <c r="D518" s="401"/>
      <c r="E518" s="401"/>
      <c r="F518" s="401"/>
      <c r="G518" s="401"/>
      <c r="H518" s="401"/>
      <c r="I518" s="517"/>
      <c r="J518" s="110"/>
    </row>
    <row r="519" spans="1:10" x14ac:dyDescent="0.25">
      <c r="A519" s="49" t="s">
        <v>557</v>
      </c>
      <c r="B519" s="401"/>
      <c r="C519" s="401"/>
      <c r="D519" s="401"/>
      <c r="E519" s="401"/>
      <c r="F519" s="401"/>
      <c r="G519" s="401"/>
      <c r="H519" s="401"/>
      <c r="I519" s="517"/>
      <c r="J519" s="110"/>
    </row>
    <row r="520" spans="1:10" x14ac:dyDescent="0.25">
      <c r="A520" s="49" t="s">
        <v>559</v>
      </c>
      <c r="B520" s="401"/>
      <c r="C520" s="401"/>
      <c r="D520" s="401"/>
      <c r="E520" s="401"/>
      <c r="F520" s="401"/>
      <c r="G520" s="401"/>
      <c r="H520" s="401"/>
      <c r="I520" s="517"/>
      <c r="J520" s="110"/>
    </row>
    <row r="521" spans="1:10" x14ac:dyDescent="0.25">
      <c r="A521" s="520" t="s">
        <v>558</v>
      </c>
      <c r="B521" s="521"/>
      <c r="C521" s="521"/>
      <c r="D521" s="521"/>
      <c r="E521" s="521"/>
      <c r="F521" s="521"/>
      <c r="G521" s="521"/>
      <c r="H521" s="521"/>
      <c r="I521" s="521"/>
      <c r="J521" s="138"/>
    </row>
    <row r="523" spans="1:10" x14ac:dyDescent="0.25">
      <c r="A523" s="3" t="s">
        <v>14</v>
      </c>
      <c r="B523" s="629" t="s">
        <v>226</v>
      </c>
      <c r="C523" s="4" t="s">
        <v>15</v>
      </c>
      <c r="D523" s="2"/>
      <c r="E523" s="2"/>
      <c r="F523" s="2"/>
      <c r="G523" s="2"/>
      <c r="H523" s="2"/>
    </row>
    <row r="524" spans="1:10" x14ac:dyDescent="0.25">
      <c r="A524" s="11" t="s">
        <v>16</v>
      </c>
      <c r="B524" s="626">
        <v>2014</v>
      </c>
      <c r="C524" s="60">
        <v>2015</v>
      </c>
      <c r="D524" s="60">
        <v>2016</v>
      </c>
      <c r="E524" s="60">
        <v>2017</v>
      </c>
      <c r="F524" s="60">
        <v>2018</v>
      </c>
      <c r="G524" s="293">
        <v>2019</v>
      </c>
      <c r="H524" s="293">
        <v>2020</v>
      </c>
      <c r="I524" s="293">
        <v>2021</v>
      </c>
      <c r="J524" s="293">
        <v>2022</v>
      </c>
    </row>
    <row r="525" spans="1:10" x14ac:dyDescent="0.25">
      <c r="A525" s="6" t="s">
        <v>17</v>
      </c>
      <c r="B525" s="62">
        <v>4824</v>
      </c>
      <c r="C525" s="62">
        <v>4824</v>
      </c>
      <c r="D525" s="62">
        <v>4824</v>
      </c>
      <c r="E525" s="62">
        <v>4824</v>
      </c>
      <c r="F525" s="62">
        <v>4824</v>
      </c>
      <c r="G525" s="328">
        <v>4824</v>
      </c>
      <c r="H525" s="328">
        <v>4824</v>
      </c>
      <c r="I525" s="328">
        <v>4824</v>
      </c>
      <c r="J525" s="328">
        <v>4824</v>
      </c>
    </row>
    <row r="526" spans="1:10" x14ac:dyDescent="0.25">
      <c r="A526" s="6" t="s">
        <v>18</v>
      </c>
      <c r="B526" s="62">
        <v>5141.7</v>
      </c>
      <c r="C526" s="62">
        <v>5695.4</v>
      </c>
      <c r="D526" s="62">
        <v>5601.06</v>
      </c>
      <c r="E526" s="62">
        <v>5224.38</v>
      </c>
      <c r="F526" s="62">
        <v>4963.5200000000004</v>
      </c>
      <c r="G526" s="328">
        <v>4928.1499999999996</v>
      </c>
      <c r="H526" s="328">
        <v>5011.2030000000004</v>
      </c>
      <c r="I526" s="328">
        <f>I525+G529</f>
        <v>5243.19</v>
      </c>
      <c r="J526" s="328">
        <f>J525+H529</f>
        <v>5085.0014400000018</v>
      </c>
    </row>
    <row r="527" spans="1:10" ht="26.4" x14ac:dyDescent="0.25">
      <c r="A527" s="6" t="s">
        <v>19</v>
      </c>
      <c r="B527" s="63" t="s">
        <v>69</v>
      </c>
      <c r="C527" s="63" t="s">
        <v>70</v>
      </c>
      <c r="D527" s="63" t="s">
        <v>71</v>
      </c>
      <c r="E527" s="64" t="s">
        <v>72</v>
      </c>
      <c r="F527" s="64" t="s">
        <v>73</v>
      </c>
      <c r="G527" s="331" t="s">
        <v>74</v>
      </c>
      <c r="H527" s="129" t="s">
        <v>75</v>
      </c>
      <c r="I527" s="169" t="s">
        <v>293</v>
      </c>
      <c r="J527" s="169" t="s">
        <v>564</v>
      </c>
    </row>
    <row r="528" spans="1:10" s="173" customFormat="1" x14ac:dyDescent="0.25">
      <c r="A528" s="172" t="s">
        <v>20</v>
      </c>
      <c r="B528" s="65">
        <v>4364.6400000000003</v>
      </c>
      <c r="C528" s="65">
        <v>5295.02</v>
      </c>
      <c r="D528" s="65">
        <v>5461.54</v>
      </c>
      <c r="E528" s="65">
        <v>5120.2</v>
      </c>
      <c r="F528" s="65">
        <v>4776.317</v>
      </c>
      <c r="G528" s="113">
        <v>4508.96</v>
      </c>
      <c r="H528" s="113">
        <v>4750.2015599999986</v>
      </c>
      <c r="I528" s="130"/>
      <c r="J528" s="130"/>
    </row>
    <row r="529" spans="1:11" x14ac:dyDescent="0.25">
      <c r="A529" s="6" t="s">
        <v>21</v>
      </c>
      <c r="B529" s="65">
        <v>777.06</v>
      </c>
      <c r="C529" s="65">
        <v>400.38</v>
      </c>
      <c r="D529" s="65">
        <v>139.52000000000001</v>
      </c>
      <c r="E529" s="65">
        <v>104.2</v>
      </c>
      <c r="F529" s="65">
        <v>187.20300000000043</v>
      </c>
      <c r="G529" s="113">
        <v>419.1899999999996</v>
      </c>
      <c r="H529" s="113">
        <v>261.00144000000182</v>
      </c>
      <c r="I529" s="112"/>
      <c r="J529" s="112"/>
    </row>
    <row r="530" spans="1:11" x14ac:dyDescent="0.25">
      <c r="A530" s="8" t="s">
        <v>22</v>
      </c>
      <c r="B530" s="391">
        <v>2016</v>
      </c>
      <c r="C530" s="391">
        <v>2017</v>
      </c>
      <c r="D530" s="391">
        <v>2018</v>
      </c>
      <c r="E530" s="391">
        <v>2019</v>
      </c>
      <c r="F530" s="391">
        <v>2020</v>
      </c>
      <c r="G530" s="391">
        <v>2021</v>
      </c>
      <c r="H530" s="391">
        <v>2022</v>
      </c>
      <c r="I530" s="391">
        <v>2023</v>
      </c>
      <c r="J530" s="391">
        <v>2024</v>
      </c>
    </row>
    <row r="531" spans="1:11" x14ac:dyDescent="0.25">
      <c r="A531" s="8" t="s">
        <v>561</v>
      </c>
      <c r="B531" s="508"/>
      <c r="C531" s="508"/>
      <c r="D531" s="508"/>
      <c r="E531" s="508"/>
      <c r="F531" s="508"/>
      <c r="G531" s="508"/>
      <c r="H531" s="508"/>
      <c r="I531" s="508"/>
      <c r="J531" s="248"/>
    </row>
    <row r="532" spans="1:11" x14ac:dyDescent="0.25">
      <c r="A532" s="49" t="s">
        <v>562</v>
      </c>
      <c r="B532" s="506"/>
      <c r="C532" s="506"/>
      <c r="D532" s="506"/>
      <c r="E532" s="506"/>
      <c r="F532" s="506"/>
      <c r="G532" s="506"/>
      <c r="H532" s="506"/>
      <c r="I532" s="506"/>
      <c r="J532" s="110"/>
    </row>
    <row r="533" spans="1:11" x14ac:dyDescent="0.25">
      <c r="A533" s="864" t="s">
        <v>563</v>
      </c>
      <c r="B533" s="865"/>
      <c r="C533" s="865"/>
      <c r="D533" s="865"/>
      <c r="E533" s="865"/>
      <c r="F533" s="865"/>
      <c r="G533" s="865"/>
      <c r="H533" s="865"/>
      <c r="I533" s="865"/>
      <c r="J533" s="866"/>
    </row>
    <row r="534" spans="1:11" customFormat="1" ht="14.4" x14ac:dyDescent="0.3">
      <c r="A534" s="107"/>
      <c r="B534" s="107"/>
      <c r="C534" s="107"/>
      <c r="D534" s="107"/>
      <c r="E534" s="107"/>
      <c r="F534" s="107"/>
      <c r="G534" s="107"/>
      <c r="H534" s="107"/>
      <c r="I534" s="107"/>
      <c r="J534" s="107"/>
      <c r="K534" s="107"/>
    </row>
    <row r="535" spans="1:11" customFormat="1" ht="14.4" x14ac:dyDescent="0.3">
      <c r="A535" s="3" t="s">
        <v>14</v>
      </c>
      <c r="B535" s="629" t="s">
        <v>276</v>
      </c>
      <c r="C535" s="4" t="s">
        <v>15</v>
      </c>
      <c r="D535" s="2"/>
      <c r="E535" s="2"/>
      <c r="F535" s="2"/>
      <c r="G535" s="2"/>
      <c r="H535" s="2"/>
      <c r="I535" s="107"/>
      <c r="J535" s="107"/>
      <c r="K535" s="107"/>
    </row>
    <row r="536" spans="1:11" customFormat="1" ht="14.4" x14ac:dyDescent="0.3">
      <c r="A536" s="11" t="s">
        <v>16</v>
      </c>
      <c r="B536" s="627">
        <v>2020</v>
      </c>
      <c r="C536" s="286">
        <v>2021</v>
      </c>
      <c r="D536" s="286">
        <v>2022</v>
      </c>
      <c r="E536" s="303"/>
      <c r="F536" s="303"/>
      <c r="G536" s="303"/>
      <c r="H536" s="303"/>
      <c r="I536" s="286"/>
      <c r="J536" s="286"/>
      <c r="K536" s="107"/>
    </row>
    <row r="537" spans="1:11" customFormat="1" ht="14.4" x14ac:dyDescent="0.3">
      <c r="A537" s="6" t="s">
        <v>17</v>
      </c>
      <c r="B537" s="128">
        <v>19460</v>
      </c>
      <c r="C537" s="128">
        <v>19460</v>
      </c>
      <c r="D537" s="128">
        <v>19460</v>
      </c>
      <c r="E537" s="127"/>
      <c r="F537" s="127"/>
      <c r="G537" s="127"/>
      <c r="H537" s="524"/>
      <c r="I537" s="112"/>
      <c r="J537" s="112"/>
      <c r="K537" s="107"/>
    </row>
    <row r="538" spans="1:11" customFormat="1" ht="14.4" x14ac:dyDescent="0.3">
      <c r="A538" s="6" t="s">
        <v>18</v>
      </c>
      <c r="B538" s="127">
        <v>19460</v>
      </c>
      <c r="C538" s="127">
        <f>C537-19360*0.0025</f>
        <v>19411.599999999999</v>
      </c>
      <c r="D538" s="130">
        <f>D537+B541-19360*0.0025</f>
        <v>19737.565544000001</v>
      </c>
      <c r="E538" s="127"/>
      <c r="F538" s="127"/>
      <c r="G538" s="127"/>
      <c r="H538" s="127"/>
      <c r="I538" s="130"/>
      <c r="J538" s="130"/>
      <c r="K538" s="107"/>
    </row>
    <row r="539" spans="1:11" customFormat="1" ht="27" x14ac:dyDescent="0.3">
      <c r="A539" s="6" t="s">
        <v>19</v>
      </c>
      <c r="B539" s="129"/>
      <c r="C539" s="169" t="s">
        <v>569</v>
      </c>
      <c r="D539" s="168" t="s">
        <v>570</v>
      </c>
      <c r="E539" s="129"/>
      <c r="F539" s="129"/>
      <c r="G539" s="129"/>
      <c r="H539" s="129"/>
      <c r="I539" s="169"/>
      <c r="J539" s="169"/>
      <c r="K539" s="107"/>
    </row>
    <row r="540" spans="1:11" customFormat="1" ht="14.4" x14ac:dyDescent="0.3">
      <c r="A540" s="172" t="s">
        <v>20</v>
      </c>
      <c r="B540" s="130">
        <v>19134.034455999998</v>
      </c>
      <c r="C540" s="130"/>
      <c r="D540" s="130"/>
      <c r="E540" s="94"/>
      <c r="F540" s="94"/>
      <c r="G540" s="130"/>
      <c r="H540" s="130"/>
      <c r="I540" s="130"/>
      <c r="J540" s="130"/>
      <c r="K540" s="107"/>
    </row>
    <row r="541" spans="1:11" customFormat="1" ht="14.4" x14ac:dyDescent="0.3">
      <c r="A541" s="172" t="s">
        <v>21</v>
      </c>
      <c r="B541" s="130">
        <f>+B538-B540</f>
        <v>325.96554400000241</v>
      </c>
      <c r="C541" s="130"/>
      <c r="D541" s="130"/>
      <c r="E541" s="94"/>
      <c r="F541" s="94"/>
      <c r="G541" s="130"/>
      <c r="H541" s="130"/>
      <c r="I541" s="130"/>
      <c r="J541" s="130"/>
      <c r="K541" s="107"/>
    </row>
    <row r="542" spans="1:11" customFormat="1" ht="14.4" x14ac:dyDescent="0.3">
      <c r="A542" s="8" t="s">
        <v>22</v>
      </c>
      <c r="B542" s="57">
        <v>2022</v>
      </c>
      <c r="C542" s="316">
        <v>2023</v>
      </c>
      <c r="D542" s="316">
        <v>2024</v>
      </c>
      <c r="E542" s="526"/>
      <c r="F542" s="526"/>
      <c r="G542" s="526"/>
      <c r="H542" s="526"/>
      <c r="I542" s="505"/>
      <c r="J542" s="505"/>
      <c r="K542" s="107"/>
    </row>
    <row r="543" spans="1:11" customFormat="1" ht="14.4" x14ac:dyDescent="0.3">
      <c r="A543" s="8" t="s">
        <v>571</v>
      </c>
      <c r="B543" s="525"/>
      <c r="C543" s="509"/>
      <c r="D543" s="509"/>
      <c r="E543" s="525"/>
      <c r="F543" s="525"/>
      <c r="G543" s="525"/>
      <c r="H543" s="525"/>
      <c r="I543" s="509"/>
      <c r="J543" s="528"/>
      <c r="K543" s="107"/>
    </row>
    <row r="544" spans="1:11" customFormat="1" ht="14.4" x14ac:dyDescent="0.3">
      <c r="A544" s="49" t="s">
        <v>572</v>
      </c>
      <c r="B544" s="527"/>
      <c r="C544" s="507"/>
      <c r="D544" s="507"/>
      <c r="E544" s="527"/>
      <c r="F544" s="527"/>
      <c r="G544" s="527"/>
      <c r="H544" s="527"/>
      <c r="I544" s="507"/>
      <c r="J544" s="532"/>
      <c r="K544" s="107"/>
    </row>
    <row r="545" spans="1:11" customFormat="1" ht="14.4" x14ac:dyDescent="0.3">
      <c r="A545" s="49" t="s">
        <v>579</v>
      </c>
      <c r="B545" s="527"/>
      <c r="C545" s="507"/>
      <c r="D545" s="507"/>
      <c r="E545" s="527"/>
      <c r="F545" s="527"/>
      <c r="G545" s="527"/>
      <c r="H545" s="527"/>
      <c r="I545" s="507"/>
      <c r="J545" s="532"/>
      <c r="K545" s="107"/>
    </row>
    <row r="546" spans="1:11" customFormat="1" ht="14.4" x14ac:dyDescent="0.3">
      <c r="A546" s="529" t="s">
        <v>580</v>
      </c>
      <c r="B546" s="530"/>
      <c r="C546" s="530"/>
      <c r="D546" s="530"/>
      <c r="E546" s="530"/>
      <c r="F546" s="530"/>
      <c r="G546" s="530"/>
      <c r="H546" s="530"/>
      <c r="I546" s="530"/>
      <c r="J546" s="531"/>
      <c r="K546" s="107"/>
    </row>
    <row r="548" spans="1:11" x14ac:dyDescent="0.25">
      <c r="A548" s="3" t="s">
        <v>14</v>
      </c>
      <c r="B548" s="629" t="s">
        <v>76</v>
      </c>
      <c r="C548" s="4" t="s">
        <v>15</v>
      </c>
      <c r="D548" s="2"/>
      <c r="E548" s="2"/>
      <c r="F548" s="2"/>
      <c r="G548" s="2"/>
      <c r="H548" s="2"/>
    </row>
    <row r="549" spans="1:11" x14ac:dyDescent="0.25">
      <c r="A549" s="11" t="s">
        <v>16</v>
      </c>
      <c r="B549" s="626">
        <v>2014</v>
      </c>
      <c r="C549" s="60">
        <v>2015</v>
      </c>
      <c r="D549" s="60">
        <v>2016</v>
      </c>
      <c r="E549" s="60">
        <v>2017</v>
      </c>
      <c r="F549" s="60">
        <v>2018</v>
      </c>
      <c r="G549" s="60">
        <v>2019</v>
      </c>
      <c r="H549" s="60">
        <v>2020</v>
      </c>
      <c r="I549" s="286">
        <v>2021</v>
      </c>
      <c r="J549" s="286">
        <v>2022</v>
      </c>
    </row>
    <row r="550" spans="1:11" x14ac:dyDescent="0.25">
      <c r="A550" s="6" t="s">
        <v>17</v>
      </c>
      <c r="B550" s="62">
        <v>22667</v>
      </c>
      <c r="C550" s="62">
        <v>22667</v>
      </c>
      <c r="D550" s="62">
        <v>16989</v>
      </c>
      <c r="E550" s="62">
        <v>16989</v>
      </c>
      <c r="F550" s="62">
        <v>16989</v>
      </c>
      <c r="G550" s="62">
        <v>16989</v>
      </c>
      <c r="H550" s="66">
        <v>13421.3</v>
      </c>
      <c r="I550" s="112">
        <v>13421.3</v>
      </c>
      <c r="J550" s="112">
        <v>13421.3</v>
      </c>
    </row>
    <row r="551" spans="1:11" x14ac:dyDescent="0.25">
      <c r="A551" s="6" t="s">
        <v>18</v>
      </c>
      <c r="B551" s="62">
        <v>29467.1</v>
      </c>
      <c r="C551" s="62">
        <v>29467.1</v>
      </c>
      <c r="D551" s="62">
        <v>23789.1</v>
      </c>
      <c r="E551" s="62">
        <v>20389.099999999999</v>
      </c>
      <c r="F551" s="62">
        <v>19537.400000000001</v>
      </c>
      <c r="G551" s="62">
        <v>17157.5</v>
      </c>
      <c r="H551" s="62">
        <f>H550+F554+300</f>
        <v>15842.646000000001</v>
      </c>
      <c r="I551" s="130">
        <v>13668.274999999998</v>
      </c>
      <c r="J551" s="130">
        <v>13421.3</v>
      </c>
    </row>
    <row r="552" spans="1:11" ht="26.4" x14ac:dyDescent="0.25">
      <c r="A552" s="6" t="s">
        <v>19</v>
      </c>
      <c r="B552" s="63" t="s">
        <v>78</v>
      </c>
      <c r="C552" s="63" t="s">
        <v>78</v>
      </c>
      <c r="D552" s="63" t="s">
        <v>79</v>
      </c>
      <c r="E552" s="64" t="s">
        <v>80</v>
      </c>
      <c r="F552" s="64" t="s">
        <v>81</v>
      </c>
      <c r="G552" s="64" t="s">
        <v>82</v>
      </c>
      <c r="H552" s="64" t="s">
        <v>294</v>
      </c>
      <c r="I552" s="169" t="s">
        <v>295</v>
      </c>
      <c r="J552" s="169" t="s">
        <v>568</v>
      </c>
    </row>
    <row r="553" spans="1:11" x14ac:dyDescent="0.25">
      <c r="A553" s="172" t="s">
        <v>20</v>
      </c>
      <c r="B553" s="65">
        <v>18152.900000000001</v>
      </c>
      <c r="C553" s="65">
        <v>15741.23</v>
      </c>
      <c r="D553" s="65">
        <v>18059.400000000001</v>
      </c>
      <c r="E553" s="65">
        <v>20220.53</v>
      </c>
      <c r="F553" s="65">
        <v>17416.054</v>
      </c>
      <c r="G553" s="113">
        <v>16910.525000000001</v>
      </c>
      <c r="H553" s="113"/>
      <c r="I553" s="130"/>
      <c r="J553" s="130"/>
    </row>
    <row r="554" spans="1:11" x14ac:dyDescent="0.25">
      <c r="A554" s="172" t="s">
        <v>21</v>
      </c>
      <c r="B554" s="65">
        <v>11314.2</v>
      </c>
      <c r="C554" s="65">
        <v>13725.87</v>
      </c>
      <c r="D554" s="65">
        <v>5729.68</v>
      </c>
      <c r="E554" s="65">
        <v>168.52</v>
      </c>
      <c r="F554" s="65">
        <v>2121.3460000000014</v>
      </c>
      <c r="G554" s="113">
        <f>G551-G553</f>
        <v>246.97499999999854</v>
      </c>
      <c r="H554" s="113"/>
      <c r="I554" s="130"/>
      <c r="J554" s="130"/>
    </row>
    <row r="555" spans="1:11" x14ac:dyDescent="0.25">
      <c r="A555" s="8" t="s">
        <v>22</v>
      </c>
      <c r="B555" s="391">
        <v>2016</v>
      </c>
      <c r="C555" s="391">
        <v>2017</v>
      </c>
      <c r="D555" s="391">
        <v>2018</v>
      </c>
      <c r="E555" s="391">
        <v>2019</v>
      </c>
      <c r="F555" s="391" t="s">
        <v>83</v>
      </c>
      <c r="G555" s="391" t="s">
        <v>84</v>
      </c>
      <c r="H555" s="391">
        <v>2022</v>
      </c>
      <c r="I555" s="316">
        <v>2022</v>
      </c>
      <c r="J555" s="316">
        <v>2024</v>
      </c>
    </row>
    <row r="556" spans="1:11" x14ac:dyDescent="0.25">
      <c r="A556" s="8" t="s">
        <v>565</v>
      </c>
      <c r="B556" s="508"/>
      <c r="C556" s="508"/>
      <c r="D556" s="508"/>
      <c r="E556" s="508"/>
      <c r="F556" s="508"/>
      <c r="G556" s="508"/>
      <c r="H556" s="508"/>
      <c r="I556" s="509"/>
      <c r="J556" s="248"/>
    </row>
    <row r="557" spans="1:11" x14ac:dyDescent="0.25">
      <c r="A557" s="49" t="s">
        <v>566</v>
      </c>
      <c r="B557" s="506"/>
      <c r="C557" s="506"/>
      <c r="D557" s="506"/>
      <c r="E557" s="506"/>
      <c r="F557" s="506"/>
      <c r="G557" s="506"/>
      <c r="H557" s="506"/>
      <c r="I557" s="507"/>
      <c r="J557" s="110"/>
    </row>
    <row r="558" spans="1:11" ht="14.4" x14ac:dyDescent="0.25">
      <c r="A558" s="49" t="s">
        <v>567</v>
      </c>
      <c r="B558" s="506"/>
      <c r="C558" s="506"/>
      <c r="D558" s="506"/>
      <c r="E558" s="506"/>
      <c r="F558" s="506"/>
      <c r="G558" s="506"/>
      <c r="H558" s="506"/>
      <c r="I558" s="507"/>
      <c r="J558" s="110"/>
    </row>
    <row r="559" spans="1:11" x14ac:dyDescent="0.25">
      <c r="A559" s="523"/>
      <c r="B559" s="511"/>
      <c r="C559" s="511"/>
      <c r="D559" s="511"/>
      <c r="E559" s="511"/>
      <c r="F559" s="511"/>
      <c r="G559" s="511"/>
      <c r="H559" s="511"/>
      <c r="I559" s="511"/>
      <c r="J559" s="138"/>
    </row>
    <row r="561" spans="1:10" x14ac:dyDescent="0.25">
      <c r="A561" s="93" t="s">
        <v>14</v>
      </c>
      <c r="B561" s="630" t="s">
        <v>85</v>
      </c>
      <c r="C561" s="297" t="s">
        <v>15</v>
      </c>
      <c r="D561" s="178"/>
      <c r="E561" s="178"/>
      <c r="F561" s="178"/>
      <c r="G561" s="178"/>
      <c r="H561" s="178"/>
    </row>
    <row r="562" spans="1:10" x14ac:dyDescent="0.25">
      <c r="A562" s="275" t="s">
        <v>16</v>
      </c>
      <c r="B562" s="628">
        <v>2014</v>
      </c>
      <c r="C562" s="293">
        <v>2015</v>
      </c>
      <c r="D562" s="293">
        <v>2016</v>
      </c>
      <c r="E562" s="293">
        <v>2017</v>
      </c>
      <c r="F562" s="293">
        <v>2018</v>
      </c>
      <c r="G562" s="293">
        <v>2019</v>
      </c>
      <c r="H562" s="293">
        <v>2020</v>
      </c>
      <c r="I562" s="286">
        <v>2021</v>
      </c>
      <c r="J562" s="286">
        <v>2022</v>
      </c>
    </row>
    <row r="563" spans="1:10" x14ac:dyDescent="0.25">
      <c r="A563" s="91" t="s">
        <v>17</v>
      </c>
      <c r="B563" s="328">
        <v>480</v>
      </c>
      <c r="C563" s="328">
        <v>480</v>
      </c>
      <c r="D563" s="328">
        <v>480</v>
      </c>
      <c r="E563" s="328">
        <v>480</v>
      </c>
      <c r="F563" s="328">
        <v>480</v>
      </c>
      <c r="G563" s="328">
        <v>480</v>
      </c>
      <c r="H563" s="329">
        <v>403.8</v>
      </c>
      <c r="I563" s="112">
        <v>403.8</v>
      </c>
      <c r="J563" s="112">
        <v>403.8</v>
      </c>
    </row>
    <row r="564" spans="1:10" x14ac:dyDescent="0.25">
      <c r="A564" s="91" t="s">
        <v>18</v>
      </c>
      <c r="B564" s="328">
        <v>480</v>
      </c>
      <c r="C564" s="328">
        <v>528</v>
      </c>
      <c r="D564" s="328">
        <v>407.63</v>
      </c>
      <c r="E564" s="328">
        <v>414.75</v>
      </c>
      <c r="F564" s="328">
        <v>462.75</v>
      </c>
      <c r="G564" s="328">
        <v>528</v>
      </c>
      <c r="H564" s="328">
        <v>449.8</v>
      </c>
      <c r="I564" s="112">
        <f>I563+0.1*G563-2</f>
        <v>449.8</v>
      </c>
      <c r="J564" s="112">
        <v>401.8</v>
      </c>
    </row>
    <row r="565" spans="1:10" ht="26.4" x14ac:dyDescent="0.25">
      <c r="A565" s="91" t="s">
        <v>19</v>
      </c>
      <c r="B565" s="330">
        <v>480</v>
      </c>
      <c r="C565" s="330">
        <v>528</v>
      </c>
      <c r="D565" s="330" t="s">
        <v>86</v>
      </c>
      <c r="E565" s="331" t="s">
        <v>87</v>
      </c>
      <c r="F565" s="331" t="s">
        <v>88</v>
      </c>
      <c r="G565" s="331" t="s">
        <v>89</v>
      </c>
      <c r="H565" s="331" t="s">
        <v>296</v>
      </c>
      <c r="I565" s="168" t="s">
        <v>297</v>
      </c>
      <c r="J565" s="168" t="s">
        <v>573</v>
      </c>
    </row>
    <row r="566" spans="1:10" x14ac:dyDescent="0.25">
      <c r="A566" s="91" t="s">
        <v>20</v>
      </c>
      <c r="B566" s="113">
        <v>552.37</v>
      </c>
      <c r="C566" s="113">
        <v>658.51</v>
      </c>
      <c r="D566" s="113">
        <v>355.07</v>
      </c>
      <c r="E566" s="113">
        <v>338.75</v>
      </c>
      <c r="F566" s="113">
        <v>120.791</v>
      </c>
      <c r="G566" s="113">
        <v>79.62</v>
      </c>
      <c r="H566" s="113">
        <v>138.81700000000001</v>
      </c>
      <c r="I566" s="112"/>
      <c r="J566" s="112"/>
    </row>
    <row r="567" spans="1:10" x14ac:dyDescent="0.25">
      <c r="A567" s="91" t="s">
        <v>21</v>
      </c>
      <c r="B567" s="113">
        <v>-72.37</v>
      </c>
      <c r="C567" s="113">
        <v>-130.51</v>
      </c>
      <c r="D567" s="113">
        <f>D564-D566</f>
        <v>52.56</v>
      </c>
      <c r="E567" s="113">
        <f>E564-E566</f>
        <v>76</v>
      </c>
      <c r="F567" s="113">
        <v>341.959</v>
      </c>
      <c r="G567" s="113">
        <f>G564-G566</f>
        <v>448.38</v>
      </c>
      <c r="H567" s="113">
        <f>H564-H566</f>
        <v>310.983</v>
      </c>
      <c r="I567" s="112"/>
      <c r="J567" s="112"/>
    </row>
    <row r="568" spans="1:10" x14ac:dyDescent="0.25">
      <c r="A568" s="272" t="s">
        <v>22</v>
      </c>
      <c r="B568" s="391">
        <v>2016</v>
      </c>
      <c r="C568" s="391">
        <v>2017</v>
      </c>
      <c r="D568" s="391">
        <v>2018</v>
      </c>
      <c r="E568" s="391">
        <v>2019</v>
      </c>
      <c r="F568" s="391" t="s">
        <v>83</v>
      </c>
      <c r="G568" s="391" t="s">
        <v>84</v>
      </c>
      <c r="H568" s="316" t="s">
        <v>173</v>
      </c>
      <c r="I568" s="316" t="s">
        <v>173</v>
      </c>
      <c r="J568" s="316" t="s">
        <v>173</v>
      </c>
    </row>
    <row r="569" spans="1:10" x14ac:dyDescent="0.25">
      <c r="A569" s="272" t="s">
        <v>574</v>
      </c>
      <c r="B569" s="508"/>
      <c r="C569" s="508"/>
      <c r="D569" s="508"/>
      <c r="E569" s="508"/>
      <c r="F569" s="508"/>
      <c r="G569" s="508"/>
      <c r="H569" s="508"/>
      <c r="I569" s="509"/>
      <c r="J569" s="528"/>
    </row>
    <row r="570" spans="1:10" x14ac:dyDescent="0.25">
      <c r="A570" s="300" t="s">
        <v>575</v>
      </c>
      <c r="B570" s="506"/>
      <c r="C570" s="506"/>
      <c r="D570" s="506"/>
      <c r="E570" s="506"/>
      <c r="F570" s="506"/>
      <c r="G570" s="506"/>
      <c r="H570" s="506"/>
      <c r="I570" s="507"/>
      <c r="J570" s="532"/>
    </row>
    <row r="571" spans="1:10" x14ac:dyDescent="0.25">
      <c r="A571" s="533" t="s">
        <v>576</v>
      </c>
      <c r="B571" s="534"/>
      <c r="C571" s="534"/>
      <c r="D571" s="534"/>
      <c r="E571" s="534"/>
      <c r="F571" s="534"/>
      <c r="G571" s="534"/>
      <c r="H571" s="534"/>
      <c r="I571" s="137"/>
      <c r="J571" s="138"/>
    </row>
    <row r="572" spans="1:10" x14ac:dyDescent="0.25">
      <c r="A572" s="164"/>
      <c r="B572" s="164"/>
      <c r="C572" s="164"/>
      <c r="D572" s="164"/>
      <c r="E572" s="164"/>
      <c r="F572" s="164"/>
      <c r="G572" s="164"/>
      <c r="H572" s="164"/>
    </row>
    <row r="573" spans="1:10" x14ac:dyDescent="0.25">
      <c r="A573" s="93" t="s">
        <v>14</v>
      </c>
      <c r="B573" s="630" t="s">
        <v>90</v>
      </c>
      <c r="C573" s="297" t="s">
        <v>15</v>
      </c>
      <c r="D573" s="178"/>
      <c r="E573" s="178"/>
      <c r="F573" s="178"/>
      <c r="G573" s="164"/>
      <c r="H573" s="164"/>
    </row>
    <row r="574" spans="1:10" x14ac:dyDescent="0.25">
      <c r="A574" s="275" t="s">
        <v>16</v>
      </c>
      <c r="B574" s="628">
        <v>2014</v>
      </c>
      <c r="C574" s="293">
        <v>2015</v>
      </c>
      <c r="D574" s="293">
        <v>2016</v>
      </c>
      <c r="E574" s="293">
        <v>2017</v>
      </c>
      <c r="F574" s="293">
        <v>2018</v>
      </c>
      <c r="G574" s="60">
        <v>2019</v>
      </c>
      <c r="H574" s="60">
        <v>2020</v>
      </c>
      <c r="I574" s="286">
        <v>2021</v>
      </c>
      <c r="J574" s="286">
        <v>2022</v>
      </c>
    </row>
    <row r="575" spans="1:10" x14ac:dyDescent="0.25">
      <c r="A575" s="91" t="s">
        <v>17</v>
      </c>
      <c r="B575" s="328">
        <v>50</v>
      </c>
      <c r="C575" s="328">
        <v>50</v>
      </c>
      <c r="D575" s="328">
        <v>50</v>
      </c>
      <c r="E575" s="328">
        <v>50</v>
      </c>
      <c r="F575" s="328">
        <v>50</v>
      </c>
      <c r="G575" s="62">
        <v>50</v>
      </c>
      <c r="H575" s="67">
        <v>50</v>
      </c>
      <c r="I575" s="130">
        <v>50</v>
      </c>
      <c r="J575" s="130">
        <v>50</v>
      </c>
    </row>
    <row r="576" spans="1:10" x14ac:dyDescent="0.25">
      <c r="A576" s="91" t="s">
        <v>18</v>
      </c>
      <c r="B576" s="328">
        <v>50</v>
      </c>
      <c r="C576" s="328">
        <v>52.5</v>
      </c>
      <c r="D576" s="328">
        <v>23.9</v>
      </c>
      <c r="E576" s="328">
        <v>23.9</v>
      </c>
      <c r="F576" s="328">
        <v>27.6</v>
      </c>
      <c r="G576" s="62">
        <v>27.6</v>
      </c>
      <c r="H576" s="62">
        <v>32.6</v>
      </c>
      <c r="I576" s="130">
        <v>55</v>
      </c>
      <c r="J576" s="242">
        <v>50</v>
      </c>
    </row>
    <row r="577" spans="1:10" ht="39.6" x14ac:dyDescent="0.25">
      <c r="A577" s="91" t="s">
        <v>19</v>
      </c>
      <c r="B577" s="332">
        <v>50</v>
      </c>
      <c r="C577" s="332">
        <v>52.5</v>
      </c>
      <c r="D577" s="330" t="s">
        <v>91</v>
      </c>
      <c r="E577" s="331" t="s">
        <v>92</v>
      </c>
      <c r="F577" s="331" t="s">
        <v>93</v>
      </c>
      <c r="G577" s="64" t="s">
        <v>94</v>
      </c>
      <c r="H577" s="64" t="s">
        <v>95</v>
      </c>
      <c r="I577" s="169" t="s">
        <v>298</v>
      </c>
      <c r="J577" s="375" t="s">
        <v>681</v>
      </c>
    </row>
    <row r="578" spans="1:10" x14ac:dyDescent="0.25">
      <c r="A578" s="91" t="s">
        <v>20</v>
      </c>
      <c r="B578" s="113">
        <v>102.21</v>
      </c>
      <c r="C578" s="113">
        <v>119.69</v>
      </c>
      <c r="D578" s="113">
        <v>101.54</v>
      </c>
      <c r="E578" s="113">
        <v>14.67</v>
      </c>
      <c r="F578" s="113">
        <v>0.17</v>
      </c>
      <c r="G578" s="65">
        <v>0.7</v>
      </c>
      <c r="H578" s="65">
        <v>3.0670000000000002</v>
      </c>
      <c r="I578" s="130"/>
      <c r="J578" s="130"/>
    </row>
    <row r="579" spans="1:10" x14ac:dyDescent="0.25">
      <c r="A579" s="91" t="s">
        <v>21</v>
      </c>
      <c r="B579" s="113">
        <v>-52.21</v>
      </c>
      <c r="C579" s="113">
        <v>-67.19</v>
      </c>
      <c r="D579" s="113">
        <v>-77.640000000000015</v>
      </c>
      <c r="E579" s="113">
        <f>E576-E578</f>
        <v>9.2299999999999986</v>
      </c>
      <c r="F579" s="113">
        <f>F576-F578</f>
        <v>27.43</v>
      </c>
      <c r="G579" s="65">
        <f>G576-G578</f>
        <v>26.900000000000002</v>
      </c>
      <c r="H579" s="65">
        <f>H576-H578</f>
        <v>29.533000000000001</v>
      </c>
      <c r="I579" s="130"/>
      <c r="J579" s="130"/>
    </row>
    <row r="580" spans="1:10" x14ac:dyDescent="0.25">
      <c r="A580" s="272" t="s">
        <v>22</v>
      </c>
      <c r="B580" s="391">
        <v>2016</v>
      </c>
      <c r="C580" s="391">
        <v>2017</v>
      </c>
      <c r="D580" s="391">
        <v>2018</v>
      </c>
      <c r="E580" s="391">
        <v>2019</v>
      </c>
      <c r="F580" s="391" t="s">
        <v>83</v>
      </c>
      <c r="G580" s="391" t="s">
        <v>84</v>
      </c>
      <c r="H580" s="316" t="s">
        <v>173</v>
      </c>
      <c r="I580" s="316" t="s">
        <v>173</v>
      </c>
      <c r="J580" s="316" t="s">
        <v>173</v>
      </c>
    </row>
    <row r="581" spans="1:10" x14ac:dyDescent="0.25">
      <c r="A581" s="272" t="s">
        <v>577</v>
      </c>
      <c r="B581" s="499"/>
      <c r="C581" s="499"/>
      <c r="D581" s="499"/>
      <c r="E581" s="499"/>
      <c r="F581" s="499"/>
      <c r="G581" s="499"/>
      <c r="H581" s="535"/>
      <c r="I581" s="535"/>
      <c r="J581" s="536"/>
    </row>
    <row r="582" spans="1:10" x14ac:dyDescent="0.25">
      <c r="A582" s="533" t="s">
        <v>578</v>
      </c>
      <c r="B582" s="534"/>
      <c r="C582" s="534"/>
      <c r="D582" s="534"/>
      <c r="E582" s="534"/>
      <c r="F582" s="534"/>
      <c r="G582" s="534"/>
      <c r="H582" s="534"/>
      <c r="I582" s="534"/>
      <c r="J582" s="138"/>
    </row>
    <row r="583" spans="1:10" x14ac:dyDescent="0.25">
      <c r="A583" s="68"/>
      <c r="B583" s="68"/>
      <c r="C583" s="68"/>
      <c r="D583" s="68"/>
      <c r="E583" s="68"/>
      <c r="F583" s="68"/>
      <c r="G583" s="68"/>
      <c r="H583" s="68"/>
      <c r="I583" s="68"/>
    </row>
    <row r="585" spans="1:10" x14ac:dyDescent="0.25">
      <c r="A585" s="345" t="s">
        <v>11</v>
      </c>
      <c r="B585" s="722" t="s">
        <v>397</v>
      </c>
      <c r="C585" s="362"/>
      <c r="D585" s="2"/>
      <c r="E585" s="2"/>
      <c r="F585" s="2"/>
    </row>
    <row r="586" spans="1:10" x14ac:dyDescent="0.25">
      <c r="A586" s="51" t="s">
        <v>1</v>
      </c>
      <c r="B586" s="565" t="s">
        <v>224</v>
      </c>
      <c r="C586" s="5" t="s">
        <v>2</v>
      </c>
      <c r="D586" s="2"/>
      <c r="E586" s="2"/>
      <c r="F586" s="2"/>
    </row>
    <row r="587" spans="1:10" x14ac:dyDescent="0.25">
      <c r="A587" s="315" t="s">
        <v>3</v>
      </c>
      <c r="B587" s="286">
        <v>2015</v>
      </c>
      <c r="C587" s="286">
        <v>2016</v>
      </c>
      <c r="D587" s="537">
        <v>2017</v>
      </c>
      <c r="E587" s="286">
        <v>2018</v>
      </c>
      <c r="F587" s="286">
        <v>2019</v>
      </c>
      <c r="G587" s="286">
        <v>2020</v>
      </c>
    </row>
    <row r="588" spans="1:10" x14ac:dyDescent="0.25">
      <c r="A588" s="315" t="s">
        <v>4</v>
      </c>
      <c r="B588" s="290">
        <v>200</v>
      </c>
      <c r="C588" s="538">
        <v>200</v>
      </c>
      <c r="D588" s="290">
        <v>200</v>
      </c>
      <c r="E588" s="539">
        <v>200</v>
      </c>
      <c r="F588" s="539">
        <v>215</v>
      </c>
      <c r="G588" s="539">
        <v>215</v>
      </c>
    </row>
    <row r="589" spans="1:10" x14ac:dyDescent="0.25">
      <c r="A589" s="315" t="s">
        <v>5</v>
      </c>
      <c r="B589" s="290">
        <f t="shared" ref="B589:E589" si="14">200+(200*25%)</f>
        <v>250</v>
      </c>
      <c r="C589" s="290">
        <f t="shared" si="14"/>
        <v>250</v>
      </c>
      <c r="D589" s="290">
        <f t="shared" si="14"/>
        <v>250</v>
      </c>
      <c r="E589" s="290">
        <f t="shared" si="14"/>
        <v>250</v>
      </c>
      <c r="F589" s="539">
        <v>265</v>
      </c>
      <c r="G589" s="539">
        <v>265</v>
      </c>
    </row>
    <row r="590" spans="1:10" x14ac:dyDescent="0.25">
      <c r="A590" s="315" t="s">
        <v>6</v>
      </c>
      <c r="B590" s="130">
        <v>2</v>
      </c>
      <c r="C590" s="563">
        <v>3</v>
      </c>
      <c r="D590" s="130">
        <v>4</v>
      </c>
      <c r="E590" s="564">
        <v>5</v>
      </c>
      <c r="F590" s="564">
        <v>6</v>
      </c>
      <c r="G590" s="130">
        <v>7</v>
      </c>
    </row>
    <row r="591" spans="1:10" x14ac:dyDescent="0.25">
      <c r="A591" s="315" t="s">
        <v>7</v>
      </c>
      <c r="B591" s="130">
        <v>0</v>
      </c>
      <c r="C591" s="563">
        <v>0</v>
      </c>
      <c r="D591" s="130">
        <v>0</v>
      </c>
      <c r="E591" s="564">
        <v>0</v>
      </c>
      <c r="F591" s="564">
        <v>0</v>
      </c>
      <c r="G591" s="130">
        <v>0</v>
      </c>
    </row>
    <row r="592" spans="1:10" x14ac:dyDescent="0.25">
      <c r="A592" s="315" t="s">
        <v>8</v>
      </c>
      <c r="B592" s="290">
        <f t="shared" ref="B592:D592" si="15">B589-B591</f>
        <v>250</v>
      </c>
      <c r="C592" s="290">
        <f t="shared" si="15"/>
        <v>250</v>
      </c>
      <c r="D592" s="290">
        <f t="shared" si="15"/>
        <v>250</v>
      </c>
      <c r="E592" s="539">
        <v>250</v>
      </c>
      <c r="F592" s="539">
        <f>F589-F591</f>
        <v>265</v>
      </c>
      <c r="G592" s="539">
        <f>G589-G591</f>
        <v>265</v>
      </c>
    </row>
    <row r="593" spans="1:8" x14ac:dyDescent="0.25">
      <c r="A593" s="315" t="s">
        <v>9</v>
      </c>
      <c r="B593" s="540">
        <v>2013</v>
      </c>
      <c r="C593" s="541">
        <v>2014</v>
      </c>
      <c r="D593" s="540">
        <v>2015</v>
      </c>
      <c r="E593" s="542">
        <v>2016</v>
      </c>
      <c r="F593" s="542">
        <v>2017</v>
      </c>
      <c r="G593" s="540">
        <v>2018</v>
      </c>
    </row>
    <row r="594" spans="1:8" x14ac:dyDescent="0.25">
      <c r="A594" s="315" t="s">
        <v>10</v>
      </c>
      <c r="B594" s="315"/>
      <c r="C594" s="317"/>
      <c r="D594" s="317"/>
      <c r="E594" s="317"/>
      <c r="F594" s="317"/>
      <c r="G594" s="311"/>
    </row>
    <row r="595" spans="1:8" x14ac:dyDescent="0.25">
      <c r="A595" s="107" t="s">
        <v>398</v>
      </c>
      <c r="G595" s="110"/>
    </row>
    <row r="596" spans="1:8" x14ac:dyDescent="0.25">
      <c r="A596" s="107" t="s">
        <v>399</v>
      </c>
      <c r="G596" s="110"/>
    </row>
    <row r="597" spans="1:8" x14ac:dyDescent="0.25">
      <c r="A597" s="107" t="s">
        <v>400</v>
      </c>
      <c r="G597" s="110"/>
    </row>
    <row r="598" spans="1:8" x14ac:dyDescent="0.25">
      <c r="A598" s="107" t="s">
        <v>401</v>
      </c>
      <c r="G598" s="110"/>
    </row>
    <row r="599" spans="1:8" x14ac:dyDescent="0.25">
      <c r="A599" s="107" t="s">
        <v>402</v>
      </c>
      <c r="G599" s="110"/>
    </row>
    <row r="600" spans="1:8" x14ac:dyDescent="0.25">
      <c r="A600" s="107" t="s">
        <v>403</v>
      </c>
      <c r="G600" s="110"/>
    </row>
    <row r="601" spans="1:8" x14ac:dyDescent="0.25">
      <c r="A601" s="136" t="s">
        <v>404</v>
      </c>
      <c r="B601" s="136"/>
      <c r="C601" s="137"/>
      <c r="D601" s="137"/>
      <c r="E601" s="137"/>
      <c r="F601" s="137"/>
      <c r="G601" s="138"/>
    </row>
    <row r="603" spans="1:8" s="350" customFormat="1" x14ac:dyDescent="0.25">
      <c r="A603" s="346" t="s">
        <v>1</v>
      </c>
      <c r="B603" s="566" t="s">
        <v>220</v>
      </c>
      <c r="C603" s="348" t="s">
        <v>2</v>
      </c>
      <c r="D603" s="349"/>
      <c r="E603" s="349"/>
      <c r="F603" s="349"/>
      <c r="G603" s="349"/>
      <c r="H603" s="349"/>
    </row>
    <row r="604" spans="1:8" s="350" customFormat="1" x14ac:dyDescent="0.25">
      <c r="A604" s="351" t="s">
        <v>3</v>
      </c>
      <c r="B604" s="544">
        <v>2015</v>
      </c>
      <c r="C604" s="544">
        <v>2016</v>
      </c>
      <c r="D604" s="545">
        <v>2017</v>
      </c>
      <c r="E604" s="544">
        <v>2018</v>
      </c>
      <c r="F604" s="544">
        <v>2019</v>
      </c>
      <c r="G604" s="544">
        <v>2020</v>
      </c>
      <c r="H604" s="349"/>
    </row>
    <row r="605" spans="1:8" s="350" customFormat="1" x14ac:dyDescent="0.25">
      <c r="A605" s="351" t="s">
        <v>4</v>
      </c>
      <c r="B605" s="522">
        <v>40</v>
      </c>
      <c r="C605" s="522">
        <v>40</v>
      </c>
      <c r="D605" s="546">
        <v>40</v>
      </c>
      <c r="E605" s="522">
        <v>40</v>
      </c>
      <c r="F605" s="547">
        <v>40</v>
      </c>
      <c r="G605" s="547">
        <v>40</v>
      </c>
      <c r="H605" s="349"/>
    </row>
    <row r="606" spans="1:8" s="350" customFormat="1" x14ac:dyDescent="0.25">
      <c r="A606" s="351" t="s">
        <v>5</v>
      </c>
      <c r="B606" s="522">
        <f>40+(40*50%)+40</f>
        <v>100</v>
      </c>
      <c r="C606" s="522">
        <f>40+(40*50%)+40</f>
        <v>100</v>
      </c>
      <c r="D606" s="522">
        <v>112.75</v>
      </c>
      <c r="E606" s="522">
        <v>108.75</v>
      </c>
      <c r="F606" s="522">
        <v>108.75</v>
      </c>
      <c r="G606" s="522">
        <v>108.75</v>
      </c>
      <c r="H606" s="349"/>
    </row>
    <row r="607" spans="1:8" s="350" customFormat="1" x14ac:dyDescent="0.25">
      <c r="A607" s="351" t="s">
        <v>6</v>
      </c>
      <c r="B607" s="169">
        <v>1</v>
      </c>
      <c r="C607" s="169">
        <v>2</v>
      </c>
      <c r="D607" s="548">
        <v>3</v>
      </c>
      <c r="E607" s="169">
        <v>4</v>
      </c>
      <c r="F607" s="549">
        <v>5</v>
      </c>
      <c r="G607" s="169">
        <v>6</v>
      </c>
      <c r="H607" s="349"/>
    </row>
    <row r="608" spans="1:8" s="350" customFormat="1" x14ac:dyDescent="0.25">
      <c r="A608" s="351" t="s">
        <v>7</v>
      </c>
      <c r="B608" s="522">
        <v>0</v>
      </c>
      <c r="C608" s="522">
        <v>0</v>
      </c>
      <c r="D608" s="546">
        <v>0</v>
      </c>
      <c r="E608" s="522">
        <v>0</v>
      </c>
      <c r="F608" s="547">
        <v>0</v>
      </c>
      <c r="G608" s="522">
        <v>0</v>
      </c>
      <c r="H608" s="349"/>
    </row>
    <row r="609" spans="1:8" s="350" customFormat="1" x14ac:dyDescent="0.25">
      <c r="A609" s="351" t="s">
        <v>8</v>
      </c>
      <c r="B609" s="522">
        <f>B606-B608</f>
        <v>100</v>
      </c>
      <c r="C609" s="522">
        <f t="shared" ref="C609" si="16">C606-C608</f>
        <v>100</v>
      </c>
      <c r="D609" s="522">
        <f>D606-D608</f>
        <v>112.75</v>
      </c>
      <c r="E609" s="522">
        <f t="shared" ref="E609:G609" si="17">E606-E608</f>
        <v>108.75</v>
      </c>
      <c r="F609" s="522">
        <f t="shared" si="17"/>
        <v>108.75</v>
      </c>
      <c r="G609" s="522">
        <f t="shared" si="17"/>
        <v>108.75</v>
      </c>
      <c r="H609" s="349"/>
    </row>
    <row r="610" spans="1:8" s="350" customFormat="1" ht="26.4" x14ac:dyDescent="0.25">
      <c r="A610" s="353" t="s">
        <v>9</v>
      </c>
      <c r="B610" s="354">
        <v>2013</v>
      </c>
      <c r="C610" s="354">
        <v>2014</v>
      </c>
      <c r="D610" s="355">
        <v>2015</v>
      </c>
      <c r="E610" s="354">
        <v>2016</v>
      </c>
      <c r="F610" s="356">
        <v>2017</v>
      </c>
      <c r="G610" s="357">
        <v>2018</v>
      </c>
      <c r="H610" s="349"/>
    </row>
    <row r="611" spans="1:8" s="350" customFormat="1" x14ac:dyDescent="0.25">
      <c r="A611" s="921" t="s">
        <v>10</v>
      </c>
      <c r="B611" s="922"/>
      <c r="C611" s="922"/>
      <c r="D611" s="922"/>
      <c r="E611" s="922"/>
      <c r="F611" s="922"/>
      <c r="G611" s="347"/>
      <c r="H611" s="349"/>
    </row>
    <row r="612" spans="1:8" s="350" customFormat="1" x14ac:dyDescent="0.25">
      <c r="A612" s="358" t="s">
        <v>398</v>
      </c>
      <c r="B612" s="349"/>
      <c r="C612" s="349"/>
      <c r="D612" s="349"/>
      <c r="E612" s="349"/>
      <c r="F612" s="349"/>
      <c r="G612" s="359"/>
      <c r="H612" s="349"/>
    </row>
    <row r="613" spans="1:8" s="350" customFormat="1" x14ac:dyDescent="0.25">
      <c r="A613" s="858" t="s">
        <v>405</v>
      </c>
      <c r="B613" s="875"/>
      <c r="C613" s="875"/>
      <c r="D613" s="875"/>
      <c r="E613" s="875"/>
      <c r="F613" s="875"/>
      <c r="G613" s="359"/>
      <c r="H613" s="349"/>
    </row>
    <row r="614" spans="1:8" s="350" customFormat="1" x14ac:dyDescent="0.25">
      <c r="A614" s="858" t="s">
        <v>406</v>
      </c>
      <c r="B614" s="875"/>
      <c r="C614" s="875"/>
      <c r="D614" s="875"/>
      <c r="E614" s="875"/>
      <c r="F614" s="875"/>
      <c r="G614" s="359"/>
      <c r="H614" s="349"/>
    </row>
    <row r="615" spans="1:8" s="350" customFormat="1" ht="45" customHeight="1" x14ac:dyDescent="0.25">
      <c r="A615" s="858" t="s">
        <v>407</v>
      </c>
      <c r="B615" s="875"/>
      <c r="C615" s="875"/>
      <c r="D615" s="875"/>
      <c r="E615" s="875"/>
      <c r="F615" s="875"/>
      <c r="G615" s="860"/>
      <c r="H615" s="349"/>
    </row>
    <row r="616" spans="1:8" s="350" customFormat="1" ht="30" customHeight="1" x14ac:dyDescent="0.25">
      <c r="A616" s="858" t="s">
        <v>408</v>
      </c>
      <c r="B616" s="875"/>
      <c r="C616" s="875"/>
      <c r="D616" s="875"/>
      <c r="E616" s="875"/>
      <c r="F616" s="875"/>
      <c r="G616" s="860"/>
      <c r="H616" s="349"/>
    </row>
    <row r="617" spans="1:8" s="350" customFormat="1" ht="30" customHeight="1" x14ac:dyDescent="0.25">
      <c r="A617" s="858" t="s">
        <v>409</v>
      </c>
      <c r="B617" s="875"/>
      <c r="C617" s="875"/>
      <c r="D617" s="875"/>
      <c r="E617" s="875"/>
      <c r="F617" s="875"/>
      <c r="G617" s="860"/>
      <c r="H617" s="349"/>
    </row>
    <row r="618" spans="1:8" s="350" customFormat="1" ht="30" customHeight="1" x14ac:dyDescent="0.25">
      <c r="A618" s="832" t="s">
        <v>410</v>
      </c>
      <c r="B618" s="833"/>
      <c r="C618" s="833"/>
      <c r="D618" s="833"/>
      <c r="E618" s="833"/>
      <c r="F618" s="833"/>
      <c r="G618" s="834"/>
      <c r="H618" s="349"/>
    </row>
    <row r="619" spans="1:8" x14ac:dyDescent="0.25">
      <c r="A619" s="2"/>
      <c r="B619" s="2"/>
      <c r="C619" s="2"/>
      <c r="D619" s="2"/>
      <c r="E619" s="2"/>
      <c r="F619" s="2"/>
    </row>
    <row r="620" spans="1:8" x14ac:dyDescent="0.25">
      <c r="A620" s="550" t="s">
        <v>1</v>
      </c>
      <c r="B620" s="314" t="s">
        <v>35</v>
      </c>
      <c r="C620" s="551" t="s">
        <v>2</v>
      </c>
    </row>
    <row r="621" spans="1:8" x14ac:dyDescent="0.25">
      <c r="A621" s="315" t="s">
        <v>3</v>
      </c>
      <c r="B621" s="552">
        <v>2015</v>
      </c>
      <c r="C621" s="552">
        <v>2016</v>
      </c>
      <c r="D621" s="553">
        <v>2017</v>
      </c>
      <c r="E621" s="552">
        <v>2018</v>
      </c>
      <c r="F621" s="552">
        <v>2019</v>
      </c>
      <c r="G621" s="286">
        <v>2020</v>
      </c>
    </row>
    <row r="622" spans="1:8" x14ac:dyDescent="0.25">
      <c r="A622" s="315" t="s">
        <v>4</v>
      </c>
      <c r="B622" s="554">
        <v>4.51</v>
      </c>
      <c r="C622" s="554">
        <v>4.51</v>
      </c>
      <c r="D622" s="555">
        <v>4.51</v>
      </c>
      <c r="E622" s="554">
        <v>5.31</v>
      </c>
      <c r="F622" s="556">
        <v>5.31</v>
      </c>
      <c r="G622" s="130">
        <v>5.31</v>
      </c>
    </row>
    <row r="623" spans="1:8" x14ac:dyDescent="0.25">
      <c r="A623" s="315" t="s">
        <v>5</v>
      </c>
      <c r="B623" s="554">
        <v>8.51</v>
      </c>
      <c r="C623" s="554">
        <v>9.02</v>
      </c>
      <c r="D623" s="554">
        <v>4.1899999999999995</v>
      </c>
      <c r="E623" s="554">
        <v>9.5</v>
      </c>
      <c r="F623" s="554">
        <f>2*F622-9.62</f>
        <v>1</v>
      </c>
      <c r="G623" s="130">
        <f>G622+F626</f>
        <v>6.31</v>
      </c>
    </row>
    <row r="624" spans="1:8" x14ac:dyDescent="0.25">
      <c r="A624" s="315" t="s">
        <v>6</v>
      </c>
      <c r="B624" s="557">
        <v>1</v>
      </c>
      <c r="C624" s="557">
        <v>2</v>
      </c>
      <c r="D624" s="558">
        <v>3</v>
      </c>
      <c r="E624" s="557">
        <v>4</v>
      </c>
      <c r="F624" s="559">
        <v>5</v>
      </c>
      <c r="G624" s="112">
        <v>6</v>
      </c>
    </row>
    <row r="625" spans="1:8" x14ac:dyDescent="0.25">
      <c r="A625" s="315" t="s">
        <v>7</v>
      </c>
      <c r="B625" s="554">
        <v>0.17</v>
      </c>
      <c r="C625" s="554">
        <v>9.34</v>
      </c>
      <c r="D625" s="555">
        <v>0</v>
      </c>
      <c r="E625" s="554">
        <v>0</v>
      </c>
      <c r="F625" s="556">
        <v>0</v>
      </c>
      <c r="G625" s="130">
        <v>0</v>
      </c>
    </row>
    <row r="626" spans="1:8" x14ac:dyDescent="0.25">
      <c r="A626" s="315" t="s">
        <v>8</v>
      </c>
      <c r="B626" s="554">
        <v>8.34</v>
      </c>
      <c r="C626" s="554">
        <v>-0.32000000000000028</v>
      </c>
      <c r="D626" s="554">
        <v>4.1899999999999995</v>
      </c>
      <c r="E626" s="554">
        <v>9.5</v>
      </c>
      <c r="F626" s="556">
        <f>F623-F625</f>
        <v>1</v>
      </c>
      <c r="G626" s="130">
        <v>6.31</v>
      </c>
    </row>
    <row r="627" spans="1:8" x14ac:dyDescent="0.25">
      <c r="A627" s="543" t="s">
        <v>9</v>
      </c>
      <c r="B627" s="560">
        <v>2014</v>
      </c>
      <c r="C627" s="560">
        <v>2015</v>
      </c>
      <c r="D627" s="561">
        <v>2016</v>
      </c>
      <c r="E627" s="560">
        <v>2017</v>
      </c>
      <c r="F627" s="562">
        <v>2018</v>
      </c>
      <c r="G627" s="163">
        <v>2019</v>
      </c>
    </row>
    <row r="628" spans="1:8" x14ac:dyDescent="0.25">
      <c r="A628" s="315" t="s">
        <v>10</v>
      </c>
      <c r="B628" s="317"/>
      <c r="C628" s="317"/>
      <c r="D628" s="317"/>
      <c r="E628" s="317"/>
      <c r="F628" s="317"/>
      <c r="G628" s="311"/>
    </row>
    <row r="629" spans="1:8" x14ac:dyDescent="0.25">
      <c r="A629" s="109" t="s">
        <v>411</v>
      </c>
      <c r="G629" s="110"/>
    </row>
    <row r="630" spans="1:8" x14ac:dyDescent="0.25">
      <c r="A630" s="109" t="s">
        <v>412</v>
      </c>
      <c r="G630" s="110"/>
    </row>
    <row r="631" spans="1:8" x14ac:dyDescent="0.25">
      <c r="A631" s="109" t="s">
        <v>413</v>
      </c>
      <c r="G631" s="110"/>
    </row>
    <row r="632" spans="1:8" x14ac:dyDescent="0.25">
      <c r="A632" s="109" t="s">
        <v>414</v>
      </c>
      <c r="G632" s="110"/>
    </row>
    <row r="633" spans="1:8" x14ac:dyDescent="0.25">
      <c r="A633" s="109" t="s">
        <v>415</v>
      </c>
      <c r="G633" s="110"/>
    </row>
    <row r="634" spans="1:8" x14ac:dyDescent="0.25">
      <c r="A634" s="136" t="s">
        <v>416</v>
      </c>
      <c r="B634" s="137"/>
      <c r="C634" s="137"/>
      <c r="D634" s="137"/>
      <c r="E634" s="137"/>
      <c r="F634" s="137"/>
      <c r="G634" s="138"/>
    </row>
    <row r="637" spans="1:8" x14ac:dyDescent="0.25">
      <c r="A637" s="25" t="s">
        <v>12</v>
      </c>
      <c r="B637" s="723" t="s">
        <v>272</v>
      </c>
      <c r="C637" s="85"/>
      <c r="D637" s="26"/>
      <c r="E637" s="26"/>
      <c r="F637" s="26"/>
      <c r="G637" s="114"/>
      <c r="H637" s="47"/>
    </row>
    <row r="638" spans="1:8" x14ac:dyDescent="0.25">
      <c r="A638" s="269" t="s">
        <v>14</v>
      </c>
      <c r="B638" s="231" t="s">
        <v>76</v>
      </c>
      <c r="C638" s="158" t="s">
        <v>15</v>
      </c>
      <c r="D638" s="159"/>
      <c r="E638" s="159"/>
      <c r="F638" s="159"/>
      <c r="G638" s="178"/>
    </row>
    <row r="639" spans="1:8" x14ac:dyDescent="0.25">
      <c r="A639" s="145" t="s">
        <v>16</v>
      </c>
      <c r="B639" s="327">
        <v>2015</v>
      </c>
      <c r="C639" s="327">
        <v>2016</v>
      </c>
      <c r="D639" s="334">
        <v>2017</v>
      </c>
      <c r="E639" s="327">
        <v>2018</v>
      </c>
      <c r="F639" s="335">
        <v>2019</v>
      </c>
      <c r="G639" s="335">
        <v>2020</v>
      </c>
      <c r="H639" s="335">
        <v>2021</v>
      </c>
    </row>
    <row r="640" spans="1:8" x14ac:dyDescent="0.25">
      <c r="A640" s="145" t="s">
        <v>17</v>
      </c>
      <c r="B640" s="65">
        <v>4722</v>
      </c>
      <c r="C640" s="65">
        <v>4250</v>
      </c>
      <c r="D640" s="65">
        <v>4250</v>
      </c>
      <c r="E640" s="65">
        <v>4250</v>
      </c>
      <c r="F640" s="65">
        <v>4250</v>
      </c>
      <c r="G640" s="258">
        <v>3716</v>
      </c>
      <c r="H640" s="65">
        <v>3716</v>
      </c>
    </row>
    <row r="641" spans="1:10" x14ac:dyDescent="0.25">
      <c r="A641" s="145" t="s">
        <v>18</v>
      </c>
      <c r="B641" s="65">
        <v>6614.6</v>
      </c>
      <c r="C641" s="258">
        <f>C640+70+583-337</f>
        <v>4566</v>
      </c>
      <c r="D641" s="258">
        <f>D640-337+70+637.5+C644</f>
        <v>3992.8999999999996</v>
      </c>
      <c r="E641" s="258">
        <f>E640-337+70</f>
        <v>3983</v>
      </c>
      <c r="F641" s="258">
        <f>F640+70+D644</f>
        <v>4475.2</v>
      </c>
      <c r="G641" s="258">
        <f>G640+E644</f>
        <v>4063.5</v>
      </c>
      <c r="H641" s="65">
        <f>H640+425</f>
        <v>4141</v>
      </c>
    </row>
    <row r="642" spans="1:10" x14ac:dyDescent="0.25">
      <c r="A642" s="145" t="s">
        <v>19</v>
      </c>
      <c r="B642" s="268"/>
      <c r="C642" s="268">
        <v>1</v>
      </c>
      <c r="D642" s="268">
        <v>2</v>
      </c>
      <c r="E642" s="268">
        <v>3</v>
      </c>
      <c r="F642" s="268">
        <v>4</v>
      </c>
      <c r="G642" s="268">
        <v>5</v>
      </c>
      <c r="H642" s="268">
        <v>6</v>
      </c>
      <c r="J642" s="173"/>
    </row>
    <row r="643" spans="1:10" x14ac:dyDescent="0.25">
      <c r="A643" s="145" t="s">
        <v>20</v>
      </c>
      <c r="B643" s="258">
        <v>5917.6769999999997</v>
      </c>
      <c r="C643" s="258">
        <v>5193.6000000000004</v>
      </c>
      <c r="D643" s="258">
        <v>3837.7</v>
      </c>
      <c r="E643" s="258">
        <v>3635.5</v>
      </c>
      <c r="F643" s="65">
        <v>2864.5</v>
      </c>
      <c r="G643" s="65">
        <v>2932.5</v>
      </c>
      <c r="H643" s="65"/>
    </row>
    <row r="644" spans="1:10" x14ac:dyDescent="0.25">
      <c r="A644" s="145" t="s">
        <v>21</v>
      </c>
      <c r="B644" s="258">
        <f t="shared" ref="B644:G644" si="18">B641-B643</f>
        <v>696.92300000000068</v>
      </c>
      <c r="C644" s="258">
        <f t="shared" si="18"/>
        <v>-627.60000000000036</v>
      </c>
      <c r="D644" s="258">
        <f t="shared" si="18"/>
        <v>155.19999999999982</v>
      </c>
      <c r="E644" s="258">
        <f t="shared" si="18"/>
        <v>347.5</v>
      </c>
      <c r="F644" s="258">
        <f t="shared" si="18"/>
        <v>1610.6999999999998</v>
      </c>
      <c r="G644" s="113">
        <f t="shared" si="18"/>
        <v>1131</v>
      </c>
      <c r="H644" s="65"/>
      <c r="J644" s="173"/>
    </row>
    <row r="645" spans="1:10" x14ac:dyDescent="0.25">
      <c r="A645" s="146" t="s">
        <v>22</v>
      </c>
      <c r="B645" s="333">
        <v>2017</v>
      </c>
      <c r="C645" s="333">
        <v>2018</v>
      </c>
      <c r="D645" s="333">
        <v>2019</v>
      </c>
      <c r="E645" s="333">
        <v>2020</v>
      </c>
      <c r="F645" s="333">
        <v>2021</v>
      </c>
      <c r="G645" s="333"/>
      <c r="H645" s="333"/>
    </row>
    <row r="646" spans="1:10" x14ac:dyDescent="0.25">
      <c r="A646" s="131"/>
      <c r="B646" s="132"/>
      <c r="C646" s="133"/>
      <c r="D646" s="97"/>
      <c r="E646" s="97"/>
      <c r="F646" s="254"/>
      <c r="G646" s="254"/>
      <c r="H646" s="10"/>
    </row>
    <row r="647" spans="1:10" x14ac:dyDescent="0.25">
      <c r="A647" s="360" t="s">
        <v>585</v>
      </c>
      <c r="B647" s="108"/>
      <c r="C647" s="108"/>
      <c r="D647" s="108"/>
      <c r="E647" s="108"/>
      <c r="F647" s="108"/>
      <c r="G647" s="108"/>
      <c r="H647" s="110"/>
    </row>
    <row r="648" spans="1:10" x14ac:dyDescent="0.25">
      <c r="A648" s="570" t="s">
        <v>589</v>
      </c>
      <c r="B648" s="569"/>
      <c r="C648" s="569"/>
      <c r="D648" s="569"/>
      <c r="E648" s="569"/>
      <c r="F648" s="569"/>
      <c r="G648" s="108"/>
      <c r="H648" s="110"/>
    </row>
    <row r="649" spans="1:10" x14ac:dyDescent="0.25">
      <c r="A649" s="360" t="s">
        <v>586</v>
      </c>
      <c r="B649" s="108"/>
      <c r="C649" s="69"/>
      <c r="D649" s="70"/>
      <c r="E649" s="70"/>
      <c r="F649" s="114"/>
      <c r="G649" s="114"/>
      <c r="H649" s="50"/>
    </row>
    <row r="650" spans="1:10" x14ac:dyDescent="0.25">
      <c r="A650" s="360" t="s">
        <v>587</v>
      </c>
      <c r="B650" s="108"/>
      <c r="C650" s="69"/>
      <c r="D650" s="70"/>
      <c r="E650" s="70"/>
      <c r="F650" s="114"/>
      <c r="G650" s="114"/>
      <c r="H650" s="50"/>
    </row>
    <row r="651" spans="1:10" x14ac:dyDescent="0.25">
      <c r="A651" s="360" t="s">
        <v>588</v>
      </c>
      <c r="B651" s="108"/>
      <c r="C651" s="69"/>
      <c r="D651" s="70"/>
      <c r="E651" s="70"/>
      <c r="F651" s="114"/>
      <c r="G651" s="114"/>
      <c r="H651" s="50"/>
    </row>
    <row r="652" spans="1:10" x14ac:dyDescent="0.25">
      <c r="A652" s="136" t="s">
        <v>590</v>
      </c>
      <c r="B652" s="137"/>
      <c r="C652" s="137"/>
      <c r="D652" s="137"/>
      <c r="E652" s="137"/>
      <c r="F652" s="137"/>
      <c r="G652" s="137"/>
      <c r="H652" s="138"/>
    </row>
    <row r="655" spans="1:10" x14ac:dyDescent="0.25">
      <c r="A655" s="620" t="s">
        <v>12</v>
      </c>
      <c r="B655" s="724" t="s">
        <v>494</v>
      </c>
      <c r="C655" s="178"/>
    </row>
    <row r="656" spans="1:10" x14ac:dyDescent="0.25">
      <c r="A656" s="623" t="s">
        <v>14</v>
      </c>
      <c r="B656" s="143" t="s">
        <v>76</v>
      </c>
      <c r="C656" s="143" t="s">
        <v>164</v>
      </c>
      <c r="D656" s="159"/>
      <c r="E656" s="159"/>
      <c r="F656" s="159"/>
      <c r="G656" s="159"/>
    </row>
    <row r="657" spans="1:8" x14ac:dyDescent="0.25">
      <c r="A657" s="624" t="s">
        <v>16</v>
      </c>
      <c r="B657" s="625"/>
      <c r="C657" s="327">
        <v>2020</v>
      </c>
    </row>
    <row r="658" spans="1:8" x14ac:dyDescent="0.25">
      <c r="A658" s="145" t="s">
        <v>17</v>
      </c>
      <c r="B658" s="34"/>
      <c r="C658" s="144">
        <v>911.7</v>
      </c>
    </row>
    <row r="659" spans="1:8" x14ac:dyDescent="0.25">
      <c r="A659" s="145" t="s">
        <v>18</v>
      </c>
      <c r="B659" s="34"/>
      <c r="C659" s="144"/>
    </row>
    <row r="660" spans="1:8" x14ac:dyDescent="0.25">
      <c r="A660" s="145" t="s">
        <v>19</v>
      </c>
      <c r="B660" s="161"/>
      <c r="C660" s="431"/>
    </row>
    <row r="661" spans="1:8" x14ac:dyDescent="0.25">
      <c r="A661" s="145" t="s">
        <v>20</v>
      </c>
      <c r="B661" s="34"/>
      <c r="C661" s="144">
        <v>905.99</v>
      </c>
    </row>
    <row r="662" spans="1:8" x14ac:dyDescent="0.25">
      <c r="A662" s="145" t="s">
        <v>21</v>
      </c>
      <c r="B662" s="34"/>
      <c r="C662" s="144">
        <f>C658-C661</f>
        <v>5.7100000000000364</v>
      </c>
    </row>
    <row r="663" spans="1:8" x14ac:dyDescent="0.25">
      <c r="A663" s="146" t="s">
        <v>22</v>
      </c>
      <c r="B663" s="147"/>
      <c r="C663" s="432"/>
    </row>
    <row r="664" spans="1:8" x14ac:dyDescent="0.25">
      <c r="A664" s="876"/>
      <c r="B664" s="877"/>
      <c r="C664" s="878"/>
      <c r="D664" s="125"/>
      <c r="E664" s="125"/>
      <c r="F664" s="125"/>
      <c r="G664" s="125"/>
      <c r="H664" s="125"/>
    </row>
    <row r="665" spans="1:8" x14ac:dyDescent="0.25">
      <c r="A665" s="157"/>
      <c r="B665" s="157"/>
      <c r="C665" s="157"/>
      <c r="D665" s="157"/>
      <c r="E665" s="125"/>
      <c r="F665" s="125"/>
      <c r="G665" s="125"/>
      <c r="H665" s="125"/>
    </row>
    <row r="666" spans="1:8" x14ac:dyDescent="0.25">
      <c r="A666" s="157"/>
      <c r="B666" s="157"/>
      <c r="C666" s="157"/>
      <c r="D666" s="157"/>
      <c r="E666" s="157"/>
      <c r="F666" s="157"/>
      <c r="G666" s="157"/>
    </row>
    <row r="667" spans="1:8" x14ac:dyDescent="0.25">
      <c r="A667" s="620" t="s">
        <v>12</v>
      </c>
      <c r="B667" s="725" t="s">
        <v>495</v>
      </c>
      <c r="C667" s="178"/>
    </row>
    <row r="668" spans="1:8" x14ac:dyDescent="0.25">
      <c r="A668" s="623" t="s">
        <v>14</v>
      </c>
      <c r="B668" s="143" t="s">
        <v>226</v>
      </c>
      <c r="C668" s="143" t="s">
        <v>164</v>
      </c>
      <c r="D668" s="159"/>
      <c r="E668" s="159"/>
      <c r="F668" s="159"/>
      <c r="G668" s="159"/>
    </row>
    <row r="669" spans="1:8" x14ac:dyDescent="0.25">
      <c r="A669" s="624" t="s">
        <v>16</v>
      </c>
      <c r="B669" s="625">
        <v>2016</v>
      </c>
      <c r="C669" s="327">
        <v>2017</v>
      </c>
      <c r="D669" s="327">
        <v>2018</v>
      </c>
      <c r="E669" s="327">
        <v>2019</v>
      </c>
      <c r="F669" s="327">
        <v>2020</v>
      </c>
      <c r="G669" s="327">
        <v>2021</v>
      </c>
    </row>
    <row r="670" spans="1:8" x14ac:dyDescent="0.25">
      <c r="A670" s="145" t="s">
        <v>17</v>
      </c>
      <c r="B670" s="144">
        <v>0</v>
      </c>
      <c r="C670" s="144">
        <v>0</v>
      </c>
      <c r="D670" s="144">
        <v>0</v>
      </c>
      <c r="E670" s="144">
        <v>0</v>
      </c>
      <c r="F670" s="144">
        <v>0</v>
      </c>
      <c r="G670" s="144">
        <v>0</v>
      </c>
    </row>
    <row r="671" spans="1:8" x14ac:dyDescent="0.25">
      <c r="A671" s="145" t="s">
        <v>18</v>
      </c>
      <c r="B671" s="144">
        <f>B674+B673</f>
        <v>-0.66000000000000014</v>
      </c>
      <c r="C671" s="144">
        <f>B674</f>
        <v>-6.29</v>
      </c>
      <c r="D671" s="144">
        <f t="shared" ref="D671:G671" si="19">C674</f>
        <v>-14.989999999999998</v>
      </c>
      <c r="E671" s="144">
        <f t="shared" si="19"/>
        <v>-19.489999999999998</v>
      </c>
      <c r="F671" s="144">
        <f t="shared" si="19"/>
        <v>-21.189999999999998</v>
      </c>
      <c r="G671" s="144">
        <f t="shared" si="19"/>
        <v>-25.709999999999997</v>
      </c>
    </row>
    <row r="672" spans="1:8" x14ac:dyDescent="0.25">
      <c r="A672" s="145" t="s">
        <v>19</v>
      </c>
      <c r="B672" s="431"/>
      <c r="C672" s="431"/>
      <c r="D672" s="431"/>
      <c r="E672" s="431"/>
      <c r="F672" s="431"/>
      <c r="G672" s="431"/>
    </row>
    <row r="673" spans="1:8" x14ac:dyDescent="0.25">
      <c r="A673" s="145" t="s">
        <v>20</v>
      </c>
      <c r="B673" s="144">
        <v>5.63</v>
      </c>
      <c r="C673" s="144">
        <v>8.6999999999999993</v>
      </c>
      <c r="D673" s="144">
        <v>4.5</v>
      </c>
      <c r="E673" s="144">
        <v>1.7</v>
      </c>
      <c r="F673" s="144">
        <v>4.5199999999999996</v>
      </c>
      <c r="G673" s="144"/>
    </row>
    <row r="674" spans="1:8" x14ac:dyDescent="0.25">
      <c r="A674" s="145" t="s">
        <v>21</v>
      </c>
      <c r="B674" s="287">
        <v>-6.29</v>
      </c>
      <c r="C674" s="287">
        <f>C671-C673</f>
        <v>-14.989999999999998</v>
      </c>
      <c r="D674" s="287">
        <f>D671-D673</f>
        <v>-19.489999999999998</v>
      </c>
      <c r="E674" s="287">
        <f>E671-E673</f>
        <v>-21.189999999999998</v>
      </c>
      <c r="F674" s="287">
        <f>F671-F673</f>
        <v>-25.709999999999997</v>
      </c>
      <c r="G674" s="287"/>
    </row>
    <row r="675" spans="1:8" x14ac:dyDescent="0.25">
      <c r="A675" s="146" t="s">
        <v>22</v>
      </c>
      <c r="B675" s="147">
        <v>2017</v>
      </c>
      <c r="C675" s="147">
        <v>2018</v>
      </c>
      <c r="D675" s="147">
        <v>2019</v>
      </c>
      <c r="E675" s="147">
        <v>2020</v>
      </c>
      <c r="F675" s="147">
        <v>2021</v>
      </c>
      <c r="G675" s="147">
        <v>2022</v>
      </c>
    </row>
    <row r="676" spans="1:8" ht="13.2" customHeight="1" x14ac:dyDescent="0.25">
      <c r="A676" s="874" t="s">
        <v>496</v>
      </c>
      <c r="B676" s="874"/>
      <c r="C676" s="874"/>
      <c r="D676" s="874"/>
      <c r="E676" s="874"/>
      <c r="F676" s="874"/>
      <c r="G676" s="874"/>
      <c r="H676" s="125"/>
    </row>
    <row r="677" spans="1:8" x14ac:dyDescent="0.25">
      <c r="A677" s="157"/>
      <c r="B677" s="157"/>
      <c r="C677" s="157"/>
      <c r="D677" s="157"/>
      <c r="E677" s="125"/>
      <c r="F677" s="125"/>
      <c r="G677" s="125"/>
      <c r="H677" s="125"/>
    </row>
    <row r="678" spans="1:8" x14ac:dyDescent="0.25">
      <c r="A678" s="623" t="s">
        <v>14</v>
      </c>
      <c r="B678" s="143" t="s">
        <v>85</v>
      </c>
      <c r="C678" s="143" t="s">
        <v>164</v>
      </c>
      <c r="D678" s="159"/>
      <c r="E678" s="159"/>
      <c r="F678" s="159"/>
      <c r="G678" s="159"/>
    </row>
    <row r="679" spans="1:8" x14ac:dyDescent="0.25">
      <c r="A679" s="624" t="s">
        <v>16</v>
      </c>
      <c r="B679" s="625">
        <v>2019</v>
      </c>
      <c r="C679" s="327">
        <v>2020</v>
      </c>
      <c r="D679" s="327">
        <v>2021</v>
      </c>
    </row>
    <row r="680" spans="1:8" x14ac:dyDescent="0.25">
      <c r="A680" s="145" t="s">
        <v>17</v>
      </c>
      <c r="B680" s="34">
        <v>10</v>
      </c>
      <c r="C680" s="34">
        <v>10</v>
      </c>
      <c r="D680" s="34">
        <v>10</v>
      </c>
    </row>
    <row r="681" spans="1:8" x14ac:dyDescent="0.25">
      <c r="A681" s="145" t="s">
        <v>18</v>
      </c>
      <c r="B681" s="34"/>
      <c r="C681" s="34">
        <f>B684+C680</f>
        <v>-108.22</v>
      </c>
      <c r="D681" s="34">
        <f>D680+C684</f>
        <v>-137.05000000000001</v>
      </c>
    </row>
    <row r="682" spans="1:8" x14ac:dyDescent="0.25">
      <c r="A682" s="145" t="s">
        <v>19</v>
      </c>
      <c r="B682" s="161"/>
      <c r="C682" s="161"/>
      <c r="D682" s="161"/>
    </row>
    <row r="683" spans="1:8" x14ac:dyDescent="0.25">
      <c r="A683" s="145" t="s">
        <v>20</v>
      </c>
      <c r="B683" s="34">
        <v>128.22</v>
      </c>
      <c r="C683" s="34">
        <v>38.83</v>
      </c>
      <c r="D683" s="34"/>
    </row>
    <row r="684" spans="1:8" x14ac:dyDescent="0.25">
      <c r="A684" s="145" t="s">
        <v>21</v>
      </c>
      <c r="B684" s="288">
        <f>B680-B683</f>
        <v>-118.22</v>
      </c>
      <c r="C684" s="288">
        <f>C681-C683</f>
        <v>-147.05000000000001</v>
      </c>
      <c r="D684" s="34"/>
    </row>
    <row r="685" spans="1:8" x14ac:dyDescent="0.25">
      <c r="A685" s="146" t="s">
        <v>22</v>
      </c>
      <c r="B685" s="147">
        <v>2020</v>
      </c>
      <c r="C685" s="147">
        <v>2021</v>
      </c>
      <c r="D685" s="147">
        <v>2022</v>
      </c>
    </row>
    <row r="686" spans="1:8" x14ac:dyDescent="0.25">
      <c r="A686" s="838" t="s">
        <v>496</v>
      </c>
      <c r="B686" s="839"/>
      <c r="C686" s="839"/>
      <c r="D686" s="840"/>
      <c r="E686" s="125"/>
      <c r="F686" s="125"/>
      <c r="G686" s="125"/>
      <c r="H686" s="125"/>
    </row>
    <row r="688" spans="1:8" x14ac:dyDescent="0.25">
      <c r="A688" s="623" t="s">
        <v>14</v>
      </c>
      <c r="B688" s="143" t="s">
        <v>90</v>
      </c>
      <c r="C688" s="143" t="s">
        <v>164</v>
      </c>
      <c r="D688" s="159"/>
      <c r="E688" s="159"/>
      <c r="F688" s="159"/>
      <c r="G688" s="159"/>
    </row>
    <row r="689" spans="1:17" x14ac:dyDescent="0.25">
      <c r="A689" s="624" t="s">
        <v>16</v>
      </c>
      <c r="B689" s="625">
        <v>2016</v>
      </c>
      <c r="C689" s="327">
        <v>2017</v>
      </c>
      <c r="D689" s="327">
        <v>2018</v>
      </c>
      <c r="E689" s="327">
        <v>2019</v>
      </c>
      <c r="F689" s="327">
        <v>2020</v>
      </c>
      <c r="G689" s="327">
        <v>2021</v>
      </c>
    </row>
    <row r="690" spans="1:17" x14ac:dyDescent="0.25">
      <c r="A690" s="145" t="s">
        <v>17</v>
      </c>
      <c r="B690" s="144">
        <v>2</v>
      </c>
      <c r="C690" s="144">
        <v>2</v>
      </c>
      <c r="D690" s="144">
        <v>2</v>
      </c>
      <c r="E690" s="144">
        <v>2</v>
      </c>
      <c r="F690" s="144">
        <v>2</v>
      </c>
      <c r="G690" s="144">
        <v>2</v>
      </c>
    </row>
    <row r="691" spans="1:17" x14ac:dyDescent="0.25">
      <c r="A691" s="145" t="s">
        <v>18</v>
      </c>
      <c r="B691" s="144">
        <f>B693+B694</f>
        <v>1.3599999999999994</v>
      </c>
      <c r="C691" s="144">
        <f>B694+C690</f>
        <v>-45.06</v>
      </c>
      <c r="D691" s="144">
        <f>D690+C694</f>
        <v>-100.26</v>
      </c>
      <c r="E691" s="144">
        <f>D694+E690</f>
        <v>-165.26</v>
      </c>
      <c r="F691" s="144">
        <f>F690+E694</f>
        <v>-163.26</v>
      </c>
      <c r="G691" s="144">
        <f>G690+F694</f>
        <v>-161.26</v>
      </c>
    </row>
    <row r="692" spans="1:17" x14ac:dyDescent="0.25">
      <c r="A692" s="145" t="s">
        <v>19</v>
      </c>
      <c r="B692" s="431"/>
      <c r="C692" s="431"/>
      <c r="D692" s="431"/>
      <c r="E692" s="431"/>
      <c r="F692" s="431"/>
      <c r="G692" s="431"/>
    </row>
    <row r="693" spans="1:17" x14ac:dyDescent="0.25">
      <c r="A693" s="145" t="s">
        <v>20</v>
      </c>
      <c r="B693" s="144">
        <v>48.42</v>
      </c>
      <c r="C693" s="144">
        <v>57.2</v>
      </c>
      <c r="D693" s="144">
        <v>67</v>
      </c>
      <c r="E693" s="144">
        <v>0</v>
      </c>
      <c r="F693" s="144">
        <v>0</v>
      </c>
      <c r="G693" s="144"/>
    </row>
    <row r="694" spans="1:17" x14ac:dyDescent="0.25">
      <c r="A694" s="145" t="s">
        <v>21</v>
      </c>
      <c r="B694" s="287">
        <v>-47.06</v>
      </c>
      <c r="C694" s="287">
        <f>C691-C693</f>
        <v>-102.26</v>
      </c>
      <c r="D694" s="287">
        <f>D691-D693</f>
        <v>-167.26</v>
      </c>
      <c r="E694" s="287">
        <f>E691-E693</f>
        <v>-165.26</v>
      </c>
      <c r="F694" s="287">
        <f>F691-F693</f>
        <v>-163.26</v>
      </c>
      <c r="G694" s="287"/>
    </row>
    <row r="695" spans="1:17" x14ac:dyDescent="0.25">
      <c r="A695" s="146" t="s">
        <v>22</v>
      </c>
      <c r="B695" s="147">
        <v>2017</v>
      </c>
      <c r="C695" s="147">
        <v>2018</v>
      </c>
      <c r="D695" s="147">
        <v>2019</v>
      </c>
      <c r="E695" s="147">
        <v>2020</v>
      </c>
      <c r="F695" s="147">
        <v>2021</v>
      </c>
      <c r="G695" s="147">
        <v>2022</v>
      </c>
    </row>
    <row r="696" spans="1:17" ht="13.2" customHeight="1" x14ac:dyDescent="0.25">
      <c r="A696" s="874" t="s">
        <v>496</v>
      </c>
      <c r="B696" s="874"/>
      <c r="C696" s="874"/>
      <c r="D696" s="874"/>
      <c r="E696" s="874"/>
      <c r="F696" s="874"/>
      <c r="G696" s="874"/>
      <c r="H696" s="125"/>
    </row>
    <row r="697" spans="1:17" x14ac:dyDescent="0.25">
      <c r="A697" s="157"/>
      <c r="B697" s="157"/>
      <c r="C697" s="157"/>
      <c r="D697" s="157"/>
      <c r="E697" s="125"/>
      <c r="F697" s="125"/>
      <c r="G697" s="125"/>
      <c r="H697" s="125"/>
    </row>
    <row r="698" spans="1:17" x14ac:dyDescent="0.25">
      <c r="A698" s="68"/>
      <c r="B698" s="108"/>
      <c r="C698" s="69"/>
      <c r="D698" s="70"/>
      <c r="E698" s="70"/>
      <c r="F698" s="114"/>
      <c r="G698" s="114"/>
      <c r="H698" s="47"/>
    </row>
    <row r="699" spans="1:17" x14ac:dyDescent="0.25">
      <c r="A699" s="631" t="s">
        <v>12</v>
      </c>
      <c r="B699" s="726" t="s">
        <v>190</v>
      </c>
      <c r="C699" s="85"/>
      <c r="D699" s="85"/>
      <c r="E699" s="85"/>
      <c r="F699" s="85"/>
      <c r="G699" s="85"/>
      <c r="H699" s="85"/>
      <c r="I699" s="85"/>
      <c r="J699" s="85"/>
      <c r="K699" s="85"/>
      <c r="L699" s="85"/>
      <c r="M699" s="2"/>
      <c r="N699" s="2"/>
      <c r="O699" s="2"/>
      <c r="P699" s="2"/>
      <c r="Q699" s="2"/>
    </row>
    <row r="700" spans="1:17" x14ac:dyDescent="0.25">
      <c r="A700" s="218" t="s">
        <v>14</v>
      </c>
      <c r="B700" s="219" t="s">
        <v>224</v>
      </c>
      <c r="C700" s="219" t="s">
        <v>15</v>
      </c>
      <c r="D700" s="85"/>
      <c r="E700" s="85"/>
      <c r="F700" s="85"/>
      <c r="G700" s="85"/>
      <c r="H700" s="85"/>
      <c r="I700" s="85"/>
      <c r="J700" s="85"/>
      <c r="K700" s="85"/>
      <c r="L700" s="85"/>
      <c r="M700" s="164"/>
      <c r="N700" s="164"/>
      <c r="O700" s="164"/>
      <c r="P700" s="164"/>
      <c r="Q700" s="2"/>
    </row>
    <row r="701" spans="1:17" customFormat="1" ht="14.4" x14ac:dyDescent="0.3">
      <c r="A701" s="190" t="s">
        <v>16</v>
      </c>
      <c r="B701" s="633">
        <v>2009</v>
      </c>
      <c r="C701" s="115">
        <v>2010</v>
      </c>
      <c r="D701" s="115">
        <v>2011</v>
      </c>
      <c r="E701" s="115">
        <v>2012</v>
      </c>
      <c r="F701" s="115">
        <v>2013</v>
      </c>
      <c r="G701" s="115">
        <v>2014</v>
      </c>
      <c r="H701" s="115">
        <v>2015</v>
      </c>
      <c r="I701" s="115">
        <v>2016</v>
      </c>
      <c r="J701" s="115">
        <v>2017</v>
      </c>
      <c r="K701" s="115">
        <v>2018</v>
      </c>
      <c r="L701" s="115">
        <v>2019</v>
      </c>
      <c r="M701" s="115">
        <v>2020</v>
      </c>
      <c r="N701" s="468"/>
      <c r="O701" s="179"/>
      <c r="P701" s="179"/>
      <c r="Q701" s="469"/>
    </row>
    <row r="702" spans="1:17" customFormat="1" ht="14.4" x14ac:dyDescent="0.3">
      <c r="A702" s="87" t="s">
        <v>17</v>
      </c>
      <c r="B702" s="180"/>
      <c r="C702" s="180"/>
      <c r="D702" s="180"/>
      <c r="E702" s="180"/>
      <c r="F702" s="180"/>
      <c r="G702" s="180"/>
      <c r="H702" s="180"/>
      <c r="I702" s="180"/>
      <c r="J702" s="180"/>
      <c r="K702" s="180"/>
      <c r="L702" s="180"/>
      <c r="M702" s="180"/>
      <c r="N702" s="468"/>
      <c r="O702" s="179"/>
      <c r="P702" s="179"/>
      <c r="Q702" s="469"/>
    </row>
    <row r="703" spans="1:17" customFormat="1" ht="14.4" x14ac:dyDescent="0.3">
      <c r="A703" s="87" t="s">
        <v>18</v>
      </c>
      <c r="B703" s="180">
        <v>525.11158760000001</v>
      </c>
      <c r="C703" s="180">
        <v>516.79334119999999</v>
      </c>
      <c r="D703" s="180">
        <v>478.68400000000003</v>
      </c>
      <c r="E703" s="180">
        <v>638.87599999999998</v>
      </c>
      <c r="F703" s="180">
        <v>573.67999999999995</v>
      </c>
      <c r="G703" s="180">
        <v>503.80800000000005</v>
      </c>
      <c r="H703" s="180">
        <v>407.19200000000001</v>
      </c>
      <c r="I703" s="180">
        <v>449.52</v>
      </c>
      <c r="J703" s="180">
        <v>394.88799999999998</v>
      </c>
      <c r="K703" s="180">
        <v>393.98364000000004</v>
      </c>
      <c r="L703" s="180">
        <v>397.32737956000005</v>
      </c>
      <c r="M703" s="754">
        <v>371.77199999999999</v>
      </c>
      <c r="N703" s="468"/>
      <c r="O703" s="179"/>
      <c r="P703" s="179"/>
      <c r="Q703" s="469"/>
    </row>
    <row r="704" spans="1:17" customFormat="1" ht="14.4" x14ac:dyDescent="0.3">
      <c r="A704" s="87" t="s">
        <v>19</v>
      </c>
      <c r="B704" s="180"/>
      <c r="C704" s="180"/>
      <c r="D704" s="180"/>
      <c r="E704" s="180"/>
      <c r="F704" s="180"/>
      <c r="G704" s="180"/>
      <c r="H704" s="180"/>
      <c r="I704" s="180"/>
      <c r="J704" s="180"/>
      <c r="K704" s="180"/>
      <c r="L704" s="180"/>
      <c r="M704" s="754"/>
      <c r="N704" s="468"/>
      <c r="O704" s="179"/>
      <c r="P704" s="179"/>
      <c r="Q704" s="469"/>
    </row>
    <row r="705" spans="1:18" customFormat="1" ht="14.4" x14ac:dyDescent="0.3">
      <c r="A705" s="87" t="s">
        <v>20</v>
      </c>
      <c r="B705" s="180">
        <v>419.55900000000003</v>
      </c>
      <c r="C705" s="180">
        <v>483.41500000000002</v>
      </c>
      <c r="D705" s="180">
        <v>285.3</v>
      </c>
      <c r="E705" s="180">
        <v>1822.1</v>
      </c>
      <c r="F705" s="180">
        <v>266.39999999999998</v>
      </c>
      <c r="G705" s="180">
        <v>305.2</v>
      </c>
      <c r="H705" s="180">
        <v>329.8</v>
      </c>
      <c r="I705" s="180">
        <v>254.9</v>
      </c>
      <c r="J705" s="180">
        <v>335</v>
      </c>
      <c r="K705" s="180">
        <v>210.6</v>
      </c>
      <c r="L705" s="180">
        <v>319.27300000000002</v>
      </c>
      <c r="M705" s="754">
        <v>282.8</v>
      </c>
      <c r="N705" s="468"/>
      <c r="O705" s="179"/>
      <c r="P705" s="179"/>
      <c r="Q705" s="469"/>
    </row>
    <row r="706" spans="1:18" customFormat="1" ht="14.4" x14ac:dyDescent="0.3">
      <c r="A706" s="87" t="s">
        <v>21</v>
      </c>
      <c r="B706" s="180">
        <v>105.55258759999998</v>
      </c>
      <c r="C706" s="180">
        <v>33.378341199999966</v>
      </c>
      <c r="D706" s="180">
        <v>193.38400000000001</v>
      </c>
      <c r="E706" s="181">
        <v>-1183.2239999999999</v>
      </c>
      <c r="F706" s="180">
        <v>307.28000000000009</v>
      </c>
      <c r="G706" s="180">
        <v>198.60800000000006</v>
      </c>
      <c r="H706" s="180">
        <v>77.391999999999996</v>
      </c>
      <c r="I706" s="180">
        <v>194.61999999999998</v>
      </c>
      <c r="J706" s="180">
        <v>59.888000000000034</v>
      </c>
      <c r="K706" s="180">
        <v>183.38364000000004</v>
      </c>
      <c r="L706" s="180">
        <v>78.054379560000029</v>
      </c>
      <c r="M706" s="754">
        <v>88.971999999999994</v>
      </c>
      <c r="N706" s="468"/>
      <c r="O706" s="179"/>
      <c r="P706" s="179"/>
      <c r="Q706" s="469"/>
    </row>
    <row r="707" spans="1:18" customFormat="1" ht="14.4" x14ac:dyDescent="0.3">
      <c r="A707" s="87" t="s">
        <v>22</v>
      </c>
      <c r="B707" s="180"/>
      <c r="C707" s="180"/>
      <c r="D707" s="180"/>
      <c r="E707" s="180"/>
      <c r="F707" s="180"/>
      <c r="G707" s="180"/>
      <c r="H707" s="180"/>
      <c r="I707" s="180"/>
      <c r="J707" s="180"/>
      <c r="K707" s="180"/>
      <c r="L707" s="180"/>
      <c r="M707" s="180"/>
      <c r="N707" s="468"/>
      <c r="O707" s="179"/>
      <c r="P707" s="179"/>
      <c r="Q707" s="469"/>
    </row>
    <row r="708" spans="1:18" customFormat="1" ht="14.4" x14ac:dyDescent="0.3">
      <c r="A708" s="182" t="s">
        <v>23</v>
      </c>
      <c r="B708" s="183"/>
      <c r="C708" s="183"/>
      <c r="D708" s="183"/>
      <c r="E708" s="183"/>
      <c r="F708" s="183"/>
      <c r="G708" s="183"/>
      <c r="H708" s="183"/>
      <c r="I708" s="183"/>
      <c r="J708" s="183"/>
      <c r="K708" s="183"/>
      <c r="L708" s="183"/>
      <c r="M708" s="184"/>
      <c r="N708" s="468"/>
      <c r="O708" s="179"/>
      <c r="P708" s="179"/>
      <c r="Q708" s="469"/>
    </row>
    <row r="709" spans="1:18" customFormat="1" ht="14.4" x14ac:dyDescent="0.3">
      <c r="A709" s="185" t="s">
        <v>191</v>
      </c>
      <c r="B709" s="85"/>
      <c r="C709" s="85"/>
      <c r="D709" s="85"/>
      <c r="E709" s="85"/>
      <c r="F709" s="85"/>
      <c r="G709" s="85"/>
      <c r="H709" s="85"/>
      <c r="I709" s="85"/>
      <c r="J709" s="85"/>
      <c r="K709" s="85"/>
      <c r="L709" s="85"/>
      <c r="M709" s="186"/>
      <c r="N709" s="468"/>
      <c r="O709" s="179"/>
      <c r="P709" s="179"/>
      <c r="Q709" s="469"/>
    </row>
    <row r="710" spans="1:18" customFormat="1" ht="14.4" x14ac:dyDescent="0.3">
      <c r="A710" s="164" t="s">
        <v>241</v>
      </c>
      <c r="B710" s="85"/>
      <c r="C710" s="85"/>
      <c r="D710" s="85"/>
      <c r="E710" s="85"/>
      <c r="F710" s="85"/>
      <c r="G710" s="85"/>
      <c r="H710" s="85"/>
      <c r="I710" s="85"/>
      <c r="J710" s="85"/>
      <c r="K710" s="85"/>
      <c r="L710" s="85"/>
      <c r="M710" s="186"/>
      <c r="N710" s="468"/>
      <c r="O710" s="179"/>
      <c r="P710" s="179"/>
      <c r="Q710" s="469"/>
    </row>
    <row r="711" spans="1:18" customFormat="1" ht="14.4" x14ac:dyDescent="0.3">
      <c r="A711" s="185" t="s">
        <v>300</v>
      </c>
      <c r="B711" s="85"/>
      <c r="C711" s="85"/>
      <c r="D711" s="85"/>
      <c r="E711" s="85"/>
      <c r="F711" s="85"/>
      <c r="G711" s="85"/>
      <c r="H711" s="85"/>
      <c r="I711" s="85"/>
      <c r="J711" s="85"/>
      <c r="K711" s="85"/>
      <c r="L711" s="85"/>
      <c r="M711" s="186"/>
      <c r="N711" s="468"/>
      <c r="O711" s="179"/>
      <c r="P711" s="179"/>
      <c r="Q711" s="469"/>
    </row>
    <row r="712" spans="1:18" customFormat="1" ht="14.4" x14ac:dyDescent="0.3">
      <c r="A712" s="185" t="s">
        <v>533</v>
      </c>
      <c r="B712" s="85"/>
      <c r="C712" s="85"/>
      <c r="D712" s="85"/>
      <c r="E712" s="85"/>
      <c r="F712" s="85"/>
      <c r="G712" s="85"/>
      <c r="H712" s="85"/>
      <c r="I712" s="85"/>
      <c r="J712" s="85"/>
      <c r="K712" s="85"/>
      <c r="L712" s="85"/>
      <c r="M712" s="186"/>
      <c r="N712" s="468"/>
      <c r="O712" s="179"/>
      <c r="P712" s="179"/>
      <c r="Q712" s="469"/>
    </row>
    <row r="713" spans="1:18" customFormat="1" ht="14.4" x14ac:dyDescent="0.3">
      <c r="A713" s="185"/>
      <c r="B713" s="85"/>
      <c r="C713" s="85"/>
      <c r="D713" s="85"/>
      <c r="E713" s="85"/>
      <c r="F713" s="85"/>
      <c r="G713" s="85"/>
      <c r="H713" s="85"/>
      <c r="I713" s="85"/>
      <c r="J713" s="85"/>
      <c r="K713" s="85"/>
      <c r="L713" s="85"/>
      <c r="M713" s="186"/>
      <c r="N713" s="468"/>
      <c r="O713" s="179"/>
      <c r="P713" s="179"/>
      <c r="Q713" s="469"/>
    </row>
    <row r="714" spans="1:18" customFormat="1" ht="14.4" x14ac:dyDescent="0.3">
      <c r="A714" s="185"/>
      <c r="B714" s="85"/>
      <c r="C714" s="85"/>
      <c r="D714" s="85"/>
      <c r="E714" s="85"/>
      <c r="F714" s="85" t="s">
        <v>192</v>
      </c>
      <c r="G714" s="85"/>
      <c r="H714" s="85"/>
      <c r="I714" s="85"/>
      <c r="J714" s="85"/>
      <c r="K714" s="85"/>
      <c r="L714" s="85"/>
      <c r="M714" s="186"/>
      <c r="N714" s="468"/>
      <c r="O714" s="179"/>
      <c r="P714" s="179"/>
      <c r="Q714" s="469"/>
    </row>
    <row r="715" spans="1:18" customFormat="1" ht="14.4" x14ac:dyDescent="0.3">
      <c r="A715" s="185"/>
      <c r="B715" s="187" t="s">
        <v>193</v>
      </c>
      <c r="C715" s="188"/>
      <c r="D715" s="474">
        <v>0.03</v>
      </c>
      <c r="E715" s="85"/>
      <c r="F715" s="189" t="s">
        <v>194</v>
      </c>
      <c r="G715" s="475">
        <v>2020</v>
      </c>
      <c r="H715" s="85"/>
      <c r="I715" s="85"/>
      <c r="J715" s="85"/>
      <c r="K715" s="85"/>
      <c r="L715" s="85"/>
      <c r="M715" s="186"/>
      <c r="N715" s="468"/>
      <c r="O715" s="179"/>
      <c r="P715" s="179"/>
      <c r="Q715" s="469"/>
    </row>
    <row r="716" spans="1:18" customFormat="1" ht="14.4" x14ac:dyDescent="0.3">
      <c r="A716" s="185"/>
      <c r="B716" s="85"/>
      <c r="C716" s="85"/>
      <c r="D716" s="85"/>
      <c r="E716" s="85"/>
      <c r="F716" s="189" t="s">
        <v>14</v>
      </c>
      <c r="G716" s="475" t="s">
        <v>76</v>
      </c>
      <c r="H716" s="85"/>
      <c r="I716" s="85"/>
      <c r="J716" s="85"/>
      <c r="K716" s="85"/>
      <c r="L716" s="85"/>
      <c r="M716" s="186"/>
      <c r="N716" s="468"/>
      <c r="O716" s="179"/>
      <c r="P716" s="179"/>
      <c r="Q716" s="469"/>
    </row>
    <row r="717" spans="1:18" customFormat="1" ht="14.4" x14ac:dyDescent="0.3">
      <c r="A717" s="185"/>
      <c r="B717" s="85"/>
      <c r="C717" s="85"/>
      <c r="D717" s="85"/>
      <c r="E717" s="85"/>
      <c r="F717" s="189" t="s">
        <v>195</v>
      </c>
      <c r="G717" s="365">
        <v>9294.2999999999993</v>
      </c>
      <c r="H717" s="85"/>
      <c r="I717" s="85"/>
      <c r="J717" s="85"/>
      <c r="K717" s="85"/>
      <c r="L717" s="85"/>
      <c r="M717" s="186"/>
      <c r="N717" s="468"/>
      <c r="O717" s="179"/>
      <c r="P717" s="179"/>
      <c r="Q717" s="469"/>
    </row>
    <row r="718" spans="1:18" customFormat="1" ht="14.4" x14ac:dyDescent="0.3">
      <c r="A718" s="190"/>
      <c r="B718" s="191"/>
      <c r="C718" s="191"/>
      <c r="D718" s="191"/>
      <c r="E718" s="191"/>
      <c r="F718" s="191"/>
      <c r="G718" s="191"/>
      <c r="H718" s="191"/>
      <c r="I718" s="191"/>
      <c r="J718" s="191"/>
      <c r="K718" s="191"/>
      <c r="L718" s="191"/>
      <c r="M718" s="192"/>
      <c r="N718" s="468"/>
      <c r="O718" s="179"/>
      <c r="P718" s="179"/>
      <c r="Q718" s="469"/>
    </row>
    <row r="719" spans="1:18" x14ac:dyDescent="0.25">
      <c r="A719" s="68"/>
      <c r="B719" s="70"/>
      <c r="C719" s="193"/>
      <c r="D719" s="70"/>
      <c r="E719" s="70"/>
      <c r="F719" s="70"/>
      <c r="G719" s="70"/>
      <c r="H719" s="70"/>
      <c r="I719" s="164"/>
      <c r="J719" s="164"/>
      <c r="K719" s="164"/>
      <c r="L719" s="164"/>
      <c r="M719" s="164"/>
      <c r="N719" s="164"/>
      <c r="O719" s="164"/>
      <c r="P719" s="164"/>
      <c r="Q719" s="2"/>
    </row>
    <row r="720" spans="1:18" x14ac:dyDescent="0.25">
      <c r="A720" s="218" t="s">
        <v>14</v>
      </c>
      <c r="B720" s="219" t="s">
        <v>225</v>
      </c>
      <c r="C720" s="219" t="s">
        <v>15</v>
      </c>
      <c r="D720" s="85"/>
      <c r="E720" s="85"/>
      <c r="F720" s="85"/>
      <c r="G720" s="85"/>
      <c r="H720" s="85"/>
      <c r="I720" s="85"/>
      <c r="J720" s="85"/>
      <c r="K720" s="85"/>
      <c r="L720" s="85"/>
      <c r="M720" s="85"/>
      <c r="N720" s="85"/>
      <c r="O720" s="85"/>
      <c r="P720" s="85"/>
      <c r="Q720" s="85"/>
      <c r="R720" s="85"/>
    </row>
    <row r="721" spans="1:17" s="120" customFormat="1" ht="13.8" x14ac:dyDescent="0.25">
      <c r="A721" s="190" t="s">
        <v>16</v>
      </c>
      <c r="B721" s="809">
        <v>2009</v>
      </c>
      <c r="C721" s="368">
        <v>2010</v>
      </c>
      <c r="D721" s="368">
        <v>2011</v>
      </c>
      <c r="E721" s="368">
        <v>2012</v>
      </c>
      <c r="F721" s="368">
        <v>2013</v>
      </c>
      <c r="G721" s="368">
        <v>2014</v>
      </c>
      <c r="H721" s="368">
        <v>2015</v>
      </c>
      <c r="I721" s="368">
        <v>2016</v>
      </c>
      <c r="J721" s="368">
        <v>2017</v>
      </c>
      <c r="K721" s="368">
        <v>2018</v>
      </c>
      <c r="L721" s="368">
        <v>2019</v>
      </c>
      <c r="M721" s="368">
        <v>2020</v>
      </c>
      <c r="N721" s="368">
        <v>2021</v>
      </c>
      <c r="O721" s="810">
        <v>2022</v>
      </c>
      <c r="P721" s="89"/>
      <c r="Q721" s="89"/>
    </row>
    <row r="722" spans="1:17" s="120" customFormat="1" ht="13.8" x14ac:dyDescent="0.25">
      <c r="A722" s="87" t="s">
        <v>17</v>
      </c>
      <c r="B722" s="220"/>
      <c r="C722" s="220"/>
      <c r="D722" s="220"/>
      <c r="E722" s="220"/>
      <c r="F722" s="220"/>
      <c r="G722" s="220">
        <v>1355</v>
      </c>
      <c r="H722" s="220">
        <v>1355</v>
      </c>
      <c r="I722" s="220">
        <v>1355</v>
      </c>
      <c r="J722" s="220">
        <v>1355</v>
      </c>
      <c r="K722" s="220">
        <v>1355</v>
      </c>
      <c r="L722" s="220">
        <v>1355</v>
      </c>
      <c r="M722" s="376">
        <v>1355</v>
      </c>
      <c r="N722" s="220">
        <v>1355</v>
      </c>
      <c r="O722" s="811">
        <v>1355</v>
      </c>
      <c r="P722" s="89"/>
      <c r="Q722" s="89"/>
    </row>
    <row r="723" spans="1:17" s="120" customFormat="1" ht="13.8" x14ac:dyDescent="0.25">
      <c r="A723" s="87" t="s">
        <v>18</v>
      </c>
      <c r="B723" s="220">
        <v>237.31834029985683</v>
      </c>
      <c r="C723" s="220">
        <v>315.5295404143024</v>
      </c>
      <c r="D723" s="220">
        <v>275.05599999999998</v>
      </c>
      <c r="E723" s="220">
        <v>415.68</v>
      </c>
      <c r="F723" s="220">
        <v>341.67599999999999</v>
      </c>
      <c r="G723" s="220">
        <v>1725</v>
      </c>
      <c r="H723" s="220">
        <v>1555</v>
      </c>
      <c r="I723" s="220">
        <v>1693.75</v>
      </c>
      <c r="J723" s="220">
        <v>1717.1</v>
      </c>
      <c r="K723" s="220">
        <v>1893.75</v>
      </c>
      <c r="L723" s="220">
        <v>1936.3</v>
      </c>
      <c r="M723" s="376">
        <v>2693.75</v>
      </c>
      <c r="N723" s="220">
        <v>1693.75</v>
      </c>
      <c r="O723" s="811">
        <v>1693.75</v>
      </c>
      <c r="P723" s="89"/>
      <c r="Q723" s="89"/>
    </row>
    <row r="724" spans="1:17" s="120" customFormat="1" ht="13.8" x14ac:dyDescent="0.25">
      <c r="A724" s="87" t="s">
        <v>19</v>
      </c>
      <c r="B724" s="220"/>
      <c r="C724" s="220"/>
      <c r="D724" s="220"/>
      <c r="E724" s="220"/>
      <c r="F724" s="220"/>
      <c r="G724" s="220"/>
      <c r="H724" s="220"/>
      <c r="I724" s="220"/>
      <c r="J724" s="220"/>
      <c r="K724" s="220"/>
      <c r="L724" s="220"/>
      <c r="M724" s="376"/>
      <c r="N724" s="220"/>
      <c r="O724" s="811"/>
      <c r="P724" s="89"/>
      <c r="Q724" s="89"/>
    </row>
    <row r="725" spans="1:17" s="120" customFormat="1" ht="13.8" x14ac:dyDescent="0.25">
      <c r="A725" s="87" t="s">
        <v>20</v>
      </c>
      <c r="B725" s="220">
        <v>958.10900000000004</v>
      </c>
      <c r="C725" s="220">
        <v>1217.827</v>
      </c>
      <c r="D725" s="220">
        <v>1776.4</v>
      </c>
      <c r="E725" s="220">
        <v>3550.6</v>
      </c>
      <c r="F725" s="220">
        <v>1713.8</v>
      </c>
      <c r="G725" s="220">
        <v>1198.9000000000001</v>
      </c>
      <c r="H725" s="220">
        <v>1392.9</v>
      </c>
      <c r="I725" s="220">
        <v>1212.8</v>
      </c>
      <c r="J725" s="220">
        <v>2135.8000000000002</v>
      </c>
      <c r="K725" s="220">
        <v>1654.5</v>
      </c>
      <c r="L725" s="220">
        <v>1465.57</v>
      </c>
      <c r="M725" s="755">
        <v>1621.8</v>
      </c>
      <c r="N725" s="220"/>
      <c r="O725" s="811"/>
      <c r="P725" s="89"/>
      <c r="Q725" s="89"/>
    </row>
    <row r="726" spans="1:17" s="120" customFormat="1" ht="13.8" x14ac:dyDescent="0.25">
      <c r="A726" s="87" t="s">
        <v>21</v>
      </c>
      <c r="B726" s="220">
        <v>-720.79065970014324</v>
      </c>
      <c r="C726" s="220">
        <v>-902.29745958569765</v>
      </c>
      <c r="D726" s="220">
        <v>-1501.3440000000001</v>
      </c>
      <c r="E726" s="220">
        <v>-3134.92</v>
      </c>
      <c r="F726" s="220">
        <v>-1372.124</v>
      </c>
      <c r="G726" s="220">
        <v>526.09999999999991</v>
      </c>
      <c r="H726" s="220">
        <v>162.09999999999991</v>
      </c>
      <c r="I726" s="220">
        <v>480.95000000000005</v>
      </c>
      <c r="J726" s="220">
        <v>-418.70000000000027</v>
      </c>
      <c r="K726" s="220">
        <v>239.25</v>
      </c>
      <c r="L726" s="220">
        <v>470.73</v>
      </c>
      <c r="M726" s="755">
        <v>1071.95</v>
      </c>
      <c r="N726" s="220"/>
      <c r="O726" s="811"/>
      <c r="P726" s="89"/>
      <c r="Q726" s="89"/>
    </row>
    <row r="727" spans="1:17" s="120" customFormat="1" ht="13.8" x14ac:dyDescent="0.25">
      <c r="A727" s="182" t="s">
        <v>22</v>
      </c>
      <c r="B727" s="221"/>
      <c r="C727" s="221"/>
      <c r="D727" s="221"/>
      <c r="E727" s="221"/>
      <c r="F727" s="221"/>
      <c r="G727" s="814">
        <v>2016</v>
      </c>
      <c r="H727" s="814">
        <v>2017</v>
      </c>
      <c r="I727" s="814">
        <v>2018</v>
      </c>
      <c r="J727" s="814">
        <v>2019</v>
      </c>
      <c r="K727" s="814">
        <v>2020</v>
      </c>
      <c r="L727" s="814">
        <v>2021</v>
      </c>
      <c r="M727" s="814">
        <v>2022</v>
      </c>
      <c r="N727" s="814">
        <v>2023</v>
      </c>
      <c r="O727" s="815">
        <v>2024</v>
      </c>
      <c r="P727" s="89"/>
      <c r="Q727" s="89"/>
    </row>
    <row r="728" spans="1:17" s="120" customFormat="1" ht="13.8" x14ac:dyDescent="0.25">
      <c r="A728" s="87" t="s">
        <v>196</v>
      </c>
      <c r="B728" s="212"/>
      <c r="C728" s="212"/>
      <c r="D728" s="212"/>
      <c r="E728" s="212"/>
      <c r="F728" s="212"/>
      <c r="G728" s="212"/>
      <c r="H728" s="212"/>
      <c r="I728" s="212"/>
      <c r="J728" s="212"/>
      <c r="K728" s="212"/>
      <c r="L728" s="212"/>
      <c r="M728" s="212"/>
      <c r="N728" s="212"/>
      <c r="O728" s="812"/>
      <c r="P728" s="89"/>
      <c r="Q728" s="89"/>
    </row>
    <row r="729" spans="1:17" s="120" customFormat="1" ht="13.8" x14ac:dyDescent="0.25">
      <c r="A729" s="185" t="s">
        <v>197</v>
      </c>
      <c r="B729" s="88"/>
      <c r="C729" s="88"/>
      <c r="D729" s="88"/>
      <c r="E729" s="88"/>
      <c r="F729" s="88"/>
      <c r="G729" s="88"/>
      <c r="H729" s="88"/>
      <c r="I729" s="88"/>
      <c r="J729" s="88"/>
      <c r="K729" s="88"/>
      <c r="L729" s="88"/>
      <c r="M729" s="88"/>
      <c r="N729" s="88"/>
      <c r="O729" s="186"/>
      <c r="P729" s="89"/>
      <c r="Q729" s="89"/>
    </row>
    <row r="730" spans="1:17" s="120" customFormat="1" ht="13.8" x14ac:dyDescent="0.25">
      <c r="A730" s="185" t="s">
        <v>198</v>
      </c>
      <c r="B730" s="88"/>
      <c r="C730" s="88"/>
      <c r="D730" s="88"/>
      <c r="E730" s="88"/>
      <c r="F730" s="88"/>
      <c r="G730" s="88"/>
      <c r="H730" s="88"/>
      <c r="I730" s="88"/>
      <c r="J730" s="88"/>
      <c r="K730" s="88"/>
      <c r="L730" s="88"/>
      <c r="M730" s="88"/>
      <c r="N730" s="88"/>
      <c r="O730" s="186"/>
      <c r="P730" s="89"/>
      <c r="Q730" s="89"/>
    </row>
    <row r="731" spans="1:17" s="120" customFormat="1" ht="13.8" x14ac:dyDescent="0.25">
      <c r="A731" s="185" t="s">
        <v>199</v>
      </c>
      <c r="B731" s="88"/>
      <c r="C731" s="88"/>
      <c r="D731" s="88"/>
      <c r="E731" s="88"/>
      <c r="F731" s="88"/>
      <c r="G731" s="88"/>
      <c r="H731" s="88"/>
      <c r="I731" s="88"/>
      <c r="J731" s="88"/>
      <c r="K731" s="88"/>
      <c r="L731" s="88"/>
      <c r="M731" s="88"/>
      <c r="N731" s="88"/>
      <c r="O731" s="186"/>
      <c r="P731" s="89"/>
      <c r="Q731" s="89"/>
    </row>
    <row r="732" spans="1:17" s="120" customFormat="1" ht="13.8" x14ac:dyDescent="0.25">
      <c r="A732" s="185" t="s">
        <v>200</v>
      </c>
      <c r="B732" s="194"/>
      <c r="C732" s="195"/>
      <c r="D732" s="196"/>
      <c r="E732" s="88"/>
      <c r="F732" s="88"/>
      <c r="G732" s="195"/>
      <c r="H732" s="88"/>
      <c r="I732" s="88"/>
      <c r="J732" s="88"/>
      <c r="K732" s="88"/>
      <c r="L732" s="88"/>
      <c r="M732" s="88"/>
      <c r="N732" s="88"/>
      <c r="O732" s="186"/>
      <c r="P732" s="89"/>
      <c r="Q732" s="89"/>
    </row>
    <row r="733" spans="1:17" s="120" customFormat="1" ht="13.8" x14ac:dyDescent="0.25">
      <c r="A733" s="185" t="s">
        <v>201</v>
      </c>
      <c r="B733" s="88"/>
      <c r="C733" s="88"/>
      <c r="D733" s="88"/>
      <c r="E733" s="88"/>
      <c r="F733" s="88"/>
      <c r="G733" s="88"/>
      <c r="H733" s="88"/>
      <c r="I733" s="88"/>
      <c r="J733" s="88"/>
      <c r="K733" s="88"/>
      <c r="L733" s="88"/>
      <c r="M733" s="88"/>
      <c r="N733" s="88"/>
      <c r="O733" s="186"/>
      <c r="P733" s="89"/>
      <c r="Q733" s="89"/>
    </row>
    <row r="734" spans="1:17" s="120" customFormat="1" ht="13.8" x14ac:dyDescent="0.25">
      <c r="A734" s="185" t="s">
        <v>202</v>
      </c>
      <c r="B734" s="88"/>
      <c r="C734" s="88"/>
      <c r="D734" s="88"/>
      <c r="E734" s="88"/>
      <c r="F734" s="88"/>
      <c r="G734" s="88"/>
      <c r="H734" s="88"/>
      <c r="I734" s="88"/>
      <c r="J734" s="88"/>
      <c r="K734" s="88"/>
      <c r="L734" s="88"/>
      <c r="M734" s="88"/>
      <c r="N734" s="88"/>
      <c r="O734" s="186"/>
      <c r="P734" s="89"/>
      <c r="Q734" s="89"/>
    </row>
    <row r="735" spans="1:17" s="120" customFormat="1" ht="13.8" x14ac:dyDescent="0.25">
      <c r="A735" s="197" t="s">
        <v>242</v>
      </c>
      <c r="B735" s="88"/>
      <c r="C735" s="88"/>
      <c r="D735" s="88"/>
      <c r="E735" s="88"/>
      <c r="F735" s="88"/>
      <c r="G735" s="88"/>
      <c r="H735" s="88"/>
      <c r="I735" s="88"/>
      <c r="J735" s="88"/>
      <c r="K735" s="88"/>
      <c r="L735" s="88"/>
      <c r="M735" s="88"/>
      <c r="N735" s="88"/>
      <c r="O735" s="186"/>
      <c r="P735" s="89"/>
      <c r="Q735" s="89"/>
    </row>
    <row r="736" spans="1:17" s="120" customFormat="1" ht="13.8" x14ac:dyDescent="0.25">
      <c r="A736" s="185" t="s">
        <v>243</v>
      </c>
      <c r="B736" s="88"/>
      <c r="C736" s="88"/>
      <c r="D736" s="88"/>
      <c r="E736" s="88"/>
      <c r="F736" s="88"/>
      <c r="G736" s="195"/>
      <c r="H736" s="88"/>
      <c r="I736" s="88"/>
      <c r="J736" s="88"/>
      <c r="K736" s="88"/>
      <c r="L736" s="88"/>
      <c r="M736" s="88"/>
      <c r="N736" s="88"/>
      <c r="O736" s="186"/>
      <c r="P736" s="89"/>
      <c r="Q736" s="89"/>
    </row>
    <row r="737" spans="1:18" s="90" customFormat="1" x14ac:dyDescent="0.25">
      <c r="A737" s="185" t="s">
        <v>244</v>
      </c>
      <c r="B737" s="198"/>
      <c r="C737" s="198"/>
      <c r="D737" s="198"/>
      <c r="E737" s="198"/>
      <c r="F737" s="198"/>
      <c r="G737" s="199"/>
      <c r="H737" s="198"/>
      <c r="I737" s="198"/>
      <c r="J737" s="198"/>
      <c r="K737" s="198"/>
      <c r="L737" s="198"/>
      <c r="M737" s="198"/>
      <c r="N737" s="198"/>
      <c r="O737" s="200"/>
      <c r="P737" s="121"/>
      <c r="Q737" s="121"/>
    </row>
    <row r="738" spans="1:18" s="90" customFormat="1" x14ac:dyDescent="0.25">
      <c r="A738" s="185" t="s">
        <v>245</v>
      </c>
      <c r="B738" s="198"/>
      <c r="C738" s="198"/>
      <c r="D738" s="198"/>
      <c r="E738" s="198"/>
      <c r="F738" s="198"/>
      <c r="G738" s="201"/>
      <c r="H738" s="198"/>
      <c r="I738" s="198"/>
      <c r="J738" s="198"/>
      <c r="K738" s="198"/>
      <c r="L738" s="198"/>
      <c r="M738" s="198"/>
      <c r="N738" s="198"/>
      <c r="O738" s="200"/>
      <c r="P738" s="121"/>
      <c r="Q738" s="121"/>
    </row>
    <row r="739" spans="1:18" s="90" customFormat="1" x14ac:dyDescent="0.25">
      <c r="A739" s="185" t="s">
        <v>301</v>
      </c>
      <c r="B739" s="198"/>
      <c r="C739" s="198"/>
      <c r="D739" s="198"/>
      <c r="E739" s="198"/>
      <c r="F739" s="198"/>
      <c r="G739" s="201"/>
      <c r="H739" s="198"/>
      <c r="I739" s="198"/>
      <c r="J739" s="198"/>
      <c r="K739" s="198"/>
      <c r="L739" s="198"/>
      <c r="M739" s="198"/>
      <c r="N739" s="198"/>
      <c r="O739" s="200"/>
      <c r="P739" s="121"/>
      <c r="Q739" s="121"/>
    </row>
    <row r="740" spans="1:18" s="120" customFormat="1" ht="13.8" x14ac:dyDescent="0.25">
      <c r="A740" s="476" t="s">
        <v>246</v>
      </c>
      <c r="B740" s="477"/>
      <c r="C740" s="477"/>
      <c r="D740" s="477"/>
      <c r="E740" s="477"/>
      <c r="F740" s="477"/>
      <c r="G740" s="477"/>
      <c r="H740" s="477"/>
      <c r="I740" s="477"/>
      <c r="J740" s="477"/>
      <c r="K740" s="477"/>
      <c r="L740" s="477"/>
      <c r="M740" s="477"/>
      <c r="N740" s="477"/>
      <c r="O740" s="478"/>
      <c r="P740" s="85"/>
      <c r="Q740" s="89"/>
      <c r="R740" s="89"/>
    </row>
    <row r="741" spans="1:18" s="120" customFormat="1" ht="27" customHeight="1" x14ac:dyDescent="0.25">
      <c r="A741" s="910" t="s">
        <v>383</v>
      </c>
      <c r="B741" s="911"/>
      <c r="C741" s="911"/>
      <c r="D741" s="911"/>
      <c r="E741" s="911"/>
      <c r="F741" s="911"/>
      <c r="G741" s="911"/>
      <c r="H741" s="911"/>
      <c r="I741" s="911"/>
      <c r="J741" s="911"/>
      <c r="K741" s="911"/>
      <c r="L741" s="911"/>
      <c r="M741" s="911"/>
      <c r="N741" s="911"/>
      <c r="O741" s="478"/>
      <c r="P741" s="85"/>
      <c r="Q741" s="89"/>
      <c r="R741" s="89"/>
    </row>
    <row r="742" spans="1:18" s="120" customFormat="1" ht="13.8" customHeight="1" x14ac:dyDescent="0.25">
      <c r="A742" s="476" t="s">
        <v>455</v>
      </c>
      <c r="B742" s="477"/>
      <c r="C742" s="477"/>
      <c r="D742" s="477"/>
      <c r="E742" s="477"/>
      <c r="F742" s="477"/>
      <c r="G742" s="477"/>
      <c r="H742" s="477"/>
      <c r="I742" s="477"/>
      <c r="J742" s="477"/>
      <c r="K742" s="477"/>
      <c r="L742" s="477"/>
      <c r="M742" s="477"/>
      <c r="N742" s="477"/>
      <c r="O742" s="478"/>
      <c r="P742" s="85"/>
      <c r="Q742" s="89"/>
      <c r="R742" s="89"/>
    </row>
    <row r="743" spans="1:18" s="120" customFormat="1" ht="13.8" customHeight="1" x14ac:dyDescent="0.25">
      <c r="A743" s="813" t="s">
        <v>689</v>
      </c>
      <c r="B743" s="479"/>
      <c r="C743" s="479"/>
      <c r="D743" s="479"/>
      <c r="E743" s="479"/>
      <c r="F743" s="479"/>
      <c r="G743" s="479"/>
      <c r="H743" s="479"/>
      <c r="I743" s="479"/>
      <c r="J743" s="479"/>
      <c r="K743" s="479"/>
      <c r="L743" s="479"/>
      <c r="M743" s="479"/>
      <c r="N743" s="479"/>
      <c r="O743" s="480"/>
      <c r="P743" s="85"/>
      <c r="Q743" s="89"/>
      <c r="R743" s="89"/>
    </row>
    <row r="744" spans="1:18" x14ac:dyDescent="0.25">
      <c r="A744" s="68"/>
      <c r="B744" s="70"/>
      <c r="C744" s="193"/>
      <c r="D744" s="70"/>
      <c r="E744" s="70"/>
      <c r="F744" s="70"/>
      <c r="G744" s="70"/>
      <c r="H744" s="70"/>
      <c r="I744" s="164"/>
      <c r="J744" s="164"/>
      <c r="K744" s="164"/>
      <c r="L744" s="164"/>
      <c r="M744" s="164"/>
      <c r="N744" s="164"/>
      <c r="O744" s="164"/>
      <c r="P744" s="164"/>
      <c r="Q744" s="2"/>
    </row>
    <row r="745" spans="1:18" x14ac:dyDescent="0.25">
      <c r="A745" s="218" t="s">
        <v>14</v>
      </c>
      <c r="B745" s="219" t="s">
        <v>220</v>
      </c>
      <c r="C745" s="219" t="s">
        <v>15</v>
      </c>
      <c r="D745" s="85"/>
      <c r="E745" s="85"/>
      <c r="F745" s="85"/>
      <c r="G745" s="85"/>
      <c r="H745" s="85"/>
      <c r="I745" s="85"/>
      <c r="J745" s="85"/>
      <c r="K745" s="85"/>
      <c r="L745" s="85"/>
      <c r="M745" s="85"/>
      <c r="N745" s="85"/>
      <c r="O745" s="85"/>
      <c r="P745" s="85"/>
      <c r="Q745" s="85"/>
      <c r="R745" s="85"/>
    </row>
    <row r="746" spans="1:18" x14ac:dyDescent="0.25">
      <c r="A746" s="190" t="s">
        <v>16</v>
      </c>
      <c r="B746" s="634">
        <v>2009</v>
      </c>
      <c r="C746" s="116">
        <v>2010</v>
      </c>
      <c r="D746" s="116">
        <v>2011</v>
      </c>
      <c r="E746" s="116">
        <v>2012</v>
      </c>
      <c r="F746" s="116">
        <v>2013</v>
      </c>
      <c r="G746" s="116">
        <v>2014</v>
      </c>
      <c r="H746" s="116">
        <v>2015</v>
      </c>
      <c r="I746" s="116">
        <v>2016</v>
      </c>
      <c r="J746" s="116">
        <v>2017</v>
      </c>
      <c r="K746" s="116">
        <v>2018</v>
      </c>
      <c r="L746" s="116">
        <v>2019</v>
      </c>
      <c r="M746" s="116">
        <v>2020</v>
      </c>
      <c r="N746" s="115">
        <v>2021</v>
      </c>
      <c r="P746" s="85"/>
      <c r="Q746" s="88"/>
      <c r="R746" s="85"/>
    </row>
    <row r="747" spans="1:18" x14ac:dyDescent="0.25">
      <c r="A747" s="87" t="s">
        <v>17</v>
      </c>
      <c r="B747" s="220">
        <v>842</v>
      </c>
      <c r="C747" s="220">
        <v>842</v>
      </c>
      <c r="D747" s="220">
        <v>842</v>
      </c>
      <c r="E747" s="220">
        <v>842</v>
      </c>
      <c r="F747" s="220">
        <v>842</v>
      </c>
      <c r="G747" s="220">
        <v>842</v>
      </c>
      <c r="H747" s="376">
        <v>842</v>
      </c>
      <c r="I747" s="376">
        <v>842</v>
      </c>
      <c r="J747" s="376">
        <v>842</v>
      </c>
      <c r="K747" s="376">
        <v>842</v>
      </c>
      <c r="L747" s="376">
        <v>842</v>
      </c>
      <c r="M747" s="376">
        <v>842</v>
      </c>
      <c r="N747" s="376">
        <v>842</v>
      </c>
      <c r="P747" s="85"/>
      <c r="Q747" s="89"/>
      <c r="R747" s="89"/>
    </row>
    <row r="748" spans="1:18" x14ac:dyDescent="0.25">
      <c r="A748" s="87" t="s">
        <v>18</v>
      </c>
      <c r="B748" s="220">
        <v>2717.74</v>
      </c>
      <c r="C748" s="220">
        <v>2596.7442299999998</v>
      </c>
      <c r="D748" s="220">
        <v>2707.4306399999996</v>
      </c>
      <c r="E748" s="220">
        <v>2795.2306399999998</v>
      </c>
      <c r="F748" s="220">
        <v>3114.7264100000002</v>
      </c>
      <c r="G748" s="220">
        <v>3408.0264100000004</v>
      </c>
      <c r="H748" s="376">
        <f>1.15*H747-(50+35+25)</f>
        <v>858.3</v>
      </c>
      <c r="I748" s="376">
        <f>I747+H751-50-35-25</f>
        <v>1138.1999999999998</v>
      </c>
      <c r="J748" s="376">
        <f>J747+I751-100-35-25</f>
        <v>1422.4999999999998</v>
      </c>
      <c r="K748" s="376">
        <f>K747*1.15-100-35</f>
        <v>833.3</v>
      </c>
      <c r="L748" s="376">
        <f>L747+K751-100-35-25</f>
        <v>1226</v>
      </c>
      <c r="M748" s="376">
        <f>M747+L751-150-35-25</f>
        <v>1463.0075420000001</v>
      </c>
      <c r="N748" s="755">
        <f>N747+M751-150-35-25</f>
        <v>1688.2075420000001</v>
      </c>
      <c r="P748" s="85"/>
      <c r="Q748" s="89"/>
      <c r="R748" s="89"/>
    </row>
    <row r="749" spans="1:18" x14ac:dyDescent="0.25">
      <c r="A749" s="87" t="s">
        <v>19</v>
      </c>
      <c r="B749" s="220"/>
      <c r="C749" s="220"/>
      <c r="D749" s="220"/>
      <c r="E749" s="220"/>
      <c r="F749" s="220"/>
      <c r="G749" s="220"/>
      <c r="H749" s="470"/>
      <c r="I749" s="470"/>
      <c r="J749" s="470"/>
      <c r="K749" s="470"/>
      <c r="L749" s="470"/>
      <c r="M749" s="470"/>
      <c r="N749" s="470"/>
      <c r="P749" s="85"/>
      <c r="Q749" s="89"/>
      <c r="R749" s="89"/>
    </row>
    <row r="750" spans="1:18" x14ac:dyDescent="0.25">
      <c r="A750" s="87" t="s">
        <v>20</v>
      </c>
      <c r="B750" s="220">
        <v>962.99576999999999</v>
      </c>
      <c r="C750" s="220">
        <v>681.31358999999998</v>
      </c>
      <c r="D750" s="220">
        <v>669.2</v>
      </c>
      <c r="E750" s="220">
        <v>437.5</v>
      </c>
      <c r="F750" s="220">
        <v>438.7</v>
      </c>
      <c r="G750" s="220">
        <v>392.9</v>
      </c>
      <c r="H750" s="376">
        <v>452.1</v>
      </c>
      <c r="I750" s="376">
        <v>397.7</v>
      </c>
      <c r="J750" s="376">
        <v>406</v>
      </c>
      <c r="K750" s="376">
        <v>289.3</v>
      </c>
      <c r="L750" s="376">
        <v>394.992458</v>
      </c>
      <c r="M750" s="755">
        <v>406.79999999999995</v>
      </c>
      <c r="N750" s="376"/>
      <c r="P750" s="85"/>
      <c r="Q750" s="89"/>
      <c r="R750" s="89"/>
    </row>
    <row r="751" spans="1:18" x14ac:dyDescent="0.25">
      <c r="A751" s="87" t="s">
        <v>21</v>
      </c>
      <c r="B751" s="220">
        <v>1754.7442299999998</v>
      </c>
      <c r="C751" s="220">
        <v>1915.4306399999998</v>
      </c>
      <c r="D751" s="220">
        <v>2038.2306399999995</v>
      </c>
      <c r="E751" s="220">
        <v>2357.7264100000002</v>
      </c>
      <c r="F751" s="220">
        <v>2676.0264100000004</v>
      </c>
      <c r="G751" s="220">
        <v>3015.1264100000003</v>
      </c>
      <c r="H751" s="376">
        <f>H748-H750</f>
        <v>406.19999999999993</v>
      </c>
      <c r="I751" s="376">
        <f t="shared" ref="I751:K751" si="20">I748-I750</f>
        <v>740.49999999999977</v>
      </c>
      <c r="J751" s="376">
        <f t="shared" si="20"/>
        <v>1016.4999999999998</v>
      </c>
      <c r="K751" s="376">
        <f t="shared" si="20"/>
        <v>544</v>
      </c>
      <c r="L751" s="376">
        <f>L748-L750</f>
        <v>831.00754200000006</v>
      </c>
      <c r="M751" s="755">
        <f>M748-M750</f>
        <v>1056.2075420000001</v>
      </c>
      <c r="N751" s="376"/>
      <c r="P751" s="85"/>
      <c r="Q751" s="89"/>
      <c r="R751" s="89"/>
    </row>
    <row r="752" spans="1:18" x14ac:dyDescent="0.25">
      <c r="A752" s="182" t="s">
        <v>22</v>
      </c>
      <c r="B752" s="484"/>
      <c r="C752" s="484"/>
      <c r="D752" s="484"/>
      <c r="E752" s="484"/>
      <c r="F752" s="484"/>
      <c r="G752" s="484"/>
      <c r="H752" s="484"/>
      <c r="I752" s="484"/>
      <c r="J752" s="484"/>
      <c r="K752" s="484"/>
      <c r="L752" s="484"/>
      <c r="M752" s="484"/>
      <c r="N752" s="222"/>
      <c r="P752" s="85"/>
      <c r="Q752" s="89"/>
      <c r="R752" s="89"/>
    </row>
    <row r="753" spans="1:18" x14ac:dyDescent="0.25">
      <c r="A753" s="87" t="s">
        <v>196</v>
      </c>
      <c r="B753" s="212"/>
      <c r="C753" s="212"/>
      <c r="D753" s="212"/>
      <c r="E753" s="212"/>
      <c r="F753" s="212"/>
      <c r="G753" s="212"/>
      <c r="H753" s="212"/>
      <c r="I753" s="212"/>
      <c r="J753" s="212"/>
      <c r="K753" s="212"/>
      <c r="L753" s="212"/>
      <c r="M753" s="212"/>
      <c r="N753" s="211"/>
      <c r="O753" s="88"/>
      <c r="P753" s="85"/>
      <c r="Q753" s="89"/>
      <c r="R753" s="89"/>
    </row>
    <row r="754" spans="1:18" x14ac:dyDescent="0.25">
      <c r="A754" s="185" t="s">
        <v>203</v>
      </c>
      <c r="B754" s="88"/>
      <c r="C754" s="88"/>
      <c r="D754" s="88"/>
      <c r="E754" s="88"/>
      <c r="F754" s="88"/>
      <c r="G754" s="88"/>
      <c r="H754" s="88"/>
      <c r="I754" s="88"/>
      <c r="J754" s="88"/>
      <c r="K754" s="88"/>
      <c r="L754" s="88"/>
      <c r="M754" s="88"/>
      <c r="N754" s="186"/>
      <c r="O754" s="88"/>
      <c r="P754" s="85"/>
      <c r="Q754" s="89"/>
      <c r="R754" s="89"/>
    </row>
    <row r="755" spans="1:18" x14ac:dyDescent="0.25">
      <c r="A755" s="185" t="s">
        <v>204</v>
      </c>
      <c r="B755" s="88"/>
      <c r="C755" s="88"/>
      <c r="D755" s="88"/>
      <c r="E755" s="88"/>
      <c r="F755" s="88"/>
      <c r="G755" s="88"/>
      <c r="H755" s="88"/>
      <c r="I755" s="88"/>
      <c r="J755" s="88"/>
      <c r="K755" s="88"/>
      <c r="L755" s="88"/>
      <c r="M755" s="88"/>
      <c r="N755" s="186"/>
      <c r="O755" s="88"/>
      <c r="P755" s="85"/>
      <c r="Q755" s="89"/>
      <c r="R755" s="89"/>
    </row>
    <row r="756" spans="1:18" x14ac:dyDescent="0.25">
      <c r="A756" s="203" t="s">
        <v>205</v>
      </c>
      <c r="B756" s="88"/>
      <c r="C756" s="88"/>
      <c r="D756" s="88"/>
      <c r="E756" s="88"/>
      <c r="F756" s="88"/>
      <c r="G756" s="88"/>
      <c r="H756" s="88"/>
      <c r="I756" s="88"/>
      <c r="J756" s="88"/>
      <c r="K756" s="88"/>
      <c r="L756" s="88"/>
      <c r="M756" s="88"/>
      <c r="N756" s="186"/>
      <c r="O756" s="88"/>
      <c r="P756" s="85"/>
      <c r="Q756" s="89"/>
      <c r="R756" s="89"/>
    </row>
    <row r="757" spans="1:18" x14ac:dyDescent="0.25">
      <c r="A757" s="203" t="s">
        <v>206</v>
      </c>
      <c r="B757" s="88"/>
      <c r="C757" s="88"/>
      <c r="D757" s="88"/>
      <c r="E757" s="88"/>
      <c r="F757" s="88"/>
      <c r="G757" s="88"/>
      <c r="H757" s="88"/>
      <c r="I757" s="88"/>
      <c r="J757" s="88"/>
      <c r="K757" s="88"/>
      <c r="L757" s="88"/>
      <c r="M757" s="88"/>
      <c r="N757" s="186"/>
      <c r="O757" s="88"/>
      <c r="P757" s="85"/>
      <c r="Q757" s="89"/>
      <c r="R757" s="89"/>
    </row>
    <row r="758" spans="1:18" x14ac:dyDescent="0.25">
      <c r="A758" s="203" t="s">
        <v>249</v>
      </c>
      <c r="B758" s="88"/>
      <c r="C758" s="88"/>
      <c r="D758" s="88"/>
      <c r="E758" s="88"/>
      <c r="F758" s="88"/>
      <c r="G758" s="88"/>
      <c r="H758" s="88"/>
      <c r="I758" s="88"/>
      <c r="J758" s="88"/>
      <c r="K758" s="88"/>
      <c r="L758" s="88"/>
      <c r="M758" s="88"/>
      <c r="N758" s="186"/>
      <c r="O758" s="88"/>
      <c r="P758" s="85"/>
      <c r="Q758" s="89"/>
      <c r="R758" s="89"/>
    </row>
    <row r="759" spans="1:18" x14ac:dyDescent="0.25">
      <c r="A759" s="197" t="s">
        <v>247</v>
      </c>
      <c r="B759" s="88"/>
      <c r="C759" s="88"/>
      <c r="D759" s="88"/>
      <c r="E759" s="88"/>
      <c r="F759" s="88"/>
      <c r="G759" s="195"/>
      <c r="H759" s="88"/>
      <c r="I759" s="88"/>
      <c r="J759" s="88"/>
      <c r="K759" s="88"/>
      <c r="L759" s="88"/>
      <c r="M759" s="88"/>
      <c r="N759" s="186"/>
      <c r="O759" s="88"/>
      <c r="P759" s="85"/>
      <c r="Q759" s="89"/>
      <c r="R759" s="89"/>
    </row>
    <row r="760" spans="1:18" x14ac:dyDescent="0.25">
      <c r="A760" s="197" t="s">
        <v>248</v>
      </c>
      <c r="B760" s="88"/>
      <c r="C760" s="88"/>
      <c r="D760" s="88"/>
      <c r="E760" s="88"/>
      <c r="F760" s="88"/>
      <c r="G760" s="195"/>
      <c r="H760" s="88"/>
      <c r="I760" s="88"/>
      <c r="J760" s="88"/>
      <c r="K760" s="88"/>
      <c r="L760" s="88"/>
      <c r="M760" s="88"/>
      <c r="N760" s="186"/>
      <c r="O760" s="88"/>
      <c r="P760" s="85"/>
      <c r="Q760" s="89"/>
      <c r="R760" s="89"/>
    </row>
    <row r="761" spans="1:18" x14ac:dyDescent="0.25">
      <c r="A761" s="185" t="s">
        <v>207</v>
      </c>
      <c r="B761" s="194"/>
      <c r="C761" s="195"/>
      <c r="D761" s="196"/>
      <c r="E761" s="88"/>
      <c r="F761" s="88"/>
      <c r="G761" s="195"/>
      <c r="H761" s="88"/>
      <c r="I761" s="88"/>
      <c r="J761" s="88"/>
      <c r="K761" s="88"/>
      <c r="L761" s="88"/>
      <c r="M761" s="88"/>
      <c r="N761" s="186"/>
      <c r="O761" s="88"/>
      <c r="P761" s="85"/>
      <c r="Q761" s="89"/>
      <c r="R761" s="89"/>
    </row>
    <row r="762" spans="1:18" x14ac:dyDescent="0.25">
      <c r="A762" s="185" t="s">
        <v>208</v>
      </c>
      <c r="B762" s="88"/>
      <c r="C762" s="88"/>
      <c r="D762" s="88"/>
      <c r="E762" s="88"/>
      <c r="F762" s="88"/>
      <c r="G762" s="195"/>
      <c r="H762" s="88"/>
      <c r="I762" s="88"/>
      <c r="J762" s="88"/>
      <c r="K762" s="88"/>
      <c r="L762" s="88"/>
      <c r="M762" s="88"/>
      <c r="N762" s="186"/>
      <c r="O762" s="88"/>
      <c r="P762" s="85"/>
      <c r="Q762" s="89"/>
      <c r="R762" s="89"/>
    </row>
    <row r="763" spans="1:18" x14ac:dyDescent="0.25">
      <c r="A763" s="471" t="s">
        <v>433</v>
      </c>
      <c r="B763" s="485"/>
      <c r="C763" s="485"/>
      <c r="D763" s="485"/>
      <c r="E763" s="485"/>
      <c r="F763" s="485"/>
      <c r="G763" s="486"/>
      <c r="H763" s="485"/>
      <c r="I763" s="485"/>
      <c r="J763" s="485"/>
      <c r="K763" s="485"/>
      <c r="L763" s="485"/>
      <c r="M763" s="485"/>
      <c r="N763" s="377"/>
      <c r="O763" s="485"/>
      <c r="P763" s="85"/>
      <c r="Q763" s="89"/>
      <c r="R763" s="89"/>
    </row>
    <row r="764" spans="1:18" x14ac:dyDescent="0.25">
      <c r="A764" s="471" t="s">
        <v>434</v>
      </c>
      <c r="B764" s="485"/>
      <c r="C764" s="485"/>
      <c r="D764" s="485"/>
      <c r="E764" s="485"/>
      <c r="F764" s="485"/>
      <c r="G764" s="486"/>
      <c r="H764" s="485"/>
      <c r="I764" s="485"/>
      <c r="J764" s="485"/>
      <c r="K764" s="485"/>
      <c r="L764" s="485"/>
      <c r="M764" s="485"/>
      <c r="N764" s="377"/>
      <c r="O764" s="485"/>
      <c r="P764" s="85"/>
      <c r="Q764" s="89"/>
      <c r="R764" s="89"/>
    </row>
    <row r="765" spans="1:18" x14ac:dyDescent="0.25">
      <c r="A765" s="471" t="s">
        <v>435</v>
      </c>
      <c r="B765" s="485"/>
      <c r="C765" s="485"/>
      <c r="D765" s="485"/>
      <c r="E765" s="485"/>
      <c r="F765" s="485"/>
      <c r="G765" s="486"/>
      <c r="H765" s="485"/>
      <c r="I765" s="485"/>
      <c r="J765" s="485"/>
      <c r="K765" s="485"/>
      <c r="L765" s="485"/>
      <c r="M765" s="485"/>
      <c r="N765" s="377"/>
      <c r="O765" s="485"/>
      <c r="P765" s="85"/>
      <c r="Q765" s="89"/>
      <c r="R765" s="89"/>
    </row>
    <row r="766" spans="1:18" x14ac:dyDescent="0.25">
      <c r="A766" s="471" t="s">
        <v>436</v>
      </c>
      <c r="B766" s="485"/>
      <c r="C766" s="485"/>
      <c r="D766" s="485"/>
      <c r="E766" s="485"/>
      <c r="F766" s="485"/>
      <c r="G766" s="487"/>
      <c r="H766" s="485"/>
      <c r="I766" s="485"/>
      <c r="J766" s="485"/>
      <c r="K766" s="485"/>
      <c r="L766" s="485"/>
      <c r="M766" s="485"/>
      <c r="N766" s="377"/>
      <c r="O766" s="485"/>
      <c r="P766" s="85"/>
      <c r="Q766" s="89"/>
      <c r="R766" s="89"/>
    </row>
    <row r="767" spans="1:18" ht="13.2" customHeight="1" x14ac:dyDescent="0.25">
      <c r="A767" s="489" t="s">
        <v>437</v>
      </c>
      <c r="B767" s="488"/>
      <c r="C767" s="488"/>
      <c r="D767" s="488"/>
      <c r="E767" s="488"/>
      <c r="F767" s="488"/>
      <c r="G767" s="488"/>
      <c r="H767" s="488"/>
      <c r="I767" s="488"/>
      <c r="J767" s="488"/>
      <c r="K767" s="488"/>
      <c r="L767" s="488"/>
      <c r="M767" s="488"/>
      <c r="N767" s="481"/>
      <c r="O767" s="488"/>
      <c r="P767" s="85"/>
      <c r="Q767" s="89"/>
      <c r="R767" s="89"/>
    </row>
    <row r="768" spans="1:18" ht="13.2" customHeight="1" x14ac:dyDescent="0.25">
      <c r="A768" s="489" t="s">
        <v>438</v>
      </c>
      <c r="B768" s="488"/>
      <c r="C768" s="488"/>
      <c r="D768" s="488"/>
      <c r="E768" s="488"/>
      <c r="F768" s="488"/>
      <c r="G768" s="488"/>
      <c r="H768" s="488"/>
      <c r="I768" s="488"/>
      <c r="J768" s="488"/>
      <c r="K768" s="488"/>
      <c r="L768" s="488"/>
      <c r="M768" s="488"/>
      <c r="N768" s="481"/>
      <c r="O768" s="488"/>
      <c r="P768" s="85"/>
      <c r="Q768" s="89"/>
      <c r="R768" s="89"/>
    </row>
    <row r="769" spans="1:18" ht="13.2" customHeight="1" x14ac:dyDescent="0.25">
      <c r="A769" s="756" t="s">
        <v>669</v>
      </c>
      <c r="B769" s="482"/>
      <c r="C769" s="482"/>
      <c r="D769" s="482"/>
      <c r="E769" s="482"/>
      <c r="F769" s="482"/>
      <c r="G769" s="482"/>
      <c r="H769" s="482"/>
      <c r="I769" s="482"/>
      <c r="J769" s="482"/>
      <c r="K769" s="482"/>
      <c r="L769" s="482"/>
      <c r="M769" s="482"/>
      <c r="N769" s="483"/>
      <c r="O769" s="488"/>
      <c r="P769" s="85"/>
      <c r="Q769" s="89"/>
      <c r="R769" s="89"/>
    </row>
    <row r="770" spans="1:18" x14ac:dyDescent="0.25">
      <c r="A770" s="68"/>
      <c r="B770" s="70"/>
      <c r="C770" s="193"/>
      <c r="D770" s="70"/>
      <c r="E770" s="70"/>
      <c r="F770" s="70"/>
      <c r="G770" s="70"/>
      <c r="H770" s="70"/>
      <c r="I770" s="164"/>
      <c r="J770" s="164"/>
      <c r="K770" s="164"/>
      <c r="L770" s="164"/>
      <c r="M770" s="164"/>
      <c r="N770" s="164"/>
      <c r="O770" s="164"/>
      <c r="P770" s="164"/>
      <c r="Q770" s="2"/>
    </row>
    <row r="771" spans="1:18" x14ac:dyDescent="0.25">
      <c r="A771" s="218" t="s">
        <v>14</v>
      </c>
      <c r="B771" s="219" t="s">
        <v>226</v>
      </c>
      <c r="C771" s="219" t="s">
        <v>15</v>
      </c>
      <c r="D771" s="85"/>
      <c r="E771" s="85"/>
      <c r="F771" s="85"/>
      <c r="G771" s="85"/>
      <c r="H771" s="85"/>
      <c r="I771" s="85"/>
      <c r="J771" s="85"/>
      <c r="K771" s="85"/>
      <c r="L771" s="85"/>
      <c r="M771" s="85"/>
      <c r="N771" s="85"/>
      <c r="O771" s="85"/>
      <c r="P771" s="85"/>
      <c r="Q771" s="2"/>
    </row>
    <row r="772" spans="1:18" x14ac:dyDescent="0.25">
      <c r="A772" s="190" t="s">
        <v>16</v>
      </c>
      <c r="B772" s="633">
        <v>2009</v>
      </c>
      <c r="C772" s="115">
        <v>2010</v>
      </c>
      <c r="D772" s="115">
        <v>2011</v>
      </c>
      <c r="E772" s="115">
        <v>2012</v>
      </c>
      <c r="F772" s="115">
        <v>2013</v>
      </c>
      <c r="G772" s="115">
        <v>2014</v>
      </c>
      <c r="H772" s="115">
        <v>2015</v>
      </c>
      <c r="I772" s="115">
        <v>2016</v>
      </c>
      <c r="J772" s="205">
        <v>2017</v>
      </c>
      <c r="K772" s="205">
        <v>2018</v>
      </c>
      <c r="L772" s="205">
        <v>2019</v>
      </c>
      <c r="M772" s="205">
        <v>2020</v>
      </c>
      <c r="N772" s="115">
        <v>2021</v>
      </c>
      <c r="O772" s="85"/>
      <c r="P772" s="89"/>
      <c r="Q772" s="89"/>
    </row>
    <row r="773" spans="1:18" x14ac:dyDescent="0.25">
      <c r="A773" s="87" t="s">
        <v>17</v>
      </c>
      <c r="B773" s="220">
        <v>1080</v>
      </c>
      <c r="C773" s="220">
        <v>901</v>
      </c>
      <c r="D773" s="220">
        <v>901</v>
      </c>
      <c r="E773" s="220">
        <v>901</v>
      </c>
      <c r="F773" s="220">
        <v>901</v>
      </c>
      <c r="G773" s="220">
        <v>901</v>
      </c>
      <c r="H773" s="220">
        <v>901</v>
      </c>
      <c r="I773" s="220">
        <v>901</v>
      </c>
      <c r="J773" s="220">
        <v>901</v>
      </c>
      <c r="K773" s="220">
        <v>901</v>
      </c>
      <c r="L773" s="220">
        <v>901</v>
      </c>
      <c r="M773" s="376">
        <v>901</v>
      </c>
      <c r="N773" s="180">
        <v>901</v>
      </c>
      <c r="O773" s="85"/>
      <c r="P773" s="89"/>
      <c r="Q773" s="89"/>
    </row>
    <row r="774" spans="1:18" x14ac:dyDescent="0.25">
      <c r="A774" s="87" t="s">
        <v>18</v>
      </c>
      <c r="B774" s="220">
        <v>1775.91</v>
      </c>
      <c r="C774" s="220">
        <v>1651</v>
      </c>
      <c r="D774" s="220">
        <v>851</v>
      </c>
      <c r="E774" s="220">
        <v>1288.26477</v>
      </c>
      <c r="F774" s="220">
        <v>425.70000000000005</v>
      </c>
      <c r="G774" s="220">
        <v>1298.56477</v>
      </c>
      <c r="H774" s="220">
        <v>318.5</v>
      </c>
      <c r="I774" s="220">
        <v>1359.46477</v>
      </c>
      <c r="J774" s="220">
        <v>999.7</v>
      </c>
      <c r="K774" s="220">
        <v>1339.56477</v>
      </c>
      <c r="L774" s="220">
        <v>1191.2</v>
      </c>
      <c r="M774" s="376">
        <v>1451</v>
      </c>
      <c r="N774" s="220">
        <v>1380.1631280000001</v>
      </c>
      <c r="O774" s="85"/>
      <c r="P774" s="89"/>
      <c r="Q774" s="89"/>
    </row>
    <row r="775" spans="1:18" x14ac:dyDescent="0.25">
      <c r="A775" s="87" t="s">
        <v>19</v>
      </c>
      <c r="B775" s="220"/>
      <c r="C775" s="220"/>
      <c r="D775" s="220"/>
      <c r="E775" s="220"/>
      <c r="F775" s="220"/>
      <c r="G775" s="220"/>
      <c r="H775" s="220"/>
      <c r="I775" s="220"/>
      <c r="J775" s="220"/>
      <c r="K775" s="220"/>
      <c r="L775" s="220"/>
      <c r="M775" s="376"/>
      <c r="N775" s="180"/>
      <c r="O775" s="85"/>
      <c r="P775" s="89"/>
      <c r="Q775" s="89"/>
    </row>
    <row r="776" spans="1:18" x14ac:dyDescent="0.25">
      <c r="A776" s="87" t="s">
        <v>20</v>
      </c>
      <c r="B776" s="220">
        <v>900.11276999999995</v>
      </c>
      <c r="C776" s="220">
        <v>1213.73523</v>
      </c>
      <c r="D776" s="220">
        <v>1276.3</v>
      </c>
      <c r="E776" s="220">
        <v>840.7</v>
      </c>
      <c r="F776" s="220">
        <v>958.2</v>
      </c>
      <c r="G776" s="220">
        <v>790.1</v>
      </c>
      <c r="H776" s="220">
        <v>569.79999999999995</v>
      </c>
      <c r="I776" s="220">
        <v>870.9</v>
      </c>
      <c r="J776" s="220">
        <v>659.5</v>
      </c>
      <c r="K776" s="220">
        <v>698</v>
      </c>
      <c r="L776" s="220">
        <v>662.0368719999999</v>
      </c>
      <c r="M776" s="755">
        <v>444</v>
      </c>
      <c r="N776" s="180"/>
      <c r="O776" s="85"/>
      <c r="P776" s="89"/>
      <c r="Q776" s="89"/>
    </row>
    <row r="777" spans="1:18" x14ac:dyDescent="0.25">
      <c r="A777" s="87" t="s">
        <v>21</v>
      </c>
      <c r="B777" s="220">
        <v>875.79723000000013</v>
      </c>
      <c r="C777" s="220">
        <v>437.26477</v>
      </c>
      <c r="D777" s="220">
        <v>425.3</v>
      </c>
      <c r="E777" s="220">
        <v>447.56476999999995</v>
      </c>
      <c r="F777" s="220">
        <v>532.5</v>
      </c>
      <c r="G777" s="220">
        <v>508.46476999999993</v>
      </c>
      <c r="H777" s="220">
        <v>148.70000000000005</v>
      </c>
      <c r="I777" s="220">
        <v>488.56477000000007</v>
      </c>
      <c r="J777" s="220">
        <v>340.20000000000005</v>
      </c>
      <c r="K777" s="220">
        <v>641.56476999999995</v>
      </c>
      <c r="L777" s="220">
        <v>529.16312800000014</v>
      </c>
      <c r="M777" s="755">
        <f>M774-M776</f>
        <v>1007</v>
      </c>
      <c r="N777" s="180"/>
      <c r="O777" s="85"/>
      <c r="P777" s="89"/>
      <c r="Q777" s="89"/>
    </row>
    <row r="778" spans="1:18" x14ac:dyDescent="0.25">
      <c r="A778" s="87" t="s">
        <v>22</v>
      </c>
      <c r="B778" s="189"/>
      <c r="C778" s="189"/>
      <c r="D778" s="189"/>
      <c r="E778" s="189"/>
      <c r="F778" s="189"/>
      <c r="G778" s="189"/>
      <c r="H778" s="189"/>
      <c r="I778" s="189"/>
      <c r="J778" s="202"/>
      <c r="K778" s="202"/>
      <c r="L778" s="202"/>
      <c r="M778" s="202"/>
      <c r="N778" s="180"/>
      <c r="O778" s="85"/>
      <c r="P778" s="89"/>
      <c r="Q778" s="89"/>
    </row>
    <row r="779" spans="1:18" s="2" customFormat="1" x14ac:dyDescent="0.25">
      <c r="A779" s="182" t="s">
        <v>196</v>
      </c>
      <c r="B779" s="183"/>
      <c r="C779" s="183"/>
      <c r="D779" s="183"/>
      <c r="E779" s="183"/>
      <c r="F779" s="183"/>
      <c r="G779" s="183"/>
      <c r="H779" s="183"/>
      <c r="I779" s="183"/>
      <c r="J779" s="183"/>
      <c r="K779" s="183"/>
      <c r="L779" s="183"/>
      <c r="M779" s="183"/>
      <c r="N779" s="184"/>
      <c r="O779" s="85"/>
      <c r="P779" s="89"/>
      <c r="Q779" s="89"/>
    </row>
    <row r="780" spans="1:18" s="2" customFormat="1" x14ac:dyDescent="0.25">
      <c r="A780" s="185" t="s">
        <v>476</v>
      </c>
      <c r="B780" s="88"/>
      <c r="C780" s="88"/>
      <c r="D780" s="88"/>
      <c r="E780" s="88"/>
      <c r="F780" s="88"/>
      <c r="G780" s="88"/>
      <c r="H780" s="88"/>
      <c r="I780" s="88"/>
      <c r="J780" s="88"/>
      <c r="K780" s="88"/>
      <c r="L780" s="88"/>
      <c r="M780" s="88"/>
      <c r="N780" s="186"/>
      <c r="O780" s="85"/>
      <c r="P780" s="89"/>
      <c r="Q780" s="89"/>
    </row>
    <row r="781" spans="1:18" s="2" customFormat="1" x14ac:dyDescent="0.25">
      <c r="A781" s="185" t="s">
        <v>477</v>
      </c>
      <c r="B781" s="88"/>
      <c r="C781" s="88"/>
      <c r="D781" s="88"/>
      <c r="E781" s="88"/>
      <c r="F781" s="88"/>
      <c r="G781" s="88"/>
      <c r="H781" s="88"/>
      <c r="I781" s="88"/>
      <c r="J781" s="88"/>
      <c r="K781" s="88"/>
      <c r="L781" s="88"/>
      <c r="M781" s="88"/>
      <c r="N781" s="186"/>
      <c r="O781" s="85"/>
      <c r="P781" s="89"/>
      <c r="Q781" s="89"/>
    </row>
    <row r="782" spans="1:18" s="2" customFormat="1" x14ac:dyDescent="0.25">
      <c r="A782" s="185" t="s">
        <v>478</v>
      </c>
      <c r="B782" s="88"/>
      <c r="C782" s="88"/>
      <c r="D782" s="88"/>
      <c r="E782" s="88"/>
      <c r="F782" s="88"/>
      <c r="G782" s="88"/>
      <c r="H782" s="88"/>
      <c r="I782" s="88"/>
      <c r="J782" s="88"/>
      <c r="K782" s="88"/>
      <c r="L782" s="88"/>
      <c r="M782" s="88"/>
      <c r="N782" s="186"/>
      <c r="O782" s="85"/>
      <c r="P782" s="89"/>
      <c r="Q782" s="89"/>
    </row>
    <row r="783" spans="1:18" s="2" customFormat="1" x14ac:dyDescent="0.25">
      <c r="A783" s="185" t="s">
        <v>479</v>
      </c>
      <c r="B783" s="88"/>
      <c r="C783" s="88"/>
      <c r="D783" s="88"/>
      <c r="E783" s="88"/>
      <c r="F783" s="88"/>
      <c r="G783" s="88"/>
      <c r="H783" s="88"/>
      <c r="I783" s="88"/>
      <c r="J783" s="88"/>
      <c r="K783" s="88"/>
      <c r="L783" s="88"/>
      <c r="M783" s="88"/>
      <c r="N783" s="186"/>
      <c r="O783" s="85"/>
      <c r="P783" s="89"/>
      <c r="Q783" s="89"/>
    </row>
    <row r="784" spans="1:18" s="2" customFormat="1" x14ac:dyDescent="0.25">
      <c r="A784" s="185" t="s">
        <v>480</v>
      </c>
      <c r="B784" s="194"/>
      <c r="C784" s="195"/>
      <c r="D784" s="196"/>
      <c r="E784" s="88"/>
      <c r="F784" s="88"/>
      <c r="G784" s="195"/>
      <c r="H784" s="88"/>
      <c r="I784" s="88"/>
      <c r="J784" s="88"/>
      <c r="K784" s="88"/>
      <c r="L784" s="88"/>
      <c r="M784" s="88"/>
      <c r="N784" s="186"/>
      <c r="O784" s="85"/>
      <c r="P784" s="89"/>
      <c r="Q784" s="89"/>
    </row>
    <row r="785" spans="1:17" s="2" customFormat="1" x14ac:dyDescent="0.25">
      <c r="A785" s="185" t="s">
        <v>481</v>
      </c>
      <c r="B785" s="88"/>
      <c r="C785" s="88"/>
      <c r="D785" s="88"/>
      <c r="E785" s="88"/>
      <c r="F785" s="88"/>
      <c r="G785" s="195"/>
      <c r="H785" s="88"/>
      <c r="I785" s="88"/>
      <c r="J785" s="88"/>
      <c r="K785" s="88"/>
      <c r="L785" s="88"/>
      <c r="M785" s="88"/>
      <c r="N785" s="186"/>
      <c r="O785" s="85"/>
      <c r="P785" s="89"/>
      <c r="Q785" s="89"/>
    </row>
    <row r="786" spans="1:17" s="2" customFormat="1" x14ac:dyDescent="0.25">
      <c r="A786" s="185" t="s">
        <v>482</v>
      </c>
      <c r="B786" s="88"/>
      <c r="C786" s="88"/>
      <c r="D786" s="88"/>
      <c r="E786" s="88"/>
      <c r="F786" s="88"/>
      <c r="G786" s="195"/>
      <c r="H786" s="88"/>
      <c r="I786" s="88"/>
      <c r="J786" s="88"/>
      <c r="K786" s="88"/>
      <c r="L786" s="88"/>
      <c r="M786" s="88"/>
      <c r="N786" s="186"/>
      <c r="O786" s="85"/>
      <c r="P786" s="89"/>
      <c r="Q786" s="89"/>
    </row>
    <row r="787" spans="1:17" s="2" customFormat="1" x14ac:dyDescent="0.25">
      <c r="A787" s="185" t="s">
        <v>483</v>
      </c>
      <c r="B787" s="88"/>
      <c r="C787" s="88"/>
      <c r="D787" s="88"/>
      <c r="E787" s="88"/>
      <c r="F787" s="88"/>
      <c r="G787" s="195"/>
      <c r="H787" s="88"/>
      <c r="I787" s="88"/>
      <c r="J787" s="88"/>
      <c r="K787" s="88"/>
      <c r="L787" s="88"/>
      <c r="M787" s="88"/>
      <c r="N787" s="186"/>
      <c r="O787" s="85"/>
      <c r="P787" s="89"/>
      <c r="Q787" s="89"/>
    </row>
    <row r="788" spans="1:17" s="2" customFormat="1" x14ac:dyDescent="0.25">
      <c r="A788" s="203" t="s">
        <v>484</v>
      </c>
      <c r="B788" s="88"/>
      <c r="C788" s="88"/>
      <c r="D788" s="88"/>
      <c r="E788" s="88"/>
      <c r="F788" s="88"/>
      <c r="G788" s="204"/>
      <c r="H788" s="88"/>
      <c r="I788" s="88"/>
      <c r="J788" s="88"/>
      <c r="K788" s="88"/>
      <c r="L788" s="88"/>
      <c r="M788" s="88"/>
      <c r="N788" s="186"/>
      <c r="O788" s="85"/>
      <c r="P788" s="89"/>
      <c r="Q788" s="89"/>
    </row>
    <row r="789" spans="1:17" s="2" customFormat="1" x14ac:dyDescent="0.25">
      <c r="A789" s="197" t="s">
        <v>250</v>
      </c>
      <c r="B789" s="88"/>
      <c r="C789" s="88"/>
      <c r="D789" s="88"/>
      <c r="E789" s="88"/>
      <c r="F789" s="88"/>
      <c r="G789" s="88"/>
      <c r="H789" s="88"/>
      <c r="I789" s="88"/>
      <c r="J789" s="88"/>
      <c r="K789" s="88"/>
      <c r="L789" s="88"/>
      <c r="M789" s="88"/>
      <c r="N789" s="186"/>
      <c r="O789" s="85"/>
      <c r="P789" s="89"/>
      <c r="Q789" s="89"/>
    </row>
    <row r="790" spans="1:17" s="2" customFormat="1" x14ac:dyDescent="0.25">
      <c r="A790" s="197" t="s">
        <v>251</v>
      </c>
      <c r="B790" s="88"/>
      <c r="C790" s="88"/>
      <c r="D790" s="88"/>
      <c r="E790" s="88"/>
      <c r="F790" s="88"/>
      <c r="G790" s="88"/>
      <c r="H790" s="88"/>
      <c r="I790" s="88"/>
      <c r="J790" s="88"/>
      <c r="K790" s="88"/>
      <c r="L790" s="88"/>
      <c r="M790" s="88"/>
      <c r="N790" s="186"/>
      <c r="O790" s="85"/>
      <c r="P790" s="89"/>
      <c r="Q790" s="89"/>
    </row>
    <row r="791" spans="1:17" s="2" customFormat="1" x14ac:dyDescent="0.25">
      <c r="A791" s="472" t="s">
        <v>485</v>
      </c>
      <c r="B791" s="191"/>
      <c r="C791" s="191"/>
      <c r="D791" s="191"/>
      <c r="E791" s="191"/>
      <c r="F791" s="191"/>
      <c r="G791" s="191"/>
      <c r="H791" s="191"/>
      <c r="I791" s="191"/>
      <c r="J791" s="191"/>
      <c r="K791" s="191"/>
      <c r="L791" s="191"/>
      <c r="M791" s="191"/>
      <c r="N791" s="192"/>
      <c r="O791" s="85"/>
      <c r="P791" s="89"/>
      <c r="Q791" s="89"/>
    </row>
    <row r="792" spans="1:17" x14ac:dyDescent="0.25">
      <c r="A792" s="68"/>
      <c r="B792" s="70"/>
      <c r="C792" s="193"/>
      <c r="D792" s="70"/>
      <c r="E792" s="70"/>
      <c r="F792" s="70"/>
      <c r="G792" s="70"/>
      <c r="H792" s="70"/>
      <c r="I792" s="164"/>
      <c r="J792" s="164"/>
      <c r="K792" s="164"/>
      <c r="L792" s="164"/>
      <c r="M792" s="164"/>
      <c r="N792" s="164"/>
      <c r="O792" s="164"/>
      <c r="P792" s="164"/>
      <c r="Q792" s="2"/>
    </row>
    <row r="793" spans="1:17" x14ac:dyDescent="0.25">
      <c r="A793" s="218" t="s">
        <v>14</v>
      </c>
      <c r="B793" s="219" t="s">
        <v>276</v>
      </c>
      <c r="C793" s="86" t="s">
        <v>15</v>
      </c>
      <c r="D793" s="85"/>
      <c r="E793" s="85"/>
      <c r="F793" s="85"/>
      <c r="G793" s="85"/>
      <c r="H793" s="85"/>
      <c r="I793" s="85"/>
      <c r="J793" s="85"/>
      <c r="K793" s="85"/>
      <c r="L793" s="85"/>
      <c r="M793" s="85"/>
      <c r="N793" s="164"/>
      <c r="O793" s="164"/>
      <c r="P793" s="164"/>
      <c r="Q793" s="2"/>
    </row>
    <row r="794" spans="1:17" customFormat="1" ht="14.4" x14ac:dyDescent="0.3">
      <c r="A794" s="87" t="s">
        <v>16</v>
      </c>
      <c r="B794" s="115">
        <v>2009</v>
      </c>
      <c r="C794" s="115">
        <v>2010</v>
      </c>
      <c r="D794" s="115">
        <v>2011</v>
      </c>
      <c r="E794" s="115">
        <v>2012</v>
      </c>
      <c r="F794" s="115">
        <v>2013</v>
      </c>
      <c r="G794" s="115">
        <v>2014</v>
      </c>
      <c r="H794" s="115">
        <v>2015</v>
      </c>
      <c r="I794" s="115">
        <v>2016</v>
      </c>
      <c r="J794" s="115">
        <v>2017</v>
      </c>
      <c r="K794" s="115">
        <v>2018</v>
      </c>
      <c r="L794" s="115">
        <v>2019</v>
      </c>
      <c r="M794" s="115">
        <v>2020</v>
      </c>
      <c r="N794" s="115">
        <v>2021</v>
      </c>
      <c r="O794" s="468"/>
      <c r="P794" s="179"/>
      <c r="Q794" s="119"/>
    </row>
    <row r="795" spans="1:17" customFormat="1" ht="14.4" x14ac:dyDescent="0.3">
      <c r="A795" s="87" t="s">
        <v>17</v>
      </c>
      <c r="B795" s="207">
        <v>1871.44</v>
      </c>
      <c r="C795" s="207">
        <v>1148.05</v>
      </c>
      <c r="D795" s="207">
        <v>1097.03</v>
      </c>
      <c r="E795" s="207">
        <v>1097.03</v>
      </c>
      <c r="F795" s="207">
        <v>1139.55</v>
      </c>
      <c r="G795" s="207">
        <v>1139.55</v>
      </c>
      <c r="H795" s="207">
        <v>1345.44</v>
      </c>
      <c r="I795" s="207">
        <v>1608.21</v>
      </c>
      <c r="J795" s="207">
        <v>1930.88</v>
      </c>
      <c r="K795" s="207">
        <v>2279</v>
      </c>
      <c r="L795" s="207">
        <v>2544</v>
      </c>
      <c r="M795" s="207">
        <v>2819</v>
      </c>
      <c r="N795" s="220">
        <v>2819</v>
      </c>
      <c r="O795" s="468"/>
      <c r="P795" s="179"/>
      <c r="Q795" s="119"/>
    </row>
    <row r="796" spans="1:17" customFormat="1" ht="14.4" x14ac:dyDescent="0.3">
      <c r="A796" s="87" t="s">
        <v>18</v>
      </c>
      <c r="B796" s="207">
        <v>1871.44</v>
      </c>
      <c r="C796" s="207">
        <v>1148.05</v>
      </c>
      <c r="D796" s="207">
        <v>1097.03</v>
      </c>
      <c r="E796" s="207">
        <v>1097.03</v>
      </c>
      <c r="F796" s="207">
        <v>1139.55</v>
      </c>
      <c r="G796" s="207">
        <v>1139.55</v>
      </c>
      <c r="H796" s="207">
        <v>1390.44</v>
      </c>
      <c r="I796" s="207">
        <v>1583.21</v>
      </c>
      <c r="J796" s="207">
        <v>1910.88</v>
      </c>
      <c r="K796" s="207">
        <v>2279</v>
      </c>
      <c r="L796" s="207">
        <v>2544</v>
      </c>
      <c r="M796" s="207">
        <v>2839.27</v>
      </c>
      <c r="N796" s="220">
        <f>N795+M799</f>
        <v>2876.6439600000003</v>
      </c>
      <c r="O796" s="468"/>
      <c r="P796" s="179"/>
      <c r="Q796" s="119"/>
    </row>
    <row r="797" spans="1:17" customFormat="1" ht="14.4" x14ac:dyDescent="0.3">
      <c r="A797" s="87" t="s">
        <v>19</v>
      </c>
      <c r="B797" s="220"/>
      <c r="C797" s="220"/>
      <c r="D797" s="220"/>
      <c r="E797" s="220"/>
      <c r="F797" s="220"/>
      <c r="G797" s="220"/>
      <c r="H797" s="220"/>
      <c r="I797" s="220"/>
      <c r="J797" s="220"/>
      <c r="K797" s="220"/>
      <c r="L797" s="220"/>
      <c r="M797" s="220"/>
      <c r="N797" s="220"/>
      <c r="O797" s="468"/>
      <c r="P797" s="179"/>
      <c r="Q797" s="119"/>
    </row>
    <row r="798" spans="1:17" customFormat="1" ht="14.4" x14ac:dyDescent="0.3">
      <c r="A798" s="87" t="s">
        <v>20</v>
      </c>
      <c r="B798" s="207">
        <v>1858.2</v>
      </c>
      <c r="C798" s="220">
        <v>1139.2777599999999</v>
      </c>
      <c r="D798" s="220">
        <v>1088.8235599999998</v>
      </c>
      <c r="E798" s="220">
        <v>1092.5993599999999</v>
      </c>
      <c r="F798" s="220">
        <v>1128.97</v>
      </c>
      <c r="G798" s="220">
        <v>1134.47</v>
      </c>
      <c r="H798" s="220">
        <v>1385.92</v>
      </c>
      <c r="I798" s="220">
        <v>1578.37</v>
      </c>
      <c r="J798" s="220">
        <v>1910.65104</v>
      </c>
      <c r="K798" s="220">
        <v>2269.7609000000002</v>
      </c>
      <c r="L798" s="220">
        <v>2523.73</v>
      </c>
      <c r="M798" s="220">
        <v>2781.6260399999996</v>
      </c>
      <c r="N798" s="220"/>
      <c r="O798" s="468"/>
      <c r="P798" s="179"/>
      <c r="Q798" s="119"/>
    </row>
    <row r="799" spans="1:17" customFormat="1" ht="14.4" x14ac:dyDescent="0.3">
      <c r="A799" s="87" t="s">
        <v>21</v>
      </c>
      <c r="B799" s="220">
        <v>13.240000000000009</v>
      </c>
      <c r="C799" s="220">
        <v>8.7722400000000107</v>
      </c>
      <c r="D799" s="220">
        <v>8.2064400000001569</v>
      </c>
      <c r="E799" s="220">
        <v>4.4306400000000394</v>
      </c>
      <c r="F799" s="220">
        <v>10.579999999999927</v>
      </c>
      <c r="G799" s="220">
        <v>5.0799999999999272</v>
      </c>
      <c r="H799" s="220">
        <v>4.5199999999999818</v>
      </c>
      <c r="I799" s="220">
        <v>4.8400000000001455</v>
      </c>
      <c r="J799" s="220">
        <v>0.22896000000014283</v>
      </c>
      <c r="K799" s="220">
        <v>9.2390999999997803</v>
      </c>
      <c r="L799" s="220">
        <v>20.269999999999982</v>
      </c>
      <c r="M799" s="220">
        <v>57.643960000000334</v>
      </c>
      <c r="N799" s="220"/>
      <c r="O799" s="468"/>
      <c r="P799" s="179"/>
      <c r="Q799" s="119"/>
    </row>
    <row r="800" spans="1:17" customFormat="1" ht="14.4" x14ac:dyDescent="0.3">
      <c r="A800" s="182" t="s">
        <v>22</v>
      </c>
      <c r="B800" s="221"/>
      <c r="C800" s="221"/>
      <c r="D800" s="221"/>
      <c r="E800" s="221"/>
      <c r="F800" s="221"/>
      <c r="G800" s="221"/>
      <c r="H800" s="221"/>
      <c r="I800" s="221"/>
      <c r="J800" s="221"/>
      <c r="K800" s="221"/>
      <c r="L800" s="221"/>
      <c r="M800" s="221"/>
      <c r="N800" s="222"/>
      <c r="O800" s="468"/>
      <c r="P800" s="179"/>
      <c r="Q800" s="119"/>
    </row>
    <row r="801" spans="1:17" customFormat="1" ht="14.4" x14ac:dyDescent="0.3">
      <c r="A801" s="182" t="s">
        <v>196</v>
      </c>
      <c r="B801" s="183"/>
      <c r="C801" s="183"/>
      <c r="D801" s="183"/>
      <c r="E801" s="183"/>
      <c r="F801" s="183"/>
      <c r="G801" s="183"/>
      <c r="H801" s="183"/>
      <c r="I801" s="183"/>
      <c r="J801" s="183"/>
      <c r="K801" s="183"/>
      <c r="L801" s="183"/>
      <c r="M801" s="183"/>
      <c r="N801" s="184"/>
      <c r="O801" s="468"/>
      <c r="P801" s="179"/>
      <c r="Q801" s="119"/>
    </row>
    <row r="802" spans="1:17" customFormat="1" ht="14.4" x14ac:dyDescent="0.3">
      <c r="A802" s="185" t="s">
        <v>209</v>
      </c>
      <c r="B802" s="88"/>
      <c r="C802" s="88"/>
      <c r="D802" s="88"/>
      <c r="E802" s="88"/>
      <c r="F802" s="88"/>
      <c r="G802" s="88"/>
      <c r="H802" s="88"/>
      <c r="I802" s="88"/>
      <c r="J802" s="88"/>
      <c r="K802" s="88"/>
      <c r="L802" s="88"/>
      <c r="M802" s="88"/>
      <c r="N802" s="186"/>
      <c r="O802" s="468"/>
      <c r="P802" s="179"/>
      <c r="Q802" s="119"/>
    </row>
    <row r="803" spans="1:17" customFormat="1" ht="14.4" x14ac:dyDescent="0.3">
      <c r="A803" s="185" t="s">
        <v>210</v>
      </c>
      <c r="B803" s="88"/>
      <c r="C803" s="88"/>
      <c r="D803" s="88"/>
      <c r="E803" s="88"/>
      <c r="F803" s="88"/>
      <c r="G803" s="88"/>
      <c r="H803" s="88"/>
      <c r="I803" s="88"/>
      <c r="J803" s="88"/>
      <c r="K803" s="88"/>
      <c r="L803" s="88"/>
      <c r="M803" s="88"/>
      <c r="N803" s="186"/>
      <c r="O803" s="468"/>
      <c r="P803" s="179"/>
      <c r="Q803" s="119"/>
    </row>
    <row r="804" spans="1:17" customFormat="1" ht="14.4" x14ac:dyDescent="0.3">
      <c r="A804" s="185" t="s">
        <v>211</v>
      </c>
      <c r="B804" s="88"/>
      <c r="C804" s="88"/>
      <c r="D804" s="88"/>
      <c r="E804" s="88"/>
      <c r="F804" s="88"/>
      <c r="G804" s="88"/>
      <c r="H804" s="88"/>
      <c r="I804" s="88"/>
      <c r="J804" s="88"/>
      <c r="K804" s="88"/>
      <c r="L804" s="88"/>
      <c r="M804" s="88"/>
      <c r="N804" s="186"/>
      <c r="O804" s="468"/>
      <c r="P804" s="179"/>
      <c r="Q804" s="119"/>
    </row>
    <row r="805" spans="1:17" customFormat="1" ht="14.4" x14ac:dyDescent="0.3">
      <c r="A805" s="185" t="s">
        <v>212</v>
      </c>
      <c r="B805" s="88"/>
      <c r="C805" s="88"/>
      <c r="D805" s="88"/>
      <c r="E805" s="88"/>
      <c r="F805" s="88"/>
      <c r="G805" s="88"/>
      <c r="H805" s="88"/>
      <c r="I805" s="88"/>
      <c r="J805" s="88"/>
      <c r="K805" s="88"/>
      <c r="L805" s="88"/>
      <c r="M805" s="88"/>
      <c r="N805" s="186"/>
      <c r="O805" s="468"/>
      <c r="P805" s="179"/>
      <c r="Q805" s="119"/>
    </row>
    <row r="806" spans="1:17" customFormat="1" ht="14.4" x14ac:dyDescent="0.3">
      <c r="A806" s="197" t="s">
        <v>252</v>
      </c>
      <c r="B806" s="194"/>
      <c r="C806" s="195"/>
      <c r="D806" s="196"/>
      <c r="E806" s="88"/>
      <c r="F806" s="88"/>
      <c r="G806" s="195"/>
      <c r="H806" s="88"/>
      <c r="I806" s="88"/>
      <c r="J806" s="88"/>
      <c r="K806" s="88"/>
      <c r="L806" s="88"/>
      <c r="M806" s="88"/>
      <c r="N806" s="186"/>
      <c r="O806" s="468"/>
      <c r="P806" s="179"/>
      <c r="Q806" s="119"/>
    </row>
    <row r="807" spans="1:17" customFormat="1" ht="14.4" x14ac:dyDescent="0.3">
      <c r="A807" s="197" t="s">
        <v>302</v>
      </c>
      <c r="B807" s="194"/>
      <c r="C807" s="195"/>
      <c r="D807" s="196"/>
      <c r="E807" s="88"/>
      <c r="F807" s="88"/>
      <c r="G807" s="195"/>
      <c r="H807" s="88"/>
      <c r="I807" s="88"/>
      <c r="J807" s="88"/>
      <c r="K807" s="88"/>
      <c r="L807" s="88"/>
      <c r="M807" s="88"/>
      <c r="N807" s="186"/>
      <c r="O807" s="468"/>
      <c r="P807" s="179"/>
      <c r="Q807" s="119"/>
    </row>
    <row r="808" spans="1:17" customFormat="1" ht="14.4" x14ac:dyDescent="0.3">
      <c r="A808" s="197" t="s">
        <v>534</v>
      </c>
      <c r="B808" s="194"/>
      <c r="C808" s="195"/>
      <c r="D808" s="196"/>
      <c r="E808" s="88"/>
      <c r="F808" s="88"/>
      <c r="G808" s="195"/>
      <c r="H808" s="88"/>
      <c r="I808" s="88"/>
      <c r="J808" s="88"/>
      <c r="K808" s="88"/>
      <c r="L808" s="88"/>
      <c r="M808" s="88"/>
      <c r="N808" s="186"/>
      <c r="O808" s="468"/>
      <c r="P808" s="179"/>
      <c r="Q808" s="119"/>
    </row>
    <row r="809" spans="1:17" customFormat="1" ht="14.4" x14ac:dyDescent="0.3">
      <c r="A809" s="197" t="s">
        <v>253</v>
      </c>
      <c r="B809" s="194"/>
      <c r="C809" s="195"/>
      <c r="D809" s="196"/>
      <c r="E809" s="88"/>
      <c r="F809" s="88"/>
      <c r="G809" s="195"/>
      <c r="H809" s="88"/>
      <c r="I809" s="88"/>
      <c r="J809" s="88"/>
      <c r="K809" s="88"/>
      <c r="L809" s="88"/>
      <c r="M809" s="88"/>
      <c r="N809" s="186"/>
      <c r="O809" s="468"/>
      <c r="P809" s="179"/>
      <c r="Q809" s="119"/>
    </row>
    <row r="810" spans="1:17" customFormat="1" ht="14.4" x14ac:dyDescent="0.3">
      <c r="A810" s="197" t="s">
        <v>303</v>
      </c>
      <c r="B810" s="194"/>
      <c r="C810" s="195"/>
      <c r="D810" s="196"/>
      <c r="E810" s="88"/>
      <c r="F810" s="88"/>
      <c r="G810" s="195"/>
      <c r="H810" s="88"/>
      <c r="I810" s="88"/>
      <c r="J810" s="88"/>
      <c r="K810" s="88"/>
      <c r="L810" s="88"/>
      <c r="M810" s="88"/>
      <c r="N810" s="186"/>
      <c r="O810" s="468"/>
      <c r="P810" s="179"/>
      <c r="Q810" s="119"/>
    </row>
    <row r="811" spans="1:17" customFormat="1" ht="14.4" x14ac:dyDescent="0.3">
      <c r="A811" s="206" t="s">
        <v>535</v>
      </c>
      <c r="B811" s="191"/>
      <c r="C811" s="191"/>
      <c r="D811" s="191"/>
      <c r="E811" s="191"/>
      <c r="F811" s="191"/>
      <c r="G811" s="208"/>
      <c r="H811" s="191"/>
      <c r="I811" s="191"/>
      <c r="J811" s="191"/>
      <c r="K811" s="191"/>
      <c r="L811" s="191"/>
      <c r="M811" s="191"/>
      <c r="N811" s="192"/>
      <c r="O811" s="468"/>
      <c r="P811" s="179"/>
      <c r="Q811" s="119"/>
    </row>
    <row r="812" spans="1:17" x14ac:dyDescent="0.25">
      <c r="A812" s="68"/>
      <c r="B812" s="70"/>
      <c r="C812" s="193"/>
      <c r="D812" s="70"/>
      <c r="E812" s="70"/>
      <c r="F812" s="70"/>
      <c r="G812" s="70"/>
      <c r="H812" s="70"/>
      <c r="I812" s="164"/>
      <c r="J812" s="164"/>
      <c r="K812" s="164"/>
      <c r="L812" s="164"/>
      <c r="M812" s="164"/>
      <c r="N812" s="164"/>
      <c r="O812" s="164"/>
      <c r="P812" s="164"/>
      <c r="Q812" s="2"/>
    </row>
    <row r="813" spans="1:17" x14ac:dyDescent="0.25">
      <c r="A813" s="632" t="s">
        <v>14</v>
      </c>
      <c r="B813" s="219" t="s">
        <v>35</v>
      </c>
      <c r="C813" s="86" t="s">
        <v>15</v>
      </c>
      <c r="D813" s="85"/>
      <c r="E813" s="85"/>
      <c r="F813" s="85"/>
      <c r="G813" s="85"/>
      <c r="H813" s="85"/>
      <c r="I813" s="85"/>
      <c r="J813" s="85"/>
      <c r="K813" s="85"/>
      <c r="L813" s="85"/>
      <c r="M813" s="85"/>
      <c r="N813" s="164"/>
      <c r="O813" s="164"/>
      <c r="P813" s="164"/>
      <c r="Q813" s="2"/>
    </row>
    <row r="814" spans="1:17" x14ac:dyDescent="0.25">
      <c r="A814" s="189" t="s">
        <v>16</v>
      </c>
      <c r="B814" s="491">
        <v>2009</v>
      </c>
      <c r="C814" s="490">
        <v>2010</v>
      </c>
      <c r="D814" s="490">
        <v>2011</v>
      </c>
      <c r="E814" s="490">
        <v>2012</v>
      </c>
      <c r="F814" s="490">
        <v>2013</v>
      </c>
      <c r="G814" s="490">
        <v>2014</v>
      </c>
      <c r="H814" s="491">
        <v>2015</v>
      </c>
      <c r="I814" s="491">
        <v>2016</v>
      </c>
      <c r="J814" s="491">
        <v>2017</v>
      </c>
      <c r="K814" s="491">
        <v>2018</v>
      </c>
      <c r="L814" s="491">
        <v>2019</v>
      </c>
      <c r="M814" s="491">
        <v>2020</v>
      </c>
      <c r="N814" s="491">
        <v>2021</v>
      </c>
      <c r="O814" s="85"/>
      <c r="P814" s="85"/>
      <c r="Q814" s="89"/>
    </row>
    <row r="815" spans="1:17" x14ac:dyDescent="0.25">
      <c r="A815" s="190" t="s">
        <v>17</v>
      </c>
      <c r="B815" s="180">
        <v>329.79</v>
      </c>
      <c r="C815" s="220">
        <v>311.02</v>
      </c>
      <c r="D815" s="220">
        <v>301.64</v>
      </c>
      <c r="E815" s="220">
        <v>301.64</v>
      </c>
      <c r="F815" s="220">
        <v>301.64</v>
      </c>
      <c r="G815" s="220">
        <v>301.64</v>
      </c>
      <c r="H815" s="220">
        <v>345.74</v>
      </c>
      <c r="I815" s="220">
        <v>345.74</v>
      </c>
      <c r="J815" s="207">
        <v>345.74</v>
      </c>
      <c r="K815" s="207">
        <v>407.48</v>
      </c>
      <c r="L815" s="207">
        <v>407.48</v>
      </c>
      <c r="M815" s="210">
        <v>407.48</v>
      </c>
      <c r="N815" s="226">
        <v>407.48</v>
      </c>
      <c r="O815" s="85"/>
      <c r="P815" s="85"/>
      <c r="Q815" s="89"/>
    </row>
    <row r="816" spans="1:17" x14ac:dyDescent="0.25">
      <c r="A816" s="87" t="s">
        <v>18</v>
      </c>
      <c r="B816" s="180">
        <v>402.56000000000006</v>
      </c>
      <c r="C816" s="220">
        <v>431.91</v>
      </c>
      <c r="D816" s="220">
        <v>308.37</v>
      </c>
      <c r="E816" s="220">
        <v>306.06</v>
      </c>
      <c r="F816" s="220">
        <v>304.12</v>
      </c>
      <c r="G816" s="220">
        <v>303.5</v>
      </c>
      <c r="H816" s="220">
        <v>346.61</v>
      </c>
      <c r="I816" s="220">
        <v>346.83000000000004</v>
      </c>
      <c r="J816" s="207">
        <v>347.08035600000011</v>
      </c>
      <c r="K816" s="207">
        <v>408.73035600000014</v>
      </c>
      <c r="L816" s="207">
        <v>409.20815600000014</v>
      </c>
      <c r="M816" s="210">
        <v>410.39696779704036</v>
      </c>
      <c r="N816" s="226">
        <v>410.3</v>
      </c>
      <c r="O816" s="85"/>
      <c r="P816" s="85"/>
      <c r="Q816" s="89"/>
    </row>
    <row r="817" spans="1:17" x14ac:dyDescent="0.25">
      <c r="A817" s="87" t="s">
        <v>19</v>
      </c>
      <c r="B817" s="180"/>
      <c r="C817" s="220"/>
      <c r="D817" s="220"/>
      <c r="E817" s="220"/>
      <c r="F817" s="220"/>
      <c r="G817" s="220"/>
      <c r="H817" s="220"/>
      <c r="I817" s="220"/>
      <c r="J817" s="220"/>
      <c r="K817" s="220"/>
      <c r="L817" s="220"/>
      <c r="M817" s="226"/>
      <c r="N817" s="226"/>
      <c r="O817" s="85"/>
      <c r="P817" s="85"/>
      <c r="Q817" s="89"/>
    </row>
    <row r="818" spans="1:17" x14ac:dyDescent="0.25">
      <c r="A818" s="87" t="s">
        <v>20</v>
      </c>
      <c r="B818" s="180">
        <v>281.67</v>
      </c>
      <c r="C818" s="220">
        <v>425.18</v>
      </c>
      <c r="D818" s="220">
        <v>303.95</v>
      </c>
      <c r="E818" s="220">
        <v>303.58</v>
      </c>
      <c r="F818" s="220">
        <v>302.26</v>
      </c>
      <c r="G818" s="220">
        <v>302.63</v>
      </c>
      <c r="H818" s="220">
        <v>345.52</v>
      </c>
      <c r="I818" s="220">
        <v>345.48964399999994</v>
      </c>
      <c r="J818" s="220">
        <v>345.83</v>
      </c>
      <c r="K818" s="220">
        <v>407.00220000000002</v>
      </c>
      <c r="L818" s="220">
        <v>406.2911882029598</v>
      </c>
      <c r="M818" s="226">
        <v>407.58140000000009</v>
      </c>
      <c r="N818" s="226"/>
      <c r="O818" s="85"/>
      <c r="P818" s="85"/>
      <c r="Q818" s="89"/>
    </row>
    <row r="819" spans="1:17" x14ac:dyDescent="0.25">
      <c r="A819" s="87" t="s">
        <v>21</v>
      </c>
      <c r="B819" s="180">
        <v>120.89000000000004</v>
      </c>
      <c r="C819" s="220">
        <v>6.7300000000000182</v>
      </c>
      <c r="D819" s="220">
        <v>4.4200000000000159</v>
      </c>
      <c r="E819" s="220">
        <v>2.4800000000000182</v>
      </c>
      <c r="F819" s="220">
        <v>1.8600000000000136</v>
      </c>
      <c r="G819" s="220">
        <v>0.87000000000000455</v>
      </c>
      <c r="H819" s="220">
        <v>1.0900000000000318</v>
      </c>
      <c r="I819" s="220">
        <v>1.3403560000000994</v>
      </c>
      <c r="J819" s="220">
        <v>1.2503560000001244</v>
      </c>
      <c r="K819" s="220">
        <v>1.7281560000001264</v>
      </c>
      <c r="L819" s="220">
        <v>2.9169677970403427</v>
      </c>
      <c r="M819" s="226">
        <v>2.8155677970402735</v>
      </c>
      <c r="N819" s="226"/>
      <c r="O819" s="85"/>
      <c r="P819" s="85"/>
      <c r="Q819" s="89"/>
    </row>
    <row r="820" spans="1:17" x14ac:dyDescent="0.25">
      <c r="A820" s="87" t="s">
        <v>22</v>
      </c>
      <c r="B820" s="189"/>
      <c r="C820" s="189"/>
      <c r="D820" s="189"/>
      <c r="E820" s="189"/>
      <c r="F820" s="189"/>
      <c r="G820" s="189"/>
      <c r="H820" s="189"/>
      <c r="I820" s="189"/>
      <c r="J820" s="189"/>
      <c r="K820" s="189"/>
      <c r="L820" s="189"/>
      <c r="M820" s="211"/>
      <c r="N820" s="209"/>
      <c r="O820" s="85"/>
      <c r="P820" s="85"/>
      <c r="Q820" s="89"/>
    </row>
    <row r="821" spans="1:17" x14ac:dyDescent="0.25">
      <c r="A821" s="182" t="s">
        <v>196</v>
      </c>
      <c r="B821" s="183"/>
      <c r="C821" s="183"/>
      <c r="D821" s="183"/>
      <c r="E821" s="183"/>
      <c r="F821" s="183"/>
      <c r="G821" s="183"/>
      <c r="H821" s="183"/>
      <c r="I821" s="183"/>
      <c r="J821" s="183"/>
      <c r="K821" s="183"/>
      <c r="L821" s="183"/>
      <c r="M821" s="183"/>
      <c r="N821" s="184"/>
      <c r="O821" s="85"/>
      <c r="P821" s="85"/>
      <c r="Q821" s="89"/>
    </row>
    <row r="822" spans="1:17" x14ac:dyDescent="0.25">
      <c r="A822" s="185" t="s">
        <v>231</v>
      </c>
      <c r="B822" s="88"/>
      <c r="C822" s="88"/>
      <c r="D822" s="88"/>
      <c r="E822" s="88"/>
      <c r="F822" s="88"/>
      <c r="G822" s="88"/>
      <c r="H822" s="88"/>
      <c r="I822" s="88"/>
      <c r="J822" s="88"/>
      <c r="K822" s="88"/>
      <c r="L822" s="88"/>
      <c r="M822" s="88"/>
      <c r="N822" s="186"/>
      <c r="O822" s="85"/>
      <c r="P822" s="85"/>
      <c r="Q822" s="89"/>
    </row>
    <row r="823" spans="1:17" x14ac:dyDescent="0.25">
      <c r="A823" s="197" t="s">
        <v>254</v>
      </c>
      <c r="B823" s="88"/>
      <c r="C823" s="88"/>
      <c r="D823" s="88"/>
      <c r="E823" s="88"/>
      <c r="F823" s="88"/>
      <c r="G823" s="88"/>
      <c r="H823" s="88"/>
      <c r="I823" s="88"/>
      <c r="J823" s="88"/>
      <c r="K823" s="88"/>
      <c r="L823" s="88"/>
      <c r="M823" s="88"/>
      <c r="N823" s="186"/>
      <c r="O823" s="85"/>
      <c r="P823" s="85"/>
      <c r="Q823" s="89"/>
    </row>
    <row r="824" spans="1:17" x14ac:dyDescent="0.25">
      <c r="A824" s="197" t="s">
        <v>304</v>
      </c>
      <c r="B824" s="88"/>
      <c r="C824" s="88"/>
      <c r="D824" s="88"/>
      <c r="E824" s="88"/>
      <c r="F824" s="88"/>
      <c r="G824" s="88"/>
      <c r="H824" s="88"/>
      <c r="I824" s="88"/>
      <c r="J824" s="88"/>
      <c r="K824" s="88"/>
      <c r="L824" s="88"/>
      <c r="M824" s="88"/>
      <c r="N824" s="186"/>
      <c r="O824" s="85"/>
      <c r="P824" s="85"/>
      <c r="Q824" s="89"/>
    </row>
    <row r="825" spans="1:17" x14ac:dyDescent="0.25">
      <c r="A825" s="197" t="s">
        <v>305</v>
      </c>
      <c r="B825" s="88"/>
      <c r="C825" s="88"/>
      <c r="D825" s="88"/>
      <c r="E825" s="88"/>
      <c r="F825" s="88"/>
      <c r="G825" s="88"/>
      <c r="H825" s="88"/>
      <c r="I825" s="88"/>
      <c r="J825" s="88"/>
      <c r="K825" s="88"/>
      <c r="L825" s="88"/>
      <c r="M825" s="88"/>
      <c r="N825" s="186"/>
      <c r="O825" s="85"/>
      <c r="P825" s="85"/>
      <c r="Q825" s="89"/>
    </row>
    <row r="826" spans="1:17" x14ac:dyDescent="0.25">
      <c r="A826" s="197" t="s">
        <v>306</v>
      </c>
      <c r="B826" s="88"/>
      <c r="C826" s="88"/>
      <c r="D826" s="88"/>
      <c r="E826" s="88"/>
      <c r="F826" s="88"/>
      <c r="G826" s="88"/>
      <c r="H826" s="88"/>
      <c r="I826" s="88"/>
      <c r="J826" s="88"/>
      <c r="K826" s="88"/>
      <c r="L826" s="88"/>
      <c r="M826" s="88"/>
      <c r="N826" s="186"/>
      <c r="O826" s="85"/>
      <c r="P826" s="85"/>
      <c r="Q826" s="89"/>
    </row>
    <row r="827" spans="1:17" x14ac:dyDescent="0.25">
      <c r="A827" s="197" t="s">
        <v>536</v>
      </c>
      <c r="B827" s="88"/>
      <c r="C827" s="88"/>
      <c r="D827" s="88"/>
      <c r="E827" s="88"/>
      <c r="F827" s="88"/>
      <c r="G827" s="88"/>
      <c r="H827" s="88"/>
      <c r="I827" s="88"/>
      <c r="J827" s="88"/>
      <c r="K827" s="88"/>
      <c r="L827" s="88"/>
      <c r="M827" s="88"/>
      <c r="N827" s="186"/>
      <c r="O827" s="85"/>
      <c r="P827" s="85"/>
      <c r="Q827" s="89"/>
    </row>
    <row r="828" spans="1:17" x14ac:dyDescent="0.25">
      <c r="A828" s="206" t="s">
        <v>537</v>
      </c>
      <c r="B828" s="191"/>
      <c r="C828" s="191"/>
      <c r="D828" s="191"/>
      <c r="E828" s="191"/>
      <c r="F828" s="191"/>
      <c r="G828" s="191"/>
      <c r="H828" s="191"/>
      <c r="I828" s="191"/>
      <c r="J828" s="191"/>
      <c r="K828" s="191"/>
      <c r="L828" s="191"/>
      <c r="M828" s="191"/>
      <c r="N828" s="192"/>
      <c r="O828" s="85"/>
      <c r="P828" s="85"/>
      <c r="Q828" s="89"/>
    </row>
    <row r="829" spans="1:17" x14ac:dyDescent="0.25">
      <c r="A829" s="68"/>
      <c r="B829" s="70"/>
      <c r="C829" s="193"/>
      <c r="D829" s="70"/>
      <c r="E829" s="70"/>
      <c r="F829" s="70"/>
      <c r="G829" s="70"/>
      <c r="H829" s="70"/>
      <c r="I829" s="164"/>
      <c r="J829" s="164"/>
      <c r="K829" s="164"/>
      <c r="L829" s="164"/>
      <c r="M829" s="164"/>
      <c r="N829" s="164"/>
      <c r="O829" s="164"/>
      <c r="P829" s="164"/>
      <c r="Q829" s="2"/>
    </row>
    <row r="830" spans="1:17" x14ac:dyDescent="0.25">
      <c r="A830" s="218" t="s">
        <v>14</v>
      </c>
      <c r="B830" s="219" t="s">
        <v>76</v>
      </c>
      <c r="C830" s="86" t="s">
        <v>15</v>
      </c>
      <c r="D830" s="85"/>
      <c r="E830" s="85"/>
      <c r="F830" s="85"/>
      <c r="G830" s="85"/>
      <c r="H830" s="85"/>
      <c r="I830" s="85"/>
      <c r="J830" s="85"/>
      <c r="K830" s="85"/>
      <c r="L830" s="85"/>
      <c r="M830" s="85"/>
      <c r="N830" s="85"/>
      <c r="O830" s="85"/>
      <c r="P830" s="85"/>
      <c r="Q830" s="2"/>
    </row>
    <row r="831" spans="1:17" s="2" customFormat="1" x14ac:dyDescent="0.25">
      <c r="A831" s="87" t="s">
        <v>16</v>
      </c>
      <c r="B831" s="368">
        <v>2009</v>
      </c>
      <c r="C831" s="368">
        <v>2010</v>
      </c>
      <c r="D831" s="368">
        <v>2011</v>
      </c>
      <c r="E831" s="368">
        <v>2012</v>
      </c>
      <c r="F831" s="368">
        <v>2013</v>
      </c>
      <c r="G831" s="368">
        <v>2014</v>
      </c>
      <c r="H831" s="368">
        <v>2015</v>
      </c>
      <c r="I831" s="368">
        <v>2016</v>
      </c>
      <c r="J831" s="368">
        <v>2017</v>
      </c>
      <c r="K831" s="368">
        <v>2018</v>
      </c>
      <c r="L831" s="368">
        <v>2019</v>
      </c>
      <c r="M831" s="366">
        <v>2020</v>
      </c>
      <c r="N831" s="366">
        <v>2021</v>
      </c>
      <c r="O831" s="85"/>
      <c r="P831" s="85"/>
      <c r="Q831" s="89"/>
    </row>
    <row r="832" spans="1:17" s="2" customFormat="1" x14ac:dyDescent="0.25">
      <c r="A832" s="87" t="s">
        <v>17</v>
      </c>
      <c r="B832" s="220">
        <v>25000</v>
      </c>
      <c r="C832" s="220">
        <v>25000</v>
      </c>
      <c r="D832" s="220">
        <v>23611</v>
      </c>
      <c r="E832" s="220">
        <v>23611</v>
      </c>
      <c r="F832" s="220">
        <v>23611</v>
      </c>
      <c r="G832" s="220">
        <v>23611</v>
      </c>
      <c r="H832" s="220">
        <v>23611</v>
      </c>
      <c r="I832" s="220">
        <v>17696</v>
      </c>
      <c r="J832" s="207">
        <v>17696</v>
      </c>
      <c r="K832" s="207">
        <v>17696</v>
      </c>
      <c r="L832" s="207">
        <v>17696</v>
      </c>
      <c r="M832" s="367">
        <v>13979.84</v>
      </c>
      <c r="N832" s="367">
        <v>13979.84</v>
      </c>
      <c r="O832" s="85"/>
      <c r="P832" s="85"/>
      <c r="Q832" s="89"/>
    </row>
    <row r="833" spans="1:17" s="2" customFormat="1" x14ac:dyDescent="0.25">
      <c r="A833" s="87" t="s">
        <v>18</v>
      </c>
      <c r="B833" s="220">
        <v>30500</v>
      </c>
      <c r="C833" s="220">
        <v>29700</v>
      </c>
      <c r="D833" s="220">
        <v>26894.3</v>
      </c>
      <c r="E833" s="220">
        <v>27624.3</v>
      </c>
      <c r="F833" s="220">
        <v>27624.3</v>
      </c>
      <c r="G833" s="220">
        <v>27624.3</v>
      </c>
      <c r="H833" s="220">
        <v>27624.3</v>
      </c>
      <c r="I833" s="220">
        <v>20167.650000000001</v>
      </c>
      <c r="J833" s="207">
        <v>19280.400000000001</v>
      </c>
      <c r="K833" s="207">
        <v>15415.88</v>
      </c>
      <c r="L833" s="207">
        <v>19280.400000000001</v>
      </c>
      <c r="M833" s="367">
        <v>13079.84</v>
      </c>
      <c r="N833" s="367">
        <f>L832*0.79+0.1*L832-600-300</f>
        <v>14849.44</v>
      </c>
      <c r="O833" s="85"/>
      <c r="P833" s="85"/>
      <c r="Q833" s="89"/>
    </row>
    <row r="834" spans="1:17" s="2" customFormat="1" x14ac:dyDescent="0.25">
      <c r="A834" s="87" t="s">
        <v>19</v>
      </c>
      <c r="B834" s="220"/>
      <c r="C834" s="220"/>
      <c r="D834" s="220"/>
      <c r="E834" s="220"/>
      <c r="F834" s="220"/>
      <c r="G834" s="220"/>
      <c r="H834" s="220"/>
      <c r="I834" s="220"/>
      <c r="J834" s="220"/>
      <c r="K834" s="220"/>
      <c r="L834" s="220"/>
      <c r="M834" s="376"/>
      <c r="N834" s="376"/>
      <c r="O834" s="85"/>
      <c r="P834" s="85"/>
      <c r="Q834" s="89"/>
    </row>
    <row r="835" spans="1:17" s="2" customFormat="1" x14ac:dyDescent="0.25">
      <c r="A835" s="87" t="s">
        <v>20</v>
      </c>
      <c r="B835" s="220">
        <v>13127.78969</v>
      </c>
      <c r="C835" s="220">
        <v>12919.833529999998</v>
      </c>
      <c r="D835" s="220">
        <v>11930</v>
      </c>
      <c r="E835" s="220">
        <v>15971.9</v>
      </c>
      <c r="F835" s="220">
        <v>14342</v>
      </c>
      <c r="G835" s="220">
        <v>12595.2</v>
      </c>
      <c r="H835" s="220">
        <v>10179.799999999999</v>
      </c>
      <c r="I835" s="220">
        <v>11238</v>
      </c>
      <c r="J835" s="220">
        <v>9872.2000000000007</v>
      </c>
      <c r="K835" s="220">
        <v>9849.5910000000003</v>
      </c>
      <c r="L835" s="220">
        <v>9933.1844890000011</v>
      </c>
      <c r="M835" s="755">
        <v>9294.3000000000011</v>
      </c>
      <c r="N835" s="376"/>
      <c r="O835" s="85"/>
      <c r="P835" s="85"/>
      <c r="Q835" s="89"/>
    </row>
    <row r="836" spans="1:17" s="2" customFormat="1" x14ac:dyDescent="0.25">
      <c r="A836" s="87" t="s">
        <v>21</v>
      </c>
      <c r="B836" s="220">
        <v>17372.210310000002</v>
      </c>
      <c r="C836" s="220">
        <v>16780.166470000004</v>
      </c>
      <c r="D836" s="220">
        <v>14964.3</v>
      </c>
      <c r="E836" s="220">
        <v>11652.4</v>
      </c>
      <c r="F836" s="220">
        <v>13282.3</v>
      </c>
      <c r="G836" s="220">
        <v>15029.099999999999</v>
      </c>
      <c r="H836" s="220">
        <v>17444.5</v>
      </c>
      <c r="I836" s="220">
        <v>8929.6500000000015</v>
      </c>
      <c r="J836" s="220">
        <v>9408.2000000000007</v>
      </c>
      <c r="K836" s="220">
        <v>5566.2889999999989</v>
      </c>
      <c r="L836" s="220">
        <v>9347.2155110000003</v>
      </c>
      <c r="M836" s="755">
        <f>M833-M835</f>
        <v>3785.5399999999991</v>
      </c>
      <c r="N836" s="376"/>
      <c r="O836" s="85"/>
      <c r="P836" s="85"/>
      <c r="Q836" s="89"/>
    </row>
    <row r="837" spans="1:17" s="2" customFormat="1" x14ac:dyDescent="0.25">
      <c r="A837" s="87" t="s">
        <v>22</v>
      </c>
      <c r="B837" s="189"/>
      <c r="C837" s="189"/>
      <c r="D837" s="189"/>
      <c r="E837" s="189"/>
      <c r="F837" s="189"/>
      <c r="G837" s="189"/>
      <c r="H837" s="189"/>
      <c r="I837" s="189"/>
      <c r="J837" s="189"/>
      <c r="K837" s="189"/>
      <c r="L837" s="189"/>
      <c r="M837" s="189"/>
      <c r="N837" s="180"/>
      <c r="O837" s="85"/>
      <c r="P837" s="85"/>
      <c r="Q837" s="89"/>
    </row>
    <row r="838" spans="1:17" s="2" customFormat="1" x14ac:dyDescent="0.25">
      <c r="A838" s="182" t="s">
        <v>196</v>
      </c>
      <c r="B838" s="183"/>
      <c r="C838" s="183"/>
      <c r="D838" s="183"/>
      <c r="E838" s="183"/>
      <c r="F838" s="183"/>
      <c r="G838" s="183"/>
      <c r="H838" s="183"/>
      <c r="I838" s="183"/>
      <c r="J838" s="183"/>
      <c r="K838" s="183"/>
      <c r="L838" s="183"/>
      <c r="M838" s="183"/>
      <c r="N838" s="184"/>
      <c r="O838" s="85"/>
      <c r="P838" s="85"/>
      <c r="Q838" s="89"/>
    </row>
    <row r="839" spans="1:17" s="2" customFormat="1" x14ac:dyDescent="0.25">
      <c r="A839" s="185" t="s">
        <v>213</v>
      </c>
      <c r="B839" s="85"/>
      <c r="C839" s="85"/>
      <c r="D839" s="85"/>
      <c r="E839" s="85"/>
      <c r="F839" s="85"/>
      <c r="G839" s="85"/>
      <c r="H839" s="85"/>
      <c r="I839" s="85"/>
      <c r="J839" s="85"/>
      <c r="K839" s="85"/>
      <c r="L839" s="85"/>
      <c r="M839" s="85"/>
      <c r="N839" s="186"/>
      <c r="O839" s="85"/>
      <c r="P839" s="85"/>
      <c r="Q839" s="89"/>
    </row>
    <row r="840" spans="1:17" s="2" customFormat="1" x14ac:dyDescent="0.25">
      <c r="A840" s="185" t="s">
        <v>214</v>
      </c>
      <c r="B840" s="85"/>
      <c r="C840" s="85"/>
      <c r="D840" s="85"/>
      <c r="E840" s="85"/>
      <c r="F840" s="85"/>
      <c r="G840" s="85"/>
      <c r="H840" s="85"/>
      <c r="I840" s="85"/>
      <c r="J840" s="85"/>
      <c r="K840" s="85"/>
      <c r="L840" s="85"/>
      <c r="M840" s="85"/>
      <c r="N840" s="186"/>
      <c r="O840" s="85"/>
      <c r="P840" s="85"/>
      <c r="Q840" s="89"/>
    </row>
    <row r="841" spans="1:17" s="2" customFormat="1" x14ac:dyDescent="0.25">
      <c r="A841" s="185" t="s">
        <v>257</v>
      </c>
      <c r="B841" s="85"/>
      <c r="C841" s="85"/>
      <c r="D841" s="85"/>
      <c r="E841" s="85"/>
      <c r="F841" s="85"/>
      <c r="G841" s="85"/>
      <c r="H841" s="85"/>
      <c r="I841" s="85"/>
      <c r="J841" s="85"/>
      <c r="K841" s="85"/>
      <c r="L841" s="85"/>
      <c r="M841" s="85"/>
      <c r="N841" s="186"/>
      <c r="O841" s="85"/>
      <c r="P841" s="85"/>
      <c r="Q841" s="89"/>
    </row>
    <row r="842" spans="1:17" s="2" customFormat="1" x14ac:dyDescent="0.25">
      <c r="A842" s="185" t="s">
        <v>258</v>
      </c>
      <c r="B842" s="213"/>
      <c r="C842" s="214"/>
      <c r="D842" s="215"/>
      <c r="E842" s="85"/>
      <c r="F842" s="85"/>
      <c r="G842" s="214"/>
      <c r="H842" s="85"/>
      <c r="I842" s="85"/>
      <c r="J842" s="85"/>
      <c r="K842" s="85"/>
      <c r="L842" s="85"/>
      <c r="M842" s="85"/>
      <c r="N842" s="186"/>
      <c r="O842" s="85"/>
      <c r="P842" s="85"/>
      <c r="Q842" s="89"/>
    </row>
    <row r="843" spans="1:17" s="2" customFormat="1" x14ac:dyDescent="0.25">
      <c r="A843" s="185" t="s">
        <v>259</v>
      </c>
      <c r="B843" s="85"/>
      <c r="C843" s="85"/>
      <c r="D843" s="85"/>
      <c r="E843" s="85"/>
      <c r="F843" s="85"/>
      <c r="G843" s="216"/>
      <c r="H843" s="85"/>
      <c r="I843" s="85"/>
      <c r="J843" s="85"/>
      <c r="K843" s="85"/>
      <c r="L843" s="85"/>
      <c r="M843" s="85"/>
      <c r="N843" s="186"/>
      <c r="O843" s="85"/>
      <c r="P843" s="85"/>
      <c r="Q843" s="89"/>
    </row>
    <row r="844" spans="1:17" s="2" customFormat="1" x14ac:dyDescent="0.25">
      <c r="A844" s="185" t="s">
        <v>308</v>
      </c>
      <c r="B844" s="85"/>
      <c r="C844" s="85"/>
      <c r="D844" s="85"/>
      <c r="E844" s="85"/>
      <c r="F844" s="85"/>
      <c r="G844" s="85"/>
      <c r="H844" s="85"/>
      <c r="I844" s="85"/>
      <c r="J844" s="85"/>
      <c r="K844" s="85"/>
      <c r="L844" s="85"/>
      <c r="M844" s="85"/>
      <c r="N844" s="186"/>
      <c r="O844" s="85"/>
      <c r="P844" s="85"/>
      <c r="Q844" s="89"/>
    </row>
    <row r="845" spans="1:17" s="95" customFormat="1" x14ac:dyDescent="0.25">
      <c r="A845" s="185" t="s">
        <v>260</v>
      </c>
      <c r="B845" s="85"/>
      <c r="C845" s="85"/>
      <c r="D845" s="85"/>
      <c r="E845" s="85"/>
      <c r="F845" s="85"/>
      <c r="G845" s="216"/>
      <c r="H845" s="85"/>
      <c r="I845" s="85"/>
      <c r="J845" s="85"/>
      <c r="K845" s="85"/>
      <c r="L845" s="85"/>
      <c r="M845" s="85"/>
      <c r="N845" s="186"/>
      <c r="O845" s="85"/>
      <c r="P845" s="85"/>
      <c r="Q845" s="89"/>
    </row>
    <row r="846" spans="1:17" s="95" customFormat="1" x14ac:dyDescent="0.25">
      <c r="A846" s="185" t="s">
        <v>255</v>
      </c>
      <c r="B846" s="85"/>
      <c r="C846" s="85"/>
      <c r="D846" s="85"/>
      <c r="E846" s="85"/>
      <c r="F846" s="85"/>
      <c r="G846" s="216"/>
      <c r="H846" s="85"/>
      <c r="I846" s="85"/>
      <c r="J846" s="85"/>
      <c r="K846" s="85"/>
      <c r="L846" s="85"/>
      <c r="M846" s="85"/>
      <c r="N846" s="186"/>
      <c r="O846" s="85"/>
      <c r="P846" s="85"/>
      <c r="Q846" s="89"/>
    </row>
    <row r="847" spans="1:17" x14ac:dyDescent="0.25">
      <c r="A847" s="197" t="s">
        <v>256</v>
      </c>
      <c r="B847" s="85"/>
      <c r="C847" s="85"/>
      <c r="D847" s="85"/>
      <c r="E847" s="85"/>
      <c r="F847" s="85"/>
      <c r="G847" s="85"/>
      <c r="H847" s="85"/>
      <c r="I847" s="85"/>
      <c r="J847" s="85"/>
      <c r="K847" s="85"/>
      <c r="L847" s="85"/>
      <c r="M847" s="85"/>
      <c r="N847" s="186"/>
      <c r="O847" s="85"/>
      <c r="P847" s="85"/>
      <c r="Q847" s="89"/>
    </row>
    <row r="848" spans="1:17" x14ac:dyDescent="0.25">
      <c r="A848" s="197" t="s">
        <v>232</v>
      </c>
      <c r="B848" s="85"/>
      <c r="C848" s="85"/>
      <c r="D848" s="85"/>
      <c r="E848" s="85"/>
      <c r="F848" s="85"/>
      <c r="G848" s="85"/>
      <c r="H848" s="85"/>
      <c r="I848" s="85"/>
      <c r="J848" s="85"/>
      <c r="K848" s="85"/>
      <c r="L848" s="85"/>
      <c r="M848" s="85"/>
      <c r="N848" s="186"/>
      <c r="O848" s="85"/>
      <c r="P848" s="85"/>
      <c r="Q848" s="89"/>
    </row>
    <row r="849" spans="1:17" x14ac:dyDescent="0.25">
      <c r="A849" s="197" t="s">
        <v>307</v>
      </c>
      <c r="B849" s="85"/>
      <c r="C849" s="85"/>
      <c r="D849" s="85"/>
      <c r="E849" s="85"/>
      <c r="F849" s="85"/>
      <c r="G849" s="85"/>
      <c r="H849" s="85"/>
      <c r="I849" s="85"/>
      <c r="J849" s="85"/>
      <c r="K849" s="85"/>
      <c r="L849" s="85"/>
      <c r="M849" s="85"/>
      <c r="N849" s="186"/>
      <c r="O849" s="85"/>
      <c r="P849" s="85"/>
      <c r="Q849" s="89"/>
    </row>
    <row r="850" spans="1:17" ht="13.2" customHeight="1" x14ac:dyDescent="0.25">
      <c r="A850" s="197" t="s">
        <v>423</v>
      </c>
      <c r="B850" s="85"/>
      <c r="C850" s="85"/>
      <c r="D850" s="85"/>
      <c r="E850" s="85"/>
      <c r="F850" s="85"/>
      <c r="G850" s="85"/>
      <c r="H850" s="85"/>
      <c r="I850" s="85"/>
      <c r="J850" s="85"/>
      <c r="K850" s="85"/>
      <c r="L850" s="85"/>
      <c r="M850" s="85"/>
      <c r="N850" s="186"/>
      <c r="O850" s="85"/>
      <c r="P850" s="85"/>
      <c r="Q850" s="89"/>
    </row>
    <row r="851" spans="1:17" ht="13.2" customHeight="1" x14ac:dyDescent="0.25">
      <c r="A851" s="757" t="s">
        <v>670</v>
      </c>
      <c r="B851" s="85"/>
      <c r="C851" s="85"/>
      <c r="D851" s="85"/>
      <c r="E851" s="85"/>
      <c r="F851" s="85"/>
      <c r="G851" s="85"/>
      <c r="H851" s="85"/>
      <c r="I851" s="85"/>
      <c r="J851" s="85"/>
      <c r="K851" s="85"/>
      <c r="L851" s="85"/>
      <c r="M851" s="85"/>
      <c r="N851" s="186"/>
      <c r="O851" s="85"/>
      <c r="P851" s="85"/>
      <c r="Q851" s="89"/>
    </row>
    <row r="852" spans="1:17" s="95" customFormat="1" ht="13.2" customHeight="1" x14ac:dyDescent="0.25">
      <c r="A852" s="492" t="s">
        <v>538</v>
      </c>
      <c r="B852" s="493"/>
      <c r="C852" s="493"/>
      <c r="D852" s="493"/>
      <c r="E852" s="493"/>
      <c r="F852" s="493"/>
      <c r="G852" s="493"/>
      <c r="H852" s="493"/>
      <c r="I852" s="493"/>
      <c r="J852" s="493"/>
      <c r="K852" s="493"/>
      <c r="L852" s="493"/>
      <c r="M852" s="493"/>
      <c r="N852" s="494"/>
      <c r="O852" s="85"/>
      <c r="P852" s="85"/>
      <c r="Q852" s="89"/>
    </row>
    <row r="853" spans="1:17" x14ac:dyDescent="0.25">
      <c r="A853" s="68"/>
      <c r="B853" s="70"/>
      <c r="C853" s="193"/>
      <c r="D853" s="70"/>
      <c r="E853" s="70"/>
      <c r="F853" s="70"/>
      <c r="G853" s="70"/>
      <c r="H853" s="70"/>
      <c r="I853" s="164"/>
      <c r="J853" s="164"/>
      <c r="K853" s="164"/>
      <c r="L853" s="164"/>
      <c r="M853" s="164"/>
      <c r="N853" s="164"/>
      <c r="O853" s="164"/>
      <c r="P853" s="164"/>
      <c r="Q853" s="2"/>
    </row>
    <row r="854" spans="1:17" x14ac:dyDescent="0.25">
      <c r="A854" s="632" t="s">
        <v>14</v>
      </c>
      <c r="B854" s="219" t="s">
        <v>85</v>
      </c>
      <c r="C854" s="86" t="s">
        <v>15</v>
      </c>
      <c r="D854" s="85"/>
      <c r="E854" s="85"/>
      <c r="F854" s="85"/>
      <c r="G854" s="85"/>
      <c r="H854" s="85"/>
      <c r="I854" s="85"/>
      <c r="J854" s="85"/>
      <c r="K854" s="85"/>
      <c r="L854" s="85"/>
      <c r="M854" s="85"/>
      <c r="N854" s="85"/>
      <c r="O854" s="164"/>
      <c r="P854" s="164"/>
      <c r="Q854" s="2"/>
    </row>
    <row r="855" spans="1:17" x14ac:dyDescent="0.25">
      <c r="A855" s="189" t="s">
        <v>16</v>
      </c>
      <c r="B855" s="491">
        <v>2008</v>
      </c>
      <c r="C855" s="490">
        <v>2009</v>
      </c>
      <c r="D855" s="490">
        <v>2010</v>
      </c>
      <c r="E855" s="490">
        <v>2011</v>
      </c>
      <c r="F855" s="491">
        <v>2012</v>
      </c>
      <c r="G855" s="491">
        <v>2013</v>
      </c>
      <c r="H855" s="491">
        <v>2014</v>
      </c>
      <c r="I855" s="491">
        <v>2015</v>
      </c>
      <c r="J855" s="491">
        <v>2016</v>
      </c>
      <c r="K855" s="491">
        <v>2017</v>
      </c>
      <c r="L855" s="491">
        <v>2018</v>
      </c>
      <c r="M855" s="491">
        <v>2019</v>
      </c>
      <c r="N855" s="491">
        <v>2020</v>
      </c>
      <c r="O855" s="491">
        <v>2021</v>
      </c>
      <c r="P855" s="60">
        <v>2022</v>
      </c>
      <c r="Q855" s="2"/>
    </row>
    <row r="856" spans="1:17" x14ac:dyDescent="0.25">
      <c r="A856" s="190" t="s">
        <v>17</v>
      </c>
      <c r="B856" s="220">
        <v>839.5</v>
      </c>
      <c r="C856" s="220">
        <v>839.5</v>
      </c>
      <c r="D856" s="220">
        <v>839.5</v>
      </c>
      <c r="E856" s="220">
        <v>839.5</v>
      </c>
      <c r="F856" s="226">
        <v>503.7</v>
      </c>
      <c r="G856" s="226">
        <v>390</v>
      </c>
      <c r="H856" s="226">
        <v>390</v>
      </c>
      <c r="I856" s="226">
        <v>390</v>
      </c>
      <c r="J856" s="226">
        <v>390</v>
      </c>
      <c r="K856" s="226">
        <v>390</v>
      </c>
      <c r="L856" s="226">
        <v>390</v>
      </c>
      <c r="M856" s="226">
        <v>390</v>
      </c>
      <c r="N856" s="473">
        <v>328.1</v>
      </c>
      <c r="O856" s="226">
        <v>328.1</v>
      </c>
      <c r="P856" s="65">
        <v>328.1</v>
      </c>
      <c r="Q856" s="2"/>
    </row>
    <row r="857" spans="1:17" x14ac:dyDescent="0.25">
      <c r="A857" s="87" t="s">
        <v>18</v>
      </c>
      <c r="B857" s="220">
        <v>839.5</v>
      </c>
      <c r="C857" s="220">
        <v>839.5</v>
      </c>
      <c r="D857" s="220">
        <v>839.5</v>
      </c>
      <c r="E857" s="220">
        <v>839.5</v>
      </c>
      <c r="F857" s="220">
        <v>503.7</v>
      </c>
      <c r="G857" s="226">
        <v>390</v>
      </c>
      <c r="H857" s="226">
        <v>390</v>
      </c>
      <c r="I857" s="226">
        <v>429</v>
      </c>
      <c r="J857" s="226">
        <v>429</v>
      </c>
      <c r="K857" s="226">
        <v>429</v>
      </c>
      <c r="L857" s="226">
        <v>406.6</v>
      </c>
      <c r="M857" s="226">
        <v>429</v>
      </c>
      <c r="N857" s="473">
        <v>367.1</v>
      </c>
      <c r="O857" s="226">
        <v>367.1</v>
      </c>
      <c r="P857" s="65"/>
      <c r="Q857" s="2"/>
    </row>
    <row r="858" spans="1:17" x14ac:dyDescent="0.25">
      <c r="A858" s="87" t="s">
        <v>19</v>
      </c>
      <c r="B858" s="220"/>
      <c r="C858" s="227"/>
      <c r="D858" s="220"/>
      <c r="E858" s="226"/>
      <c r="F858" s="226"/>
      <c r="G858" s="226"/>
      <c r="H858" s="226"/>
      <c r="I858" s="226"/>
      <c r="J858" s="226"/>
      <c r="K858" s="226"/>
      <c r="L858" s="226"/>
      <c r="M858" s="226"/>
      <c r="N858" s="473"/>
      <c r="O858" s="226"/>
      <c r="P858" s="65"/>
      <c r="Q858" s="2"/>
    </row>
    <row r="859" spans="1:17" x14ac:dyDescent="0.25">
      <c r="A859" s="87" t="s">
        <v>20</v>
      </c>
      <c r="B859" s="220">
        <v>704.14</v>
      </c>
      <c r="C859" s="220">
        <v>553.45920000000001</v>
      </c>
      <c r="D859" s="220">
        <v>425.98559999999998</v>
      </c>
      <c r="E859" s="220">
        <v>478</v>
      </c>
      <c r="F859" s="226">
        <v>305.5</v>
      </c>
      <c r="G859" s="226">
        <v>231.5</v>
      </c>
      <c r="H859" s="226">
        <v>288.8</v>
      </c>
      <c r="I859" s="226">
        <v>261.5</v>
      </c>
      <c r="J859" s="226">
        <v>412.4</v>
      </c>
      <c r="K859" s="226">
        <v>308.10000000000002</v>
      </c>
      <c r="L859" s="226">
        <v>352.2</v>
      </c>
      <c r="M859" s="226">
        <v>336.88949500000001</v>
      </c>
      <c r="N859" s="758">
        <v>285.10000000000002</v>
      </c>
      <c r="O859" s="226"/>
      <c r="P859" s="65"/>
      <c r="Q859" s="2"/>
    </row>
    <row r="860" spans="1:17" x14ac:dyDescent="0.25">
      <c r="A860" s="87" t="s">
        <v>21</v>
      </c>
      <c r="B860" s="220">
        <v>135.36000000000001</v>
      </c>
      <c r="C860" s="220">
        <v>286.04079999999999</v>
      </c>
      <c r="D860" s="220">
        <v>413.51440000000002</v>
      </c>
      <c r="E860" s="220">
        <v>361.5</v>
      </c>
      <c r="F860" s="220">
        <v>198.2</v>
      </c>
      <c r="G860" s="226">
        <v>158.5</v>
      </c>
      <c r="H860" s="226">
        <v>101.19999999999999</v>
      </c>
      <c r="I860" s="226">
        <v>167.5</v>
      </c>
      <c r="J860" s="226">
        <v>16.600000000000023</v>
      </c>
      <c r="K860" s="226">
        <v>120.89999999999998</v>
      </c>
      <c r="L860" s="226">
        <v>54.400000000000034</v>
      </c>
      <c r="M860" s="226">
        <v>92.110504999999989</v>
      </c>
      <c r="N860" s="758">
        <f>N857-N859</f>
        <v>82</v>
      </c>
      <c r="O860" s="226"/>
      <c r="P860" s="65"/>
      <c r="Q860" s="2"/>
    </row>
    <row r="861" spans="1:17" x14ac:dyDescent="0.25">
      <c r="A861" s="182" t="s">
        <v>22</v>
      </c>
      <c r="B861" s="221"/>
      <c r="C861" s="183"/>
      <c r="D861" s="221"/>
      <c r="E861" s="184"/>
      <c r="F861" s="184"/>
      <c r="G861" s="184"/>
      <c r="H861" s="184"/>
      <c r="I861" s="184"/>
      <c r="J861" s="184"/>
      <c r="K861" s="184"/>
      <c r="L861" s="184"/>
      <c r="M861" s="223"/>
      <c r="N861" s="223"/>
      <c r="O861" s="223"/>
      <c r="P861" s="273"/>
      <c r="Q861" s="2"/>
    </row>
    <row r="862" spans="1:17" x14ac:dyDescent="0.25">
      <c r="A862" s="182" t="s">
        <v>196</v>
      </c>
      <c r="B862" s="183"/>
      <c r="C862" s="183"/>
      <c r="D862" s="183"/>
      <c r="E862" s="183"/>
      <c r="F862" s="183"/>
      <c r="G862" s="183"/>
      <c r="H862" s="183"/>
      <c r="I862" s="183"/>
      <c r="J862" s="183"/>
      <c r="K862" s="183"/>
      <c r="L862" s="183"/>
      <c r="M862" s="183"/>
      <c r="N862" s="183"/>
      <c r="O862" s="183"/>
      <c r="P862" s="274"/>
      <c r="Q862" s="2"/>
    </row>
    <row r="863" spans="1:17" x14ac:dyDescent="0.25">
      <c r="A863" s="185" t="s">
        <v>215</v>
      </c>
      <c r="B863" s="88"/>
      <c r="C863" s="88"/>
      <c r="D863" s="88"/>
      <c r="E863" s="88"/>
      <c r="F863" s="88"/>
      <c r="G863" s="88"/>
      <c r="H863" s="88"/>
      <c r="I863" s="88"/>
      <c r="J863" s="88"/>
      <c r="K863" s="88"/>
      <c r="L863" s="88"/>
      <c r="M863" s="88"/>
      <c r="N863" s="88"/>
      <c r="O863" s="88"/>
      <c r="P863" s="279"/>
      <c r="Q863" s="2"/>
    </row>
    <row r="864" spans="1:17" x14ac:dyDescent="0.25">
      <c r="A864" s="185" t="s">
        <v>216</v>
      </c>
      <c r="B864" s="88"/>
      <c r="C864" s="88"/>
      <c r="D864" s="88"/>
      <c r="E864" s="88"/>
      <c r="F864" s="88"/>
      <c r="G864" s="88"/>
      <c r="H864" s="88"/>
      <c r="I864" s="88"/>
      <c r="J864" s="88"/>
      <c r="K864" s="88"/>
      <c r="L864" s="88"/>
      <c r="M864" s="88"/>
      <c r="N864" s="88"/>
      <c r="O864" s="88"/>
      <c r="P864" s="279"/>
      <c r="Q864" s="2"/>
    </row>
    <row r="865" spans="1:17" x14ac:dyDescent="0.25">
      <c r="A865" s="185" t="s">
        <v>261</v>
      </c>
      <c r="B865" s="88"/>
      <c r="C865" s="88"/>
      <c r="D865" s="88"/>
      <c r="E865" s="88"/>
      <c r="F865" s="88"/>
      <c r="G865" s="88"/>
      <c r="H865" s="88"/>
      <c r="I865" s="88"/>
      <c r="J865" s="88"/>
      <c r="K865" s="88"/>
      <c r="L865" s="88"/>
      <c r="M865" s="88"/>
      <c r="N865" s="88"/>
      <c r="O865" s="88"/>
      <c r="P865" s="279"/>
      <c r="Q865" s="2"/>
    </row>
    <row r="866" spans="1:17" x14ac:dyDescent="0.25">
      <c r="A866" s="185" t="s">
        <v>262</v>
      </c>
      <c r="B866" s="88"/>
      <c r="C866" s="88"/>
      <c r="D866" s="88"/>
      <c r="E866" s="88"/>
      <c r="F866" s="88"/>
      <c r="G866" s="88"/>
      <c r="H866" s="195"/>
      <c r="I866" s="88"/>
      <c r="J866" s="88"/>
      <c r="K866" s="88"/>
      <c r="L866" s="88"/>
      <c r="M866" s="88"/>
      <c r="N866" s="88"/>
      <c r="O866" s="88"/>
      <c r="P866" s="279"/>
      <c r="Q866" s="2"/>
    </row>
    <row r="867" spans="1:17" x14ac:dyDescent="0.25">
      <c r="A867" s="185" t="s">
        <v>309</v>
      </c>
      <c r="B867" s="88"/>
      <c r="C867" s="88"/>
      <c r="D867" s="88"/>
      <c r="E867" s="88"/>
      <c r="F867" s="88"/>
      <c r="G867" s="88"/>
      <c r="H867" s="195"/>
      <c r="I867" s="88"/>
      <c r="J867" s="88"/>
      <c r="K867" s="88"/>
      <c r="L867" s="88"/>
      <c r="M867" s="88"/>
      <c r="N867" s="88"/>
      <c r="O867" s="88"/>
      <c r="P867" s="279"/>
      <c r="Q867" s="2"/>
    </row>
    <row r="868" spans="1:17" x14ac:dyDescent="0.25">
      <c r="A868" s="185" t="s">
        <v>310</v>
      </c>
      <c r="B868" s="88"/>
      <c r="C868" s="88"/>
      <c r="D868" s="88"/>
      <c r="E868" s="88"/>
      <c r="F868" s="88"/>
      <c r="G868" s="88"/>
      <c r="H868" s="195"/>
      <c r="I868" s="88"/>
      <c r="J868" s="88"/>
      <c r="K868" s="88"/>
      <c r="L868" s="88"/>
      <c r="M868" s="88"/>
      <c r="N868" s="88"/>
      <c r="O868" s="88"/>
      <c r="P868" s="279"/>
      <c r="Q868" s="2"/>
    </row>
    <row r="869" spans="1:17" x14ac:dyDescent="0.25">
      <c r="A869" s="185" t="s">
        <v>311</v>
      </c>
      <c r="B869" s="88"/>
      <c r="C869" s="88"/>
      <c r="D869" s="88"/>
      <c r="E869" s="88"/>
      <c r="F869" s="88"/>
      <c r="G869" s="88"/>
      <c r="H869" s="195"/>
      <c r="I869" s="88"/>
      <c r="J869" s="88"/>
      <c r="K869" s="88"/>
      <c r="L869" s="88"/>
      <c r="M869" s="88"/>
      <c r="N869" s="88"/>
      <c r="O869" s="88"/>
      <c r="P869" s="279"/>
      <c r="Q869" s="2"/>
    </row>
    <row r="870" spans="1:17" x14ac:dyDescent="0.25">
      <c r="A870" s="190" t="s">
        <v>539</v>
      </c>
      <c r="B870" s="191"/>
      <c r="C870" s="191"/>
      <c r="D870" s="191"/>
      <c r="E870" s="191"/>
      <c r="F870" s="191"/>
      <c r="G870" s="191"/>
      <c r="H870" s="217"/>
      <c r="I870" s="191"/>
      <c r="J870" s="191"/>
      <c r="K870" s="191"/>
      <c r="L870" s="191"/>
      <c r="M870" s="191"/>
      <c r="N870" s="191"/>
      <c r="O870" s="191"/>
      <c r="P870" s="277"/>
      <c r="Q870" s="2"/>
    </row>
    <row r="871" spans="1:17" x14ac:dyDescent="0.25">
      <c r="A871" s="68"/>
      <c r="B871" s="70"/>
      <c r="C871" s="193"/>
      <c r="D871" s="70"/>
      <c r="E871" s="70"/>
      <c r="F871" s="70"/>
      <c r="G871" s="70"/>
      <c r="H871" s="70"/>
      <c r="I871" s="164"/>
      <c r="J871" s="164"/>
      <c r="K871" s="164"/>
      <c r="L871" s="164"/>
      <c r="M871" s="164"/>
      <c r="N871" s="164"/>
      <c r="O871" s="164"/>
      <c r="P871" s="164"/>
      <c r="Q871" s="2"/>
    </row>
    <row r="872" spans="1:17" x14ac:dyDescent="0.25">
      <c r="A872" s="218" t="s">
        <v>14</v>
      </c>
      <c r="B872" s="219" t="s">
        <v>90</v>
      </c>
      <c r="C872" s="86" t="s">
        <v>15</v>
      </c>
      <c r="D872" s="85"/>
      <c r="E872" s="85"/>
      <c r="F872" s="85"/>
      <c r="G872" s="85"/>
      <c r="H872" s="85"/>
      <c r="I872" s="85"/>
      <c r="J872" s="85"/>
      <c r="K872" s="85"/>
      <c r="L872" s="85"/>
      <c r="M872" s="85"/>
      <c r="N872" s="85"/>
      <c r="O872" s="164"/>
      <c r="P872" s="164"/>
      <c r="Q872" s="2"/>
    </row>
    <row r="873" spans="1:17" x14ac:dyDescent="0.25">
      <c r="A873" s="87" t="s">
        <v>16</v>
      </c>
      <c r="B873" s="368">
        <v>2008</v>
      </c>
      <c r="C873" s="368">
        <v>2009</v>
      </c>
      <c r="D873" s="368">
        <v>2010</v>
      </c>
      <c r="E873" s="368">
        <v>2011</v>
      </c>
      <c r="F873" s="368">
        <v>2012</v>
      </c>
      <c r="G873" s="368">
        <v>2013</v>
      </c>
      <c r="H873" s="368">
        <v>2014</v>
      </c>
      <c r="I873" s="368">
        <v>2015</v>
      </c>
      <c r="J873" s="368">
        <v>2016</v>
      </c>
      <c r="K873" s="368">
        <v>2017</v>
      </c>
      <c r="L873" s="368">
        <v>2018</v>
      </c>
      <c r="M873" s="368">
        <v>2019</v>
      </c>
      <c r="N873" s="368">
        <v>2020</v>
      </c>
      <c r="O873" s="368">
        <v>2021</v>
      </c>
      <c r="P873" s="60">
        <v>2022</v>
      </c>
      <c r="Q873" s="2"/>
    </row>
    <row r="874" spans="1:17" x14ac:dyDescent="0.25">
      <c r="A874" s="87" t="s">
        <v>17</v>
      </c>
      <c r="B874" s="220">
        <v>37</v>
      </c>
      <c r="C874" s="220">
        <v>37</v>
      </c>
      <c r="D874" s="220">
        <v>37</v>
      </c>
      <c r="E874" s="220">
        <v>37</v>
      </c>
      <c r="F874" s="220">
        <v>33.6</v>
      </c>
      <c r="G874" s="220">
        <v>35</v>
      </c>
      <c r="H874" s="220">
        <v>35</v>
      </c>
      <c r="I874" s="220">
        <v>35</v>
      </c>
      <c r="J874" s="220">
        <v>35</v>
      </c>
      <c r="K874" s="220">
        <v>35</v>
      </c>
      <c r="L874" s="220">
        <v>35</v>
      </c>
      <c r="M874" s="220">
        <v>35</v>
      </c>
      <c r="N874" s="376">
        <v>35</v>
      </c>
      <c r="O874" s="220">
        <v>35</v>
      </c>
      <c r="P874" s="65">
        <v>35</v>
      </c>
      <c r="Q874" s="2"/>
    </row>
    <row r="875" spans="1:17" x14ac:dyDescent="0.25">
      <c r="A875" s="87" t="s">
        <v>18</v>
      </c>
      <c r="B875" s="220">
        <v>37</v>
      </c>
      <c r="C875" s="220">
        <v>37</v>
      </c>
      <c r="D875" s="220">
        <v>37</v>
      </c>
      <c r="E875" s="220">
        <v>37</v>
      </c>
      <c r="F875" s="220">
        <v>33.6</v>
      </c>
      <c r="G875" s="220">
        <v>35</v>
      </c>
      <c r="H875" s="220">
        <v>35</v>
      </c>
      <c r="I875" s="220">
        <v>42</v>
      </c>
      <c r="J875" s="220">
        <v>42</v>
      </c>
      <c r="K875" s="220">
        <v>42</v>
      </c>
      <c r="L875" s="220">
        <v>42</v>
      </c>
      <c r="M875" s="220">
        <v>42</v>
      </c>
      <c r="N875" s="376">
        <v>42</v>
      </c>
      <c r="O875" s="220">
        <v>42</v>
      </c>
      <c r="P875" s="65"/>
      <c r="Q875" s="2"/>
    </row>
    <row r="876" spans="1:17" x14ac:dyDescent="0.25">
      <c r="A876" s="87" t="s">
        <v>19</v>
      </c>
      <c r="B876" s="220"/>
      <c r="C876" s="220"/>
      <c r="D876" s="220"/>
      <c r="E876" s="220"/>
      <c r="F876" s="220"/>
      <c r="G876" s="220"/>
      <c r="H876" s="220"/>
      <c r="I876" s="220"/>
      <c r="J876" s="220"/>
      <c r="K876" s="220"/>
      <c r="L876" s="220"/>
      <c r="M876" s="220"/>
      <c r="N876" s="376"/>
      <c r="O876" s="220"/>
      <c r="P876" s="65"/>
      <c r="Q876" s="2"/>
    </row>
    <row r="877" spans="1:17" x14ac:dyDescent="0.25">
      <c r="A877" s="87" t="s">
        <v>20</v>
      </c>
      <c r="B877" s="220">
        <v>28.84</v>
      </c>
      <c r="C877" s="220">
        <v>28.802399999999999</v>
      </c>
      <c r="D877" s="220">
        <v>40.781999999999996</v>
      </c>
      <c r="E877" s="220">
        <v>27.9</v>
      </c>
      <c r="F877" s="220">
        <v>49.6</v>
      </c>
      <c r="G877" s="220">
        <v>16.899999999999999</v>
      </c>
      <c r="H877" s="220">
        <v>5.7</v>
      </c>
      <c r="I877" s="220">
        <v>9.9</v>
      </c>
      <c r="J877" s="220">
        <v>12.6</v>
      </c>
      <c r="K877" s="220">
        <v>9.1999999999999993</v>
      </c>
      <c r="L877" s="220">
        <v>14.4</v>
      </c>
      <c r="M877" s="220">
        <v>10.852466</v>
      </c>
      <c r="N877" s="755">
        <v>7.9</v>
      </c>
      <c r="O877" s="220"/>
      <c r="P877" s="65"/>
      <c r="Q877" s="2"/>
    </row>
    <row r="878" spans="1:17" x14ac:dyDescent="0.25">
      <c r="A878" s="87" t="s">
        <v>21</v>
      </c>
      <c r="B878" s="220">
        <v>8.16</v>
      </c>
      <c r="C878" s="220">
        <v>8.1976000000000013</v>
      </c>
      <c r="D878" s="220">
        <v>3.782</v>
      </c>
      <c r="E878" s="220">
        <v>9.1000000000000014</v>
      </c>
      <c r="F878" s="220">
        <v>16</v>
      </c>
      <c r="G878" s="220">
        <v>18.100000000000001</v>
      </c>
      <c r="H878" s="220">
        <v>29.3</v>
      </c>
      <c r="I878" s="220">
        <v>32.1</v>
      </c>
      <c r="J878" s="220">
        <v>29.4</v>
      </c>
      <c r="K878" s="220">
        <v>32.799999999999997</v>
      </c>
      <c r="L878" s="220">
        <v>27.6</v>
      </c>
      <c r="M878" s="220">
        <v>31.147534</v>
      </c>
      <c r="N878" s="755">
        <f>N875-N877</f>
        <v>34.1</v>
      </c>
      <c r="O878" s="220"/>
      <c r="P878" s="65"/>
      <c r="Q878" s="2"/>
    </row>
    <row r="879" spans="1:17" x14ac:dyDescent="0.25">
      <c r="A879" s="182" t="s">
        <v>22</v>
      </c>
      <c r="B879" s="222"/>
      <c r="C879" s="228"/>
      <c r="D879" s="222"/>
      <c r="E879" s="223"/>
      <c r="F879" s="222"/>
      <c r="G879" s="222"/>
      <c r="H879" s="223"/>
      <c r="I879" s="223"/>
      <c r="J879" s="223"/>
      <c r="K879" s="223"/>
      <c r="L879" s="223"/>
      <c r="M879" s="223"/>
      <c r="N879" s="223"/>
      <c r="O879" s="223"/>
      <c r="P879" s="273"/>
      <c r="Q879" s="2"/>
    </row>
    <row r="880" spans="1:17" x14ac:dyDescent="0.25">
      <c r="A880" s="182" t="s">
        <v>196</v>
      </c>
      <c r="B880" s="183"/>
      <c r="C880" s="183"/>
      <c r="D880" s="183"/>
      <c r="E880" s="183"/>
      <c r="F880" s="183"/>
      <c r="G880" s="183"/>
      <c r="H880" s="183"/>
      <c r="I880" s="183"/>
      <c r="J880" s="183"/>
      <c r="K880" s="183"/>
      <c r="L880" s="183"/>
      <c r="M880" s="183"/>
      <c r="N880" s="183"/>
      <c r="O880" s="183"/>
      <c r="P880" s="274"/>
      <c r="Q880" s="2"/>
    </row>
    <row r="881" spans="1:17" x14ac:dyDescent="0.25">
      <c r="A881" s="185" t="s">
        <v>217</v>
      </c>
      <c r="B881" s="88"/>
      <c r="C881" s="88"/>
      <c r="D881" s="88"/>
      <c r="E881" s="88"/>
      <c r="F881" s="88"/>
      <c r="G881" s="88"/>
      <c r="H881" s="88"/>
      <c r="I881" s="88"/>
      <c r="J881" s="88"/>
      <c r="K881" s="88"/>
      <c r="L881" s="88"/>
      <c r="M881" s="88"/>
      <c r="N881" s="88"/>
      <c r="O881" s="88"/>
      <c r="P881" s="279"/>
      <c r="Q881" s="2"/>
    </row>
    <row r="882" spans="1:17" x14ac:dyDescent="0.25">
      <c r="A882" s="185" t="s">
        <v>218</v>
      </c>
      <c r="B882" s="88"/>
      <c r="C882" s="88"/>
      <c r="D882" s="88"/>
      <c r="E882" s="88"/>
      <c r="F882" s="88"/>
      <c r="G882" s="88"/>
      <c r="H882" s="88"/>
      <c r="I882" s="88"/>
      <c r="J882" s="88"/>
      <c r="K882" s="88"/>
      <c r="L882" s="88"/>
      <c r="M882" s="88"/>
      <c r="N882" s="88"/>
      <c r="O882" s="88"/>
      <c r="P882" s="279"/>
      <c r="Q882" s="2"/>
    </row>
    <row r="883" spans="1:17" x14ac:dyDescent="0.25">
      <c r="A883" s="185" t="s">
        <v>233</v>
      </c>
      <c r="B883" s="88"/>
      <c r="C883" s="88"/>
      <c r="D883" s="88"/>
      <c r="E883" s="88"/>
      <c r="F883" s="88"/>
      <c r="G883" s="88"/>
      <c r="H883" s="88"/>
      <c r="I883" s="88"/>
      <c r="J883" s="88"/>
      <c r="K883" s="88"/>
      <c r="L883" s="88"/>
      <c r="M883" s="88"/>
      <c r="N883" s="88"/>
      <c r="O883" s="88"/>
      <c r="P883" s="279"/>
      <c r="Q883" s="2"/>
    </row>
    <row r="884" spans="1:17" x14ac:dyDescent="0.25">
      <c r="A884" s="185" t="s">
        <v>234</v>
      </c>
      <c r="B884" s="88"/>
      <c r="C884" s="88"/>
      <c r="D884" s="88"/>
      <c r="E884" s="88"/>
      <c r="F884" s="88"/>
      <c r="G884" s="88"/>
      <c r="H884" s="88"/>
      <c r="I884" s="88"/>
      <c r="J884" s="88"/>
      <c r="K884" s="88"/>
      <c r="L884" s="88"/>
      <c r="M884" s="88"/>
      <c r="N884" s="88"/>
      <c r="O884" s="88"/>
      <c r="P884" s="279"/>
      <c r="Q884" s="2"/>
    </row>
    <row r="885" spans="1:17" x14ac:dyDescent="0.25">
      <c r="A885" s="185" t="s">
        <v>235</v>
      </c>
      <c r="B885" s="88"/>
      <c r="C885" s="194"/>
      <c r="D885" s="195"/>
      <c r="E885" s="196"/>
      <c r="F885" s="88"/>
      <c r="G885" s="88"/>
      <c r="H885" s="195"/>
      <c r="I885" s="88"/>
      <c r="J885" s="88"/>
      <c r="K885" s="88"/>
      <c r="L885" s="88"/>
      <c r="M885" s="88"/>
      <c r="N885" s="88"/>
      <c r="O885" s="88"/>
      <c r="P885" s="279"/>
      <c r="Q885" s="2"/>
    </row>
    <row r="886" spans="1:17" x14ac:dyDescent="0.25">
      <c r="A886" s="185" t="s">
        <v>263</v>
      </c>
      <c r="B886" s="88"/>
      <c r="C886" s="88"/>
      <c r="D886" s="88"/>
      <c r="E886" s="88"/>
      <c r="F886" s="88"/>
      <c r="G886" s="88"/>
      <c r="H886" s="195"/>
      <c r="I886" s="88"/>
      <c r="J886" s="88"/>
      <c r="K886" s="88"/>
      <c r="L886" s="88"/>
      <c r="M886" s="88"/>
      <c r="N886" s="88"/>
      <c r="O886" s="88"/>
      <c r="P886" s="279"/>
      <c r="Q886" s="2"/>
    </row>
    <row r="887" spans="1:17" x14ac:dyDescent="0.25">
      <c r="A887" s="185" t="s">
        <v>312</v>
      </c>
      <c r="B887" s="88"/>
      <c r="C887" s="88"/>
      <c r="D887" s="88"/>
      <c r="E887" s="88"/>
      <c r="F887" s="88"/>
      <c r="G887" s="88"/>
      <c r="H887" s="195"/>
      <c r="I887" s="88"/>
      <c r="J887" s="88"/>
      <c r="K887" s="88"/>
      <c r="L887" s="88"/>
      <c r="M887" s="88"/>
      <c r="N887" s="88"/>
      <c r="O887" s="88"/>
      <c r="P887" s="279"/>
      <c r="Q887" s="2"/>
    </row>
    <row r="888" spans="1:17" x14ac:dyDescent="0.25">
      <c r="A888" s="185" t="s">
        <v>313</v>
      </c>
      <c r="B888" s="88"/>
      <c r="C888" s="88"/>
      <c r="D888" s="88"/>
      <c r="E888" s="88"/>
      <c r="F888" s="88"/>
      <c r="G888" s="88"/>
      <c r="H888" s="195"/>
      <c r="I888" s="88"/>
      <c r="J888" s="88"/>
      <c r="K888" s="88"/>
      <c r="L888" s="88"/>
      <c r="M888" s="88"/>
      <c r="N888" s="88"/>
      <c r="O888" s="88"/>
      <c r="P888" s="279"/>
      <c r="Q888" s="2"/>
    </row>
    <row r="889" spans="1:17" x14ac:dyDescent="0.25">
      <c r="A889" s="185" t="s">
        <v>314</v>
      </c>
      <c r="B889" s="88"/>
      <c r="C889" s="88"/>
      <c r="D889" s="88"/>
      <c r="E889" s="88"/>
      <c r="F889" s="88"/>
      <c r="G889" s="88"/>
      <c r="H889" s="195"/>
      <c r="I889" s="88"/>
      <c r="J889" s="88"/>
      <c r="K889" s="88"/>
      <c r="L889" s="88"/>
      <c r="M889" s="88"/>
      <c r="N889" s="88"/>
      <c r="O889" s="88"/>
      <c r="P889" s="279"/>
      <c r="Q889" s="2"/>
    </row>
    <row r="890" spans="1:17" x14ac:dyDescent="0.25">
      <c r="A890" s="190" t="s">
        <v>540</v>
      </c>
      <c r="B890" s="191"/>
      <c r="C890" s="191"/>
      <c r="D890" s="191"/>
      <c r="E890" s="191"/>
      <c r="F890" s="191"/>
      <c r="G890" s="191"/>
      <c r="H890" s="191"/>
      <c r="I890" s="191"/>
      <c r="J890" s="191"/>
      <c r="K890" s="191"/>
      <c r="L890" s="191"/>
      <c r="M890" s="191"/>
      <c r="N890" s="191"/>
      <c r="O890" s="191"/>
      <c r="P890" s="277"/>
      <c r="Q890" s="2"/>
    </row>
    <row r="891" spans="1:17" x14ac:dyDescent="0.25">
      <c r="A891" s="68"/>
      <c r="B891" s="108"/>
      <c r="C891" s="69"/>
      <c r="D891" s="70"/>
      <c r="E891" s="70"/>
      <c r="F891" s="114"/>
      <c r="G891" s="114"/>
      <c r="H891" s="47"/>
    </row>
    <row r="892" spans="1:17" s="591" customFormat="1" x14ac:dyDescent="0.25">
      <c r="A892" s="759" t="s">
        <v>14</v>
      </c>
      <c r="B892" s="760" t="s">
        <v>671</v>
      </c>
      <c r="C892" s="761" t="s">
        <v>15</v>
      </c>
      <c r="D892" s="89"/>
    </row>
    <row r="893" spans="1:17" s="591" customFormat="1" x14ac:dyDescent="0.25">
      <c r="A893" s="762" t="s">
        <v>16</v>
      </c>
      <c r="B893" s="763">
        <v>2020</v>
      </c>
      <c r="C893" s="366">
        <v>2021</v>
      </c>
      <c r="D893" s="366">
        <v>2022</v>
      </c>
    </row>
    <row r="894" spans="1:17" s="591" customFormat="1" x14ac:dyDescent="0.25">
      <c r="A894" s="764" t="s">
        <v>17</v>
      </c>
      <c r="B894" s="376">
        <v>4010</v>
      </c>
      <c r="C894" s="376"/>
      <c r="D894" s="376"/>
    </row>
    <row r="895" spans="1:17" s="591" customFormat="1" x14ac:dyDescent="0.25">
      <c r="A895" s="764" t="s">
        <v>18</v>
      </c>
      <c r="B895" s="376">
        <v>4010</v>
      </c>
      <c r="C895" s="376"/>
      <c r="D895" s="376"/>
    </row>
    <row r="896" spans="1:17" s="591" customFormat="1" x14ac:dyDescent="0.25">
      <c r="A896" s="764" t="s">
        <v>19</v>
      </c>
      <c r="B896" s="376"/>
      <c r="C896" s="376"/>
      <c r="D896" s="376"/>
    </row>
    <row r="897" spans="1:10" s="591" customFormat="1" x14ac:dyDescent="0.25">
      <c r="A897" s="764" t="s">
        <v>20</v>
      </c>
      <c r="B897" s="376">
        <v>1896.6</v>
      </c>
      <c r="C897" s="376"/>
      <c r="D897" s="376"/>
    </row>
    <row r="898" spans="1:10" s="591" customFormat="1" x14ac:dyDescent="0.25">
      <c r="A898" s="764" t="s">
        <v>21</v>
      </c>
      <c r="B898" s="376">
        <v>2113.4</v>
      </c>
      <c r="C898" s="376"/>
      <c r="D898" s="376"/>
    </row>
    <row r="899" spans="1:10" s="591" customFormat="1" x14ac:dyDescent="0.25">
      <c r="A899" s="765" t="s">
        <v>22</v>
      </c>
      <c r="B899" s="766"/>
      <c r="C899" s="766"/>
      <c r="D899" s="766"/>
    </row>
    <row r="900" spans="1:10" s="591" customFormat="1" x14ac:dyDescent="0.25">
      <c r="A900" s="765" t="s">
        <v>23</v>
      </c>
      <c r="B900" s="767"/>
      <c r="C900" s="767"/>
      <c r="D900" s="768"/>
    </row>
    <row r="901" spans="1:10" s="591" customFormat="1" x14ac:dyDescent="0.25">
      <c r="A901" s="762" t="s">
        <v>672</v>
      </c>
      <c r="B901" s="769"/>
      <c r="C901" s="769"/>
      <c r="D901" s="770"/>
    </row>
    <row r="902" spans="1:10" x14ac:dyDescent="0.25">
      <c r="A902" s="68"/>
      <c r="B902" s="108"/>
      <c r="C902" s="69"/>
      <c r="D902" s="70"/>
      <c r="E902" s="70"/>
      <c r="F902" s="114"/>
      <c r="G902" s="114"/>
      <c r="H902" s="47"/>
    </row>
    <row r="903" spans="1:10" x14ac:dyDescent="0.25">
      <c r="A903" s="68"/>
      <c r="B903" s="108"/>
      <c r="C903" s="69"/>
      <c r="D903" s="70"/>
      <c r="E903" s="70"/>
      <c r="F903" s="114"/>
      <c r="G903" s="114"/>
      <c r="H903" s="47"/>
    </row>
    <row r="904" spans="1:10" x14ac:dyDescent="0.25">
      <c r="A904" s="727" t="s">
        <v>143</v>
      </c>
      <c r="B904" s="635"/>
      <c r="C904" s="71"/>
      <c r="D904" s="71"/>
      <c r="E904" s="71"/>
      <c r="F904" s="71"/>
      <c r="G904" s="71"/>
      <c r="H904" s="47"/>
    </row>
    <row r="905" spans="1:10" x14ac:dyDescent="0.25">
      <c r="A905" s="83" t="s">
        <v>14</v>
      </c>
      <c r="B905" s="78" t="s">
        <v>224</v>
      </c>
      <c r="C905" s="78" t="s">
        <v>15</v>
      </c>
      <c r="D905" s="232"/>
      <c r="E905" s="71"/>
      <c r="F905" s="71"/>
      <c r="G905" s="71"/>
      <c r="H905" s="47"/>
    </row>
    <row r="906" spans="1:10" x14ac:dyDescent="0.25">
      <c r="A906" s="81" t="s">
        <v>16</v>
      </c>
      <c r="B906" s="638">
        <v>2014</v>
      </c>
      <c r="C906" s="458">
        <v>2015</v>
      </c>
      <c r="D906" s="458">
        <v>2016</v>
      </c>
      <c r="E906" s="458">
        <v>2017</v>
      </c>
      <c r="F906" s="459">
        <v>2018</v>
      </c>
      <c r="G906" s="459">
        <v>2019</v>
      </c>
      <c r="H906" s="286">
        <v>2020</v>
      </c>
      <c r="I906" s="286">
        <v>2021</v>
      </c>
      <c r="J906" s="750">
        <v>2022</v>
      </c>
    </row>
    <row r="907" spans="1:10" x14ac:dyDescent="0.25">
      <c r="A907" s="73" t="s">
        <v>17</v>
      </c>
      <c r="B907" s="126">
        <v>200</v>
      </c>
      <c r="C907" s="126">
        <v>200</v>
      </c>
      <c r="D907" s="126">
        <v>200</v>
      </c>
      <c r="E907" s="126">
        <v>200</v>
      </c>
      <c r="F907" s="229">
        <v>200</v>
      </c>
      <c r="G907" s="229">
        <v>215</v>
      </c>
      <c r="H907" s="229">
        <v>215</v>
      </c>
      <c r="I907" s="229">
        <v>242</v>
      </c>
      <c r="J907" s="796">
        <v>242</v>
      </c>
    </row>
    <row r="908" spans="1:10" x14ac:dyDescent="0.25">
      <c r="A908" s="73" t="s">
        <v>18</v>
      </c>
      <c r="B908" s="126">
        <v>250</v>
      </c>
      <c r="C908" s="126">
        <v>215.6</v>
      </c>
      <c r="D908" s="126">
        <v>250</v>
      </c>
      <c r="E908" s="126">
        <v>250</v>
      </c>
      <c r="F908" s="229">
        <v>250</v>
      </c>
      <c r="G908" s="229">
        <v>265</v>
      </c>
      <c r="H908" s="229">
        <v>265</v>
      </c>
      <c r="I908" s="229">
        <f>I907+0.25*G907</f>
        <v>295.75</v>
      </c>
      <c r="J908" s="796">
        <f>J907+0.25*H907</f>
        <v>295.75</v>
      </c>
    </row>
    <row r="909" spans="1:10" x14ac:dyDescent="0.25">
      <c r="A909" s="73" t="s">
        <v>19</v>
      </c>
      <c r="B909" s="76" t="s">
        <v>144</v>
      </c>
      <c r="C909" s="77" t="s">
        <v>145</v>
      </c>
      <c r="D909" s="77" t="s">
        <v>146</v>
      </c>
      <c r="E909" s="77" t="s">
        <v>146</v>
      </c>
      <c r="F909" s="77" t="s">
        <v>146</v>
      </c>
      <c r="G909" s="77" t="s">
        <v>581</v>
      </c>
      <c r="H909" s="77" t="s">
        <v>581</v>
      </c>
      <c r="I909" s="77" t="s">
        <v>582</v>
      </c>
      <c r="J909" s="797" t="s">
        <v>582</v>
      </c>
    </row>
    <row r="910" spans="1:10" x14ac:dyDescent="0.25">
      <c r="A910" s="73" t="s">
        <v>20</v>
      </c>
      <c r="B910" s="126">
        <v>63.87</v>
      </c>
      <c r="C910" s="126">
        <v>4.54</v>
      </c>
      <c r="D910" s="126">
        <v>13.18</v>
      </c>
      <c r="E910" s="126">
        <v>7.9</v>
      </c>
      <c r="F910" s="229">
        <v>27.27</v>
      </c>
      <c r="G910" s="229">
        <v>48.48</v>
      </c>
      <c r="H910" s="130">
        <v>115.9</v>
      </c>
      <c r="I910" s="130"/>
      <c r="J910" s="242"/>
    </row>
    <row r="911" spans="1:10" x14ac:dyDescent="0.25">
      <c r="A911" s="73" t="s">
        <v>21</v>
      </c>
      <c r="B911" s="126">
        <v>186.13</v>
      </c>
      <c r="C911" s="126">
        <v>211.06</v>
      </c>
      <c r="D911" s="126">
        <v>236.82</v>
      </c>
      <c r="E911" s="126">
        <v>242.1</v>
      </c>
      <c r="F911" s="229">
        <v>222.73</v>
      </c>
      <c r="G911" s="229">
        <f>G908-G910</f>
        <v>216.52</v>
      </c>
      <c r="H911" s="130">
        <f>H908-H910</f>
        <v>149.1</v>
      </c>
      <c r="I911" s="130"/>
      <c r="J911" s="242"/>
    </row>
    <row r="912" spans="1:10" x14ac:dyDescent="0.25">
      <c r="A912" s="73" t="s">
        <v>22</v>
      </c>
      <c r="B912" s="337">
        <v>2016</v>
      </c>
      <c r="C912" s="337">
        <v>2017</v>
      </c>
      <c r="D912" s="337">
        <v>2018</v>
      </c>
      <c r="E912" s="337">
        <v>2019</v>
      </c>
      <c r="F912" s="341">
        <v>2020</v>
      </c>
      <c r="G912" s="341">
        <v>2021</v>
      </c>
      <c r="H912" s="316">
        <v>2022</v>
      </c>
      <c r="I912" s="316">
        <v>2023</v>
      </c>
      <c r="J912" s="798">
        <v>2024</v>
      </c>
    </row>
    <row r="913" spans="1:10" x14ac:dyDescent="0.25">
      <c r="A913" s="778" t="s">
        <v>147</v>
      </c>
      <c r="B913" s="778"/>
      <c r="C913" s="779"/>
      <c r="D913" s="779"/>
      <c r="E913" s="779"/>
      <c r="F913" s="779"/>
      <c r="G913" s="779"/>
      <c r="H913" s="779"/>
      <c r="I913" s="779"/>
      <c r="J913" s="311"/>
    </row>
    <row r="914" spans="1:10" x14ac:dyDescent="0.25">
      <c r="A914" s="68"/>
      <c r="B914" s="108"/>
      <c r="C914" s="69"/>
      <c r="D914" s="70"/>
      <c r="E914" s="70"/>
      <c r="F914" s="114"/>
      <c r="G914" s="114"/>
      <c r="H914" s="47"/>
    </row>
    <row r="915" spans="1:10" x14ac:dyDescent="0.25">
      <c r="A915" s="83" t="s">
        <v>14</v>
      </c>
      <c r="B915" s="78" t="s">
        <v>225</v>
      </c>
      <c r="C915" s="78" t="s">
        <v>15</v>
      </c>
      <c r="D915" s="71"/>
      <c r="E915" s="71"/>
      <c r="F915" s="71"/>
      <c r="G915" s="71"/>
      <c r="H915" s="47"/>
    </row>
    <row r="916" spans="1:10" x14ac:dyDescent="0.25">
      <c r="A916" s="81" t="s">
        <v>16</v>
      </c>
      <c r="B916" s="638">
        <v>2014</v>
      </c>
      <c r="C916" s="458">
        <v>2015</v>
      </c>
      <c r="D916" s="458">
        <v>2016</v>
      </c>
      <c r="E916" s="458">
        <v>2017</v>
      </c>
      <c r="F916" s="459">
        <v>2018</v>
      </c>
      <c r="G916" s="459">
        <v>2019</v>
      </c>
      <c r="H916" s="303">
        <v>2020</v>
      </c>
      <c r="I916" s="303">
        <v>2021</v>
      </c>
      <c r="J916" s="303">
        <v>2022</v>
      </c>
    </row>
    <row r="917" spans="1:10" x14ac:dyDescent="0.25">
      <c r="A917" s="73" t="s">
        <v>17</v>
      </c>
      <c r="B917" s="126">
        <v>140</v>
      </c>
      <c r="C917" s="126">
        <v>140</v>
      </c>
      <c r="D917" s="126">
        <v>140</v>
      </c>
      <c r="E917" s="126">
        <v>140</v>
      </c>
      <c r="F917" s="229">
        <v>140</v>
      </c>
      <c r="G917" s="229">
        <v>140</v>
      </c>
      <c r="H917" s="229">
        <v>140</v>
      </c>
      <c r="I917" s="229">
        <v>140</v>
      </c>
      <c r="J917" s="229">
        <v>140</v>
      </c>
    </row>
    <row r="918" spans="1:10" x14ac:dyDescent="0.25">
      <c r="A918" s="73" t="s">
        <v>18</v>
      </c>
      <c r="B918" s="126">
        <v>140</v>
      </c>
      <c r="C918" s="126">
        <v>177.5</v>
      </c>
      <c r="D918" s="126">
        <v>175</v>
      </c>
      <c r="E918" s="126">
        <v>175</v>
      </c>
      <c r="F918" s="229">
        <v>175</v>
      </c>
      <c r="G918" s="229">
        <v>175</v>
      </c>
      <c r="H918" s="229">
        <v>148.36000000000001</v>
      </c>
      <c r="I918" s="229">
        <v>144.99</v>
      </c>
      <c r="J918" s="229">
        <f>J917+H921</f>
        <v>156.91000000000003</v>
      </c>
    </row>
    <row r="919" spans="1:10" x14ac:dyDescent="0.25">
      <c r="A919" s="73" t="s">
        <v>19</v>
      </c>
      <c r="B919" s="77" t="s">
        <v>148</v>
      </c>
      <c r="C919" s="77" t="s">
        <v>149</v>
      </c>
      <c r="D919" s="77" t="s">
        <v>150</v>
      </c>
      <c r="E919" s="77" t="s">
        <v>150</v>
      </c>
      <c r="F919" s="77" t="s">
        <v>150</v>
      </c>
      <c r="G919" s="77" t="s">
        <v>150</v>
      </c>
      <c r="H919" s="77" t="s">
        <v>315</v>
      </c>
      <c r="I919" s="77" t="s">
        <v>583</v>
      </c>
      <c r="J919" s="77" t="s">
        <v>584</v>
      </c>
    </row>
    <row r="920" spans="1:10" x14ac:dyDescent="0.25">
      <c r="A920" s="73" t="s">
        <v>20</v>
      </c>
      <c r="B920" s="126">
        <v>3.42</v>
      </c>
      <c r="C920" s="126">
        <v>3.47</v>
      </c>
      <c r="D920" s="126">
        <v>48.27</v>
      </c>
      <c r="E920" s="126">
        <v>85.96</v>
      </c>
      <c r="F920" s="229">
        <v>166.64</v>
      </c>
      <c r="G920" s="229">
        <v>170.01</v>
      </c>
      <c r="H920" s="94">
        <v>131.44999999999999</v>
      </c>
      <c r="I920" s="94"/>
      <c r="J920" s="94"/>
    </row>
    <row r="921" spans="1:10" x14ac:dyDescent="0.25">
      <c r="A921" s="73" t="s">
        <v>21</v>
      </c>
      <c r="B921" s="230">
        <v>136.58000000000001</v>
      </c>
      <c r="C921" s="126">
        <v>174.03</v>
      </c>
      <c r="D921" s="126">
        <v>126.73</v>
      </c>
      <c r="E921" s="126">
        <v>89.04</v>
      </c>
      <c r="F921" s="229">
        <v>8.36</v>
      </c>
      <c r="G921" s="229">
        <f>G918-G920</f>
        <v>4.9900000000000091</v>
      </c>
      <c r="H921" s="94">
        <f>H918-H920</f>
        <v>16.910000000000025</v>
      </c>
      <c r="I921" s="94"/>
      <c r="J921" s="94"/>
    </row>
    <row r="922" spans="1:10" x14ac:dyDescent="0.25">
      <c r="A922" s="165" t="s">
        <v>22</v>
      </c>
      <c r="B922" s="337">
        <v>2016</v>
      </c>
      <c r="C922" s="337">
        <v>2017</v>
      </c>
      <c r="D922" s="337">
        <v>2018</v>
      </c>
      <c r="E922" s="337">
        <v>2019</v>
      </c>
      <c r="F922" s="341">
        <v>2020</v>
      </c>
      <c r="G922" s="341">
        <v>2021</v>
      </c>
      <c r="H922" s="57">
        <v>2022</v>
      </c>
      <c r="I922" s="57">
        <v>2023</v>
      </c>
      <c r="J922" s="57">
        <v>2024</v>
      </c>
    </row>
    <row r="923" spans="1:10" x14ac:dyDescent="0.25">
      <c r="A923" s="462" t="s">
        <v>147</v>
      </c>
      <c r="B923" s="463"/>
      <c r="C923" s="463"/>
      <c r="D923" s="463"/>
      <c r="E923" s="463"/>
      <c r="F923" s="463"/>
      <c r="G923" s="463"/>
      <c r="H923" s="463"/>
      <c r="I923" s="568"/>
      <c r="J923" s="567"/>
    </row>
    <row r="924" spans="1:10" x14ac:dyDescent="0.25">
      <c r="A924" s="68"/>
      <c r="B924" s="108"/>
      <c r="C924" s="69"/>
      <c r="D924" s="70"/>
      <c r="E924" s="70"/>
      <c r="F924" s="114"/>
      <c r="G924" s="114"/>
      <c r="H924" s="47"/>
    </row>
    <row r="925" spans="1:10" x14ac:dyDescent="0.25">
      <c r="A925" s="269" t="s">
        <v>14</v>
      </c>
      <c r="B925" s="231" t="s">
        <v>220</v>
      </c>
      <c r="C925" s="231" t="s">
        <v>164</v>
      </c>
      <c r="D925" s="232"/>
      <c r="E925" s="232"/>
      <c r="F925" s="232"/>
      <c r="G925" s="232"/>
      <c r="H925" s="114"/>
    </row>
    <row r="926" spans="1:10" x14ac:dyDescent="0.25">
      <c r="A926" s="639" t="s">
        <v>16</v>
      </c>
      <c r="B926" s="640">
        <v>2014</v>
      </c>
      <c r="C926" s="572">
        <v>2015</v>
      </c>
      <c r="D926" s="572">
        <v>2016</v>
      </c>
      <c r="E926" s="572" t="s">
        <v>264</v>
      </c>
      <c r="F926" s="572" t="s">
        <v>265</v>
      </c>
      <c r="G926" s="572" t="s">
        <v>266</v>
      </c>
      <c r="H926" s="572" t="s">
        <v>316</v>
      </c>
      <c r="I926" s="572" t="s">
        <v>593</v>
      </c>
    </row>
    <row r="927" spans="1:10" x14ac:dyDescent="0.25">
      <c r="A927" s="233" t="s">
        <v>17</v>
      </c>
      <c r="B927" s="235">
        <v>50</v>
      </c>
      <c r="C927" s="235">
        <v>50</v>
      </c>
      <c r="D927" s="235">
        <v>50</v>
      </c>
      <c r="E927" s="235">
        <v>50</v>
      </c>
      <c r="F927" s="235">
        <v>50</v>
      </c>
      <c r="G927" s="235">
        <v>50</v>
      </c>
      <c r="H927" s="113">
        <v>50</v>
      </c>
      <c r="I927" s="113">
        <v>50</v>
      </c>
    </row>
    <row r="928" spans="1:10" x14ac:dyDescent="0.25">
      <c r="A928" s="233" t="s">
        <v>18</v>
      </c>
      <c r="B928" s="235">
        <v>45.6</v>
      </c>
      <c r="C928" s="235">
        <v>45.6</v>
      </c>
      <c r="D928" s="235">
        <v>65.34</v>
      </c>
      <c r="E928" s="235">
        <v>75</v>
      </c>
      <c r="F928" s="235">
        <v>70</v>
      </c>
      <c r="G928" s="235">
        <v>70</v>
      </c>
      <c r="H928" s="113">
        <v>70</v>
      </c>
      <c r="I928" s="113">
        <v>70</v>
      </c>
    </row>
    <row r="929" spans="1:9" x14ac:dyDescent="0.25">
      <c r="A929" s="233" t="s">
        <v>19</v>
      </c>
      <c r="B929" s="234" t="s">
        <v>151</v>
      </c>
      <c r="C929" s="80" t="s">
        <v>151</v>
      </c>
      <c r="D929" s="80" t="s">
        <v>152</v>
      </c>
      <c r="E929" s="80" t="s">
        <v>153</v>
      </c>
      <c r="F929" s="80" t="s">
        <v>267</v>
      </c>
      <c r="G929" s="80" t="s">
        <v>267</v>
      </c>
      <c r="H929" s="111" t="s">
        <v>267</v>
      </c>
      <c r="I929" s="111" t="s">
        <v>267</v>
      </c>
    </row>
    <row r="930" spans="1:9" x14ac:dyDescent="0.25">
      <c r="A930" s="233" t="s">
        <v>20</v>
      </c>
      <c r="B930" s="235">
        <v>34.659999999999997</v>
      </c>
      <c r="C930" s="235">
        <v>0</v>
      </c>
      <c r="D930" s="235">
        <v>9.14</v>
      </c>
      <c r="E930" s="235">
        <v>18.559999999999999</v>
      </c>
      <c r="F930" s="235">
        <v>8.7899999999999991</v>
      </c>
      <c r="G930" s="235">
        <v>9.3699999999999992</v>
      </c>
      <c r="H930" s="94">
        <v>13.7</v>
      </c>
      <c r="I930" s="113"/>
    </row>
    <row r="931" spans="1:9" x14ac:dyDescent="0.25">
      <c r="A931" s="233" t="s">
        <v>21</v>
      </c>
      <c r="B931" s="235">
        <v>10.94</v>
      </c>
      <c r="C931" s="235">
        <v>45.6</v>
      </c>
      <c r="D931" s="235">
        <v>56.2</v>
      </c>
      <c r="E931" s="235">
        <v>56.44</v>
      </c>
      <c r="F931" s="235">
        <v>61.21</v>
      </c>
      <c r="G931" s="235">
        <f>G928-G930</f>
        <v>60.63</v>
      </c>
      <c r="H931" s="235">
        <f>H928-H930</f>
        <v>56.3</v>
      </c>
      <c r="I931" s="113"/>
    </row>
    <row r="932" spans="1:9" x14ac:dyDescent="0.25">
      <c r="A932" s="571" t="s">
        <v>22</v>
      </c>
      <c r="B932" s="336">
        <v>2016</v>
      </c>
      <c r="C932" s="336">
        <v>2017</v>
      </c>
      <c r="D932" s="336">
        <v>2018</v>
      </c>
      <c r="E932" s="336">
        <v>2019</v>
      </c>
      <c r="F932" s="336">
        <v>2020</v>
      </c>
      <c r="G932" s="336">
        <v>2021</v>
      </c>
      <c r="H932" s="340">
        <v>2022</v>
      </c>
      <c r="I932" s="340">
        <v>2023</v>
      </c>
    </row>
    <row r="933" spans="1:9" x14ac:dyDescent="0.25">
      <c r="A933" s="825" t="s">
        <v>696</v>
      </c>
      <c r="B933" s="573"/>
      <c r="C933" s="573"/>
      <c r="D933" s="573"/>
      <c r="E933" s="573"/>
      <c r="F933" s="573"/>
      <c r="G933" s="573"/>
      <c r="H933" s="496"/>
      <c r="I933" s="497"/>
    </row>
    <row r="934" spans="1:9" x14ac:dyDescent="0.25">
      <c r="A934" s="824" t="s">
        <v>591</v>
      </c>
      <c r="B934" s="823"/>
      <c r="C934" s="823"/>
      <c r="D934" s="823"/>
      <c r="E934" s="823"/>
      <c r="F934" s="823"/>
      <c r="G934" s="823"/>
      <c r="H934" s="712"/>
      <c r="I934" s="110"/>
    </row>
    <row r="935" spans="1:9" x14ac:dyDescent="0.25">
      <c r="A935" s="574" t="s">
        <v>592</v>
      </c>
      <c r="B935" s="575"/>
      <c r="C935" s="575"/>
      <c r="D935" s="575"/>
      <c r="E935" s="575"/>
      <c r="F935" s="575"/>
      <c r="G935" s="575"/>
      <c r="H935" s="575"/>
      <c r="I935" s="138"/>
    </row>
    <row r="936" spans="1:9" ht="15.6" customHeight="1" x14ac:dyDescent="0.25">
      <c r="A936" s="125"/>
      <c r="B936" s="72"/>
      <c r="C936" s="72"/>
      <c r="D936" s="72"/>
      <c r="E936" s="72"/>
      <c r="F936" s="72"/>
      <c r="G936" s="72"/>
      <c r="H936" s="47"/>
    </row>
    <row r="937" spans="1:9" x14ac:dyDescent="0.25">
      <c r="A937" s="83" t="s">
        <v>14</v>
      </c>
      <c r="B937" s="78" t="s">
        <v>226</v>
      </c>
      <c r="C937" s="75" t="s">
        <v>164</v>
      </c>
      <c r="D937" s="232"/>
      <c r="E937" s="71"/>
      <c r="F937" s="71"/>
      <c r="G937" s="71"/>
      <c r="H937" s="47"/>
    </row>
    <row r="938" spans="1:9" x14ac:dyDescent="0.25">
      <c r="A938" s="81" t="s">
        <v>16</v>
      </c>
      <c r="B938" s="638">
        <v>2014</v>
      </c>
      <c r="C938" s="458">
        <v>2015</v>
      </c>
      <c r="D938" s="458">
        <v>2016</v>
      </c>
      <c r="E938" s="458">
        <v>2017</v>
      </c>
      <c r="F938" s="458" t="s">
        <v>265</v>
      </c>
      <c r="G938" s="458" t="s">
        <v>266</v>
      </c>
      <c r="H938" s="303" t="s">
        <v>316</v>
      </c>
      <c r="I938" s="303" t="s">
        <v>593</v>
      </c>
    </row>
    <row r="939" spans="1:9" x14ac:dyDescent="0.25">
      <c r="A939" s="73" t="s">
        <v>17</v>
      </c>
      <c r="B939" s="126">
        <v>50</v>
      </c>
      <c r="C939" s="126">
        <v>50</v>
      </c>
      <c r="D939" s="235">
        <v>50</v>
      </c>
      <c r="E939" s="235">
        <v>50</v>
      </c>
      <c r="F939" s="235">
        <v>50</v>
      </c>
      <c r="G939" s="235">
        <v>50</v>
      </c>
      <c r="H939" s="94">
        <v>50</v>
      </c>
      <c r="I939" s="94">
        <v>50</v>
      </c>
    </row>
    <row r="940" spans="1:9" x14ac:dyDescent="0.25">
      <c r="A940" s="73" t="s">
        <v>18</v>
      </c>
      <c r="B940" s="126">
        <v>50</v>
      </c>
      <c r="C940" s="126">
        <v>60.7</v>
      </c>
      <c r="D940" s="235">
        <v>47.37</v>
      </c>
      <c r="E940" s="235">
        <v>65</v>
      </c>
      <c r="F940" s="235">
        <v>60</v>
      </c>
      <c r="G940" s="235">
        <v>60</v>
      </c>
      <c r="H940" s="94">
        <f>H939*1.2</f>
        <v>60</v>
      </c>
      <c r="I940" s="94">
        <f>I939*1.2</f>
        <v>60</v>
      </c>
    </row>
    <row r="941" spans="1:9" x14ac:dyDescent="0.25">
      <c r="A941" s="73" t="s">
        <v>19</v>
      </c>
      <c r="B941" s="77"/>
      <c r="C941" s="77" t="s">
        <v>154</v>
      </c>
      <c r="D941" s="80" t="s">
        <v>155</v>
      </c>
      <c r="E941" s="80" t="s">
        <v>156</v>
      </c>
      <c r="F941" s="80" t="s">
        <v>317</v>
      </c>
      <c r="G941" s="80" t="s">
        <v>317</v>
      </c>
      <c r="H941" s="80" t="s">
        <v>317</v>
      </c>
      <c r="I941" s="80" t="s">
        <v>317</v>
      </c>
    </row>
    <row r="942" spans="1:9" x14ac:dyDescent="0.25">
      <c r="A942" s="73" t="s">
        <v>20</v>
      </c>
      <c r="B942" s="126">
        <v>52.63</v>
      </c>
      <c r="C942" s="126">
        <v>5.45</v>
      </c>
      <c r="D942" s="126">
        <v>19.25</v>
      </c>
      <c r="E942" s="126">
        <v>10.92</v>
      </c>
      <c r="F942" s="126">
        <v>17.18</v>
      </c>
      <c r="G942" s="126">
        <v>8.6999999999999993</v>
      </c>
      <c r="H942" s="94">
        <v>15.41</v>
      </c>
      <c r="I942" s="94"/>
    </row>
    <row r="943" spans="1:9" x14ac:dyDescent="0.25">
      <c r="A943" s="73" t="s">
        <v>21</v>
      </c>
      <c r="B943" s="126">
        <v>-2.63</v>
      </c>
      <c r="C943" s="126">
        <v>55.25</v>
      </c>
      <c r="D943" s="126">
        <v>28.12</v>
      </c>
      <c r="E943" s="126">
        <v>54.08</v>
      </c>
      <c r="F943" s="126">
        <f>F940-F942</f>
        <v>42.82</v>
      </c>
      <c r="G943" s="126">
        <f>G940-G942</f>
        <v>51.3</v>
      </c>
      <c r="H943" s="94">
        <f>H940-H942</f>
        <v>44.59</v>
      </c>
      <c r="I943" s="94"/>
    </row>
    <row r="944" spans="1:9" x14ac:dyDescent="0.25">
      <c r="A944" s="165" t="s">
        <v>22</v>
      </c>
      <c r="B944" s="337">
        <v>2016</v>
      </c>
      <c r="C944" s="337">
        <v>2017</v>
      </c>
      <c r="D944" s="336">
        <v>2018</v>
      </c>
      <c r="E944" s="336">
        <v>2019</v>
      </c>
      <c r="F944" s="336">
        <v>2020</v>
      </c>
      <c r="G944" s="336">
        <v>2021</v>
      </c>
      <c r="H944" s="57">
        <v>2022</v>
      </c>
      <c r="I944" s="57">
        <v>2023</v>
      </c>
    </row>
    <row r="945" spans="1:9" x14ac:dyDescent="0.25">
      <c r="A945" s="165" t="s">
        <v>527</v>
      </c>
      <c r="B945" s="577"/>
      <c r="C945" s="577"/>
      <c r="D945" s="573"/>
      <c r="E945" s="573"/>
      <c r="F945" s="573"/>
      <c r="G945" s="573"/>
      <c r="H945" s="58"/>
      <c r="I945" s="248"/>
    </row>
    <row r="946" spans="1:9" x14ac:dyDescent="0.25">
      <c r="A946" s="574" t="s">
        <v>368</v>
      </c>
      <c r="B946" s="575"/>
      <c r="C946" s="575"/>
      <c r="D946" s="575"/>
      <c r="E946" s="575"/>
      <c r="F946" s="575"/>
      <c r="G946" s="575"/>
      <c r="H946" s="575"/>
      <c r="I946" s="138"/>
    </row>
    <row r="947" spans="1:9" ht="14.4" customHeight="1" x14ac:dyDescent="0.25">
      <c r="A947" s="239"/>
      <c r="B947" s="239"/>
      <c r="C947" s="239"/>
      <c r="D947" s="239"/>
      <c r="E947" s="239"/>
      <c r="F947" s="239"/>
      <c r="G947" s="239"/>
      <c r="H947" s="239"/>
    </row>
    <row r="948" spans="1:9" ht="14.4" customHeight="1" x14ac:dyDescent="0.25">
      <c r="A948" s="83" t="s">
        <v>221</v>
      </c>
      <c r="B948" s="78" t="s">
        <v>276</v>
      </c>
      <c r="C948" s="78" t="s">
        <v>164</v>
      </c>
      <c r="D948" s="71"/>
      <c r="E948" s="71"/>
      <c r="F948" s="71"/>
      <c r="G948" s="71"/>
      <c r="H948" s="47"/>
    </row>
    <row r="949" spans="1:9" ht="14.4" customHeight="1" x14ac:dyDescent="0.25">
      <c r="A949" s="81" t="s">
        <v>16</v>
      </c>
      <c r="B949" s="621"/>
      <c r="C949" s="74"/>
      <c r="D949" s="458">
        <v>2016</v>
      </c>
      <c r="E949" s="458">
        <v>2017</v>
      </c>
      <c r="F949" s="458">
        <v>2018</v>
      </c>
      <c r="G949" s="458">
        <v>2019</v>
      </c>
      <c r="H949" s="303">
        <v>2020</v>
      </c>
      <c r="I949" s="303">
        <v>2021</v>
      </c>
    </row>
    <row r="950" spans="1:9" ht="14.4" customHeight="1" x14ac:dyDescent="0.25">
      <c r="A950" s="73" t="s">
        <v>17</v>
      </c>
      <c r="B950" s="126"/>
      <c r="C950" s="235"/>
      <c r="D950" s="235">
        <v>113.66</v>
      </c>
      <c r="E950" s="235">
        <v>136.46</v>
      </c>
      <c r="F950" s="235">
        <v>160</v>
      </c>
      <c r="G950" s="235">
        <v>184</v>
      </c>
      <c r="H950" s="94">
        <v>200</v>
      </c>
      <c r="I950" s="94">
        <v>200</v>
      </c>
    </row>
    <row r="951" spans="1:9" ht="14.4" customHeight="1" x14ac:dyDescent="0.25">
      <c r="A951" s="73" t="s">
        <v>18</v>
      </c>
      <c r="B951" s="126"/>
      <c r="C951" s="235"/>
      <c r="D951" s="235">
        <v>163.66</v>
      </c>
      <c r="E951" s="235">
        <v>181.46</v>
      </c>
      <c r="F951" s="148">
        <v>210</v>
      </c>
      <c r="G951" s="148">
        <v>234</v>
      </c>
      <c r="H951" s="94">
        <v>251.57</v>
      </c>
      <c r="I951" s="94">
        <f>I950+50+H954</f>
        <v>254.29999999999998</v>
      </c>
    </row>
    <row r="952" spans="1:9" ht="14.4" customHeight="1" x14ac:dyDescent="0.25">
      <c r="A952" s="73" t="s">
        <v>19</v>
      </c>
      <c r="B952" s="124"/>
      <c r="C952" s="238"/>
      <c r="D952" s="80" t="s">
        <v>320</v>
      </c>
      <c r="E952" s="80" t="s">
        <v>321</v>
      </c>
      <c r="F952" s="80" t="s">
        <v>322</v>
      </c>
      <c r="G952" s="80" t="s">
        <v>323</v>
      </c>
      <c r="H952" s="240" t="s">
        <v>324</v>
      </c>
      <c r="I952" s="240" t="s">
        <v>595</v>
      </c>
    </row>
    <row r="953" spans="1:9" ht="14.4" customHeight="1" x14ac:dyDescent="0.25">
      <c r="A953" s="73" t="s">
        <v>20</v>
      </c>
      <c r="B953" s="126"/>
      <c r="C953" s="126"/>
      <c r="D953" s="126">
        <v>161.08000000000001</v>
      </c>
      <c r="E953" s="126">
        <v>181.19</v>
      </c>
      <c r="F953" s="126">
        <v>207.97</v>
      </c>
      <c r="G953" s="126">
        <v>232.43299999999999</v>
      </c>
      <c r="H953" s="94">
        <v>247.27</v>
      </c>
      <c r="I953" s="94"/>
    </row>
    <row r="954" spans="1:9" ht="14.4" customHeight="1" x14ac:dyDescent="0.25">
      <c r="A954" s="73" t="s">
        <v>21</v>
      </c>
      <c r="B954" s="126"/>
      <c r="C954" s="126"/>
      <c r="D954" s="126">
        <v>2.58</v>
      </c>
      <c r="E954" s="126">
        <v>0.27</v>
      </c>
      <c r="F954" s="126">
        <v>2.0299999999999998</v>
      </c>
      <c r="G954" s="126">
        <v>1.5670000000000073</v>
      </c>
      <c r="H954" s="94">
        <f>H951-H953</f>
        <v>4.2999999999999829</v>
      </c>
      <c r="I954" s="94"/>
    </row>
    <row r="955" spans="1:9" ht="14.4" customHeight="1" x14ac:dyDescent="0.25">
      <c r="A955" s="165" t="s">
        <v>22</v>
      </c>
      <c r="B955" s="166"/>
      <c r="C955" s="236"/>
      <c r="D955" s="236"/>
      <c r="E955" s="236"/>
      <c r="F955" s="236"/>
      <c r="G955" s="336">
        <v>2020</v>
      </c>
      <c r="H955" s="57">
        <v>2021</v>
      </c>
      <c r="I955" s="37"/>
    </row>
    <row r="956" spans="1:9" ht="14.4" customHeight="1" x14ac:dyDescent="0.25">
      <c r="A956" s="165" t="s">
        <v>325</v>
      </c>
      <c r="B956" s="237"/>
      <c r="C956" s="237"/>
      <c r="D956" s="237"/>
      <c r="E956" s="237"/>
      <c r="F956" s="237"/>
      <c r="G956" s="237"/>
      <c r="H956" s="9"/>
      <c r="I956" s="248"/>
    </row>
    <row r="957" spans="1:9" ht="14.4" customHeight="1" x14ac:dyDescent="0.25">
      <c r="A957" s="84" t="s">
        <v>326</v>
      </c>
      <c r="B957" s="72"/>
      <c r="C957" s="72"/>
      <c r="D957" s="72"/>
      <c r="E957" s="72"/>
      <c r="F957" s="72"/>
      <c r="G957" s="72"/>
      <c r="H957" s="47"/>
      <c r="I957" s="110"/>
    </row>
    <row r="958" spans="1:9" ht="14.4" customHeight="1" x14ac:dyDescent="0.25">
      <c r="A958" s="84" t="s">
        <v>327</v>
      </c>
      <c r="B958" s="72"/>
      <c r="C958" s="72"/>
      <c r="D958" s="72"/>
      <c r="E958" s="72"/>
      <c r="F958" s="72"/>
      <c r="G958" s="72"/>
      <c r="H958" s="47"/>
      <c r="I958" s="110"/>
    </row>
    <row r="959" spans="1:9" ht="14.4" customHeight="1" x14ac:dyDescent="0.25">
      <c r="A959" s="84" t="s">
        <v>328</v>
      </c>
      <c r="B959" s="72"/>
      <c r="C959" s="72"/>
      <c r="D959" s="72"/>
      <c r="E959" s="72"/>
      <c r="F959" s="72"/>
      <c r="G959" s="72"/>
      <c r="H959" s="47"/>
      <c r="I959" s="110"/>
    </row>
    <row r="960" spans="1:9" ht="14.4" customHeight="1" x14ac:dyDescent="0.25">
      <c r="A960" s="81" t="s">
        <v>594</v>
      </c>
      <c r="B960" s="82"/>
      <c r="C960" s="82"/>
      <c r="D960" s="82"/>
      <c r="E960" s="82"/>
      <c r="F960" s="82"/>
      <c r="G960" s="82"/>
      <c r="H960" s="12"/>
      <c r="I960" s="138"/>
    </row>
    <row r="961" spans="1:9" ht="14.4" customHeight="1" x14ac:dyDescent="0.25">
      <c r="A961" s="239"/>
      <c r="B961" s="239"/>
      <c r="C961" s="239"/>
      <c r="D961" s="239"/>
      <c r="E961" s="239"/>
      <c r="F961" s="239"/>
      <c r="G961" s="239"/>
      <c r="H961" s="239"/>
    </row>
    <row r="962" spans="1:9" x14ac:dyDescent="0.25">
      <c r="A962" s="83" t="s">
        <v>221</v>
      </c>
      <c r="B962" s="78" t="s">
        <v>76</v>
      </c>
      <c r="C962" s="78" t="s">
        <v>164</v>
      </c>
      <c r="D962" s="71"/>
      <c r="E962" s="71"/>
      <c r="F962" s="71"/>
      <c r="G962" s="71"/>
      <c r="H962" s="47"/>
    </row>
    <row r="963" spans="1:9" x14ac:dyDescent="0.25">
      <c r="A963" s="81" t="s">
        <v>16</v>
      </c>
      <c r="B963" s="638">
        <v>2014</v>
      </c>
      <c r="C963" s="458">
        <v>2015</v>
      </c>
      <c r="D963" s="458">
        <v>2016</v>
      </c>
      <c r="E963" s="458">
        <v>2017</v>
      </c>
      <c r="F963" s="458">
        <v>2018</v>
      </c>
      <c r="G963" s="458">
        <v>2019</v>
      </c>
      <c r="H963" s="303">
        <v>2020</v>
      </c>
      <c r="I963" s="303">
        <v>2021</v>
      </c>
    </row>
    <row r="964" spans="1:9" x14ac:dyDescent="0.25">
      <c r="A964" s="73" t="s">
        <v>17</v>
      </c>
      <c r="B964" s="126">
        <v>1983</v>
      </c>
      <c r="C964" s="235">
        <v>1983</v>
      </c>
      <c r="D964" s="235">
        <v>1486</v>
      </c>
      <c r="E964" s="235">
        <v>1486</v>
      </c>
      <c r="F964" s="235">
        <v>1486</v>
      </c>
      <c r="G964" s="235">
        <v>1486</v>
      </c>
      <c r="H964" s="242">
        <v>1000</v>
      </c>
      <c r="I964" s="242">
        <v>1000</v>
      </c>
    </row>
    <row r="965" spans="1:9" x14ac:dyDescent="0.25">
      <c r="A965" s="73" t="s">
        <v>18</v>
      </c>
      <c r="B965" s="126">
        <v>2557.9</v>
      </c>
      <c r="C965" s="235">
        <v>2557.9</v>
      </c>
      <c r="D965" s="235">
        <v>2080.9</v>
      </c>
      <c r="E965" s="235">
        <v>1708.9</v>
      </c>
      <c r="F965" s="148">
        <v>1485.9</v>
      </c>
      <c r="G965" s="148">
        <v>1485.9</v>
      </c>
      <c r="H965" s="242">
        <f>H964+F964*0.15-223</f>
        <v>999.90000000000009</v>
      </c>
      <c r="I965" s="242">
        <f>I964-223+G964*0.1</f>
        <v>925.6</v>
      </c>
    </row>
    <row r="966" spans="1:9" ht="28.8" customHeight="1" x14ac:dyDescent="0.25">
      <c r="A966" s="73" t="s">
        <v>19</v>
      </c>
      <c r="B966" s="124" t="s">
        <v>157</v>
      </c>
      <c r="C966" s="238" t="s">
        <v>157</v>
      </c>
      <c r="D966" s="238" t="s">
        <v>158</v>
      </c>
      <c r="E966" s="238" t="s">
        <v>159</v>
      </c>
      <c r="F966" s="238" t="s">
        <v>236</v>
      </c>
      <c r="G966" s="238" t="s">
        <v>237</v>
      </c>
      <c r="H966" s="375" t="s">
        <v>597</v>
      </c>
      <c r="I966" s="375" t="s">
        <v>599</v>
      </c>
    </row>
    <row r="967" spans="1:9" x14ac:dyDescent="0.25">
      <c r="A967" s="73" t="s">
        <v>20</v>
      </c>
      <c r="B967" s="126">
        <v>1038.83</v>
      </c>
      <c r="C967" s="126">
        <v>670.7</v>
      </c>
      <c r="D967" s="126">
        <v>561.97</v>
      </c>
      <c r="E967" s="126">
        <v>432.09</v>
      </c>
      <c r="F967" s="126">
        <v>662.7</v>
      </c>
      <c r="G967" s="126">
        <v>539.84</v>
      </c>
      <c r="H967" s="94">
        <v>587.15</v>
      </c>
      <c r="I967" s="94"/>
    </row>
    <row r="968" spans="1:9" x14ac:dyDescent="0.25">
      <c r="A968" s="73" t="s">
        <v>21</v>
      </c>
      <c r="B968" s="126">
        <v>1519.07</v>
      </c>
      <c r="C968" s="126">
        <v>1887.2</v>
      </c>
      <c r="D968" s="126">
        <v>1518.93</v>
      </c>
      <c r="E968" s="126">
        <v>1276.8100000000002</v>
      </c>
      <c r="F968" s="126">
        <v>823.2</v>
      </c>
      <c r="G968" s="126">
        <f>G965-G967</f>
        <v>946.06000000000006</v>
      </c>
      <c r="H968" s="94">
        <f>H965-H967</f>
        <v>412.75000000000011</v>
      </c>
      <c r="I968" s="94"/>
    </row>
    <row r="969" spans="1:9" x14ac:dyDescent="0.25">
      <c r="A969" s="165" t="s">
        <v>22</v>
      </c>
      <c r="B969" s="337">
        <v>2016</v>
      </c>
      <c r="C969" s="337">
        <v>2017</v>
      </c>
      <c r="D969" s="337">
        <v>2018</v>
      </c>
      <c r="E969" s="337">
        <v>2019</v>
      </c>
      <c r="F969" s="336">
        <v>2020</v>
      </c>
      <c r="G969" s="336">
        <v>2021</v>
      </c>
      <c r="H969" s="57"/>
      <c r="I969" s="57"/>
    </row>
    <row r="970" spans="1:9" x14ac:dyDescent="0.25">
      <c r="A970" s="742" t="s">
        <v>697</v>
      </c>
      <c r="B970" s="577"/>
      <c r="C970" s="577"/>
      <c r="D970" s="577"/>
      <c r="E970" s="577"/>
      <c r="F970" s="573"/>
      <c r="G970" s="573"/>
      <c r="H970" s="58"/>
      <c r="I970" s="59"/>
    </row>
    <row r="971" spans="1:9" x14ac:dyDescent="0.25">
      <c r="A971" s="84" t="s">
        <v>318</v>
      </c>
      <c r="B971" s="72"/>
      <c r="C971" s="72"/>
      <c r="D971" s="72"/>
      <c r="E971" s="72"/>
      <c r="F971" s="72"/>
      <c r="G971" s="72"/>
      <c r="H971" s="47"/>
      <c r="I971" s="110"/>
    </row>
    <row r="972" spans="1:9" x14ac:dyDescent="0.25">
      <c r="A972" s="84" t="s">
        <v>319</v>
      </c>
      <c r="B972" s="72"/>
      <c r="C972" s="72"/>
      <c r="D972" s="72"/>
      <c r="E972" s="72"/>
      <c r="F972" s="72"/>
      <c r="G972" s="72"/>
      <c r="H972" s="47"/>
      <c r="I972" s="110"/>
    </row>
    <row r="973" spans="1:9" x14ac:dyDescent="0.25">
      <c r="A973" s="84" t="s">
        <v>598</v>
      </c>
      <c r="B973" s="72"/>
      <c r="C973" s="72"/>
      <c r="D973" s="72"/>
      <c r="E973" s="72"/>
      <c r="F973" s="72"/>
      <c r="G973" s="72"/>
      <c r="H973" s="47"/>
      <c r="I973" s="110"/>
    </row>
    <row r="974" spans="1:9" x14ac:dyDescent="0.25">
      <c r="A974" s="84" t="s">
        <v>160</v>
      </c>
      <c r="B974" s="72"/>
      <c r="C974" s="72"/>
      <c r="D974" s="72"/>
      <c r="E974" s="72"/>
      <c r="F974" s="72"/>
      <c r="G974" s="72"/>
      <c r="H974" s="47"/>
      <c r="I974" s="110"/>
    </row>
    <row r="975" spans="1:9" x14ac:dyDescent="0.25">
      <c r="A975" s="81" t="s">
        <v>596</v>
      </c>
      <c r="B975" s="82"/>
      <c r="C975" s="82"/>
      <c r="D975" s="82"/>
      <c r="E975" s="82"/>
      <c r="F975" s="82"/>
      <c r="G975" s="82"/>
      <c r="H975" s="12"/>
      <c r="I975" s="138"/>
    </row>
    <row r="976" spans="1:9" x14ac:dyDescent="0.25">
      <c r="A976" s="578"/>
      <c r="B976" s="72"/>
      <c r="C976" s="72"/>
      <c r="D976" s="72"/>
      <c r="E976" s="72"/>
      <c r="F976" s="72"/>
      <c r="G976" s="72"/>
      <c r="H976" s="47"/>
      <c r="I976" s="108"/>
    </row>
    <row r="977" spans="1:10" x14ac:dyDescent="0.25">
      <c r="A977" s="68"/>
      <c r="B977" s="108"/>
      <c r="C977" s="69"/>
      <c r="D977" s="70"/>
      <c r="E977" s="70"/>
      <c r="F977" s="114"/>
      <c r="G977" s="114"/>
      <c r="H977" s="47"/>
    </row>
    <row r="978" spans="1:10" x14ac:dyDescent="0.25">
      <c r="A978" s="83" t="s">
        <v>221</v>
      </c>
      <c r="B978" s="78" t="s">
        <v>85</v>
      </c>
      <c r="C978" s="78" t="s">
        <v>164</v>
      </c>
      <c r="D978" s="71"/>
      <c r="E978" s="71"/>
      <c r="F978" s="71"/>
      <c r="G978" s="71"/>
      <c r="H978" s="47"/>
    </row>
    <row r="979" spans="1:10" x14ac:dyDescent="0.25">
      <c r="A979" s="81" t="s">
        <v>16</v>
      </c>
      <c r="B979" s="638">
        <v>2014</v>
      </c>
      <c r="C979" s="458">
        <v>2015</v>
      </c>
      <c r="D979" s="458">
        <v>2016</v>
      </c>
      <c r="E979" s="458">
        <v>2017</v>
      </c>
      <c r="F979" s="458">
        <v>2018</v>
      </c>
      <c r="G979" s="458">
        <v>2019</v>
      </c>
      <c r="H979" s="303">
        <v>2020</v>
      </c>
      <c r="I979" s="303">
        <v>2021</v>
      </c>
      <c r="J979" s="303">
        <v>2022</v>
      </c>
    </row>
    <row r="980" spans="1:10" x14ac:dyDescent="0.25">
      <c r="A980" s="73" t="s">
        <v>17</v>
      </c>
      <c r="B980" s="126">
        <v>35</v>
      </c>
      <c r="C980" s="126">
        <v>35</v>
      </c>
      <c r="D980" s="235">
        <v>35</v>
      </c>
      <c r="E980" s="235">
        <v>35</v>
      </c>
      <c r="F980" s="235">
        <v>35</v>
      </c>
      <c r="G980" s="235">
        <v>35</v>
      </c>
      <c r="H980" s="94">
        <v>29.4</v>
      </c>
      <c r="I980" s="94">
        <v>29.4</v>
      </c>
      <c r="J980" s="94">
        <v>29.4</v>
      </c>
    </row>
    <row r="981" spans="1:10" x14ac:dyDescent="0.25">
      <c r="A981" s="73" t="s">
        <v>18</v>
      </c>
      <c r="B981" s="126">
        <v>35</v>
      </c>
      <c r="C981" s="126">
        <v>42</v>
      </c>
      <c r="D981" s="235">
        <v>42</v>
      </c>
      <c r="E981" s="235">
        <v>42</v>
      </c>
      <c r="F981" s="235">
        <v>42</v>
      </c>
      <c r="G981" s="235">
        <v>42</v>
      </c>
      <c r="H981" s="94">
        <v>36.4</v>
      </c>
      <c r="I981" s="94">
        <v>36.4</v>
      </c>
      <c r="J981" s="94">
        <v>29.4</v>
      </c>
    </row>
    <row r="982" spans="1:10" x14ac:dyDescent="0.25">
      <c r="A982" s="73" t="s">
        <v>19</v>
      </c>
      <c r="B982" s="579" t="s">
        <v>148</v>
      </c>
      <c r="C982" s="580" t="s">
        <v>161</v>
      </c>
      <c r="D982" s="580" t="s">
        <v>161</v>
      </c>
      <c r="E982" s="580" t="s">
        <v>161</v>
      </c>
      <c r="F982" s="580" t="s">
        <v>161</v>
      </c>
      <c r="G982" s="580" t="s">
        <v>161</v>
      </c>
      <c r="H982" s="352" t="s">
        <v>329</v>
      </c>
      <c r="I982" s="352" t="s">
        <v>329</v>
      </c>
      <c r="J982" s="352"/>
    </row>
    <row r="983" spans="1:10" x14ac:dyDescent="0.25">
      <c r="A983" s="73" t="s">
        <v>20</v>
      </c>
      <c r="B983" s="126">
        <v>9.7799999999999994</v>
      </c>
      <c r="C983" s="126">
        <v>3.07</v>
      </c>
      <c r="D983" s="126">
        <v>26.19</v>
      </c>
      <c r="E983" s="126">
        <v>25.13</v>
      </c>
      <c r="F983" s="126">
        <v>24.55</v>
      </c>
      <c r="G983" s="126">
        <v>12.91</v>
      </c>
      <c r="H983" s="94">
        <v>20.36</v>
      </c>
      <c r="I983" s="94">
        <v>20.36</v>
      </c>
      <c r="J983" s="94"/>
    </row>
    <row r="984" spans="1:10" x14ac:dyDescent="0.25">
      <c r="A984" s="73" t="s">
        <v>21</v>
      </c>
      <c r="B984" s="126">
        <v>25.22</v>
      </c>
      <c r="C984" s="126">
        <v>38.93</v>
      </c>
      <c r="D984" s="126">
        <v>15.81</v>
      </c>
      <c r="E984" s="126">
        <v>16.87</v>
      </c>
      <c r="F984" s="126">
        <v>17.45</v>
      </c>
      <c r="G984" s="126">
        <f>G981-G983</f>
        <v>29.09</v>
      </c>
      <c r="H984" s="94">
        <f>H981-H983</f>
        <v>16.04</v>
      </c>
      <c r="I984" s="94"/>
      <c r="J984" s="94"/>
    </row>
    <row r="985" spans="1:10" x14ac:dyDescent="0.25">
      <c r="A985" s="165" t="s">
        <v>22</v>
      </c>
      <c r="B985" s="337">
        <v>2016</v>
      </c>
      <c r="C985" s="337">
        <v>2017</v>
      </c>
      <c r="D985" s="336">
        <v>2018</v>
      </c>
      <c r="E985" s="336">
        <v>2019</v>
      </c>
      <c r="F985" s="336">
        <v>2020</v>
      </c>
      <c r="G985" s="336">
        <v>2021</v>
      </c>
      <c r="H985" s="336"/>
      <c r="I985" s="336"/>
      <c r="J985" s="336"/>
    </row>
    <row r="986" spans="1:10" x14ac:dyDescent="0.25">
      <c r="A986" s="165" t="s">
        <v>162</v>
      </c>
      <c r="B986" s="577"/>
      <c r="C986" s="577"/>
      <c r="D986" s="573"/>
      <c r="E986" s="573"/>
      <c r="F986" s="573"/>
      <c r="G986" s="573"/>
      <c r="H986" s="573"/>
      <c r="I986" s="573"/>
      <c r="J986" s="581"/>
    </row>
    <row r="987" spans="1:10" x14ac:dyDescent="0.25">
      <c r="A987" s="828" t="s">
        <v>698</v>
      </c>
      <c r="B987" s="826"/>
      <c r="C987" s="826"/>
      <c r="D987" s="823"/>
      <c r="E987" s="823"/>
      <c r="F987" s="823"/>
      <c r="G987" s="823"/>
      <c r="H987" s="823"/>
      <c r="I987" s="823"/>
      <c r="J987" s="827"/>
    </row>
    <row r="988" spans="1:10" x14ac:dyDescent="0.25">
      <c r="A988" s="582" t="s">
        <v>600</v>
      </c>
      <c r="B988" s="583"/>
      <c r="C988" s="583"/>
      <c r="D988" s="583"/>
      <c r="E988" s="583"/>
      <c r="F988" s="583"/>
      <c r="G988" s="583"/>
      <c r="H988" s="583"/>
      <c r="I988" s="583"/>
      <c r="J988" s="584"/>
    </row>
    <row r="989" spans="1:10" x14ac:dyDescent="0.25">
      <c r="A989" s="68"/>
      <c r="B989" s="108"/>
      <c r="C989" s="69"/>
      <c r="D989" s="70"/>
      <c r="E989" s="70"/>
      <c r="F989" s="114"/>
      <c r="G989" s="114"/>
      <c r="H989" s="47"/>
    </row>
    <row r="990" spans="1:10" x14ac:dyDescent="0.25">
      <c r="A990" s="83" t="s">
        <v>14</v>
      </c>
      <c r="B990" s="78" t="s">
        <v>90</v>
      </c>
      <c r="C990" s="78" t="s">
        <v>164</v>
      </c>
      <c r="D990" s="71"/>
      <c r="E990" s="71"/>
      <c r="F990" s="71"/>
      <c r="G990" s="71"/>
      <c r="H990" s="47"/>
    </row>
    <row r="991" spans="1:10" x14ac:dyDescent="0.25">
      <c r="A991" s="81" t="s">
        <v>16</v>
      </c>
      <c r="B991" s="638">
        <v>2014</v>
      </c>
      <c r="C991" s="458">
        <v>2015</v>
      </c>
      <c r="D991" s="458">
        <v>2016</v>
      </c>
      <c r="E991" s="458">
        <v>2017</v>
      </c>
      <c r="F991" s="458">
        <v>2018</v>
      </c>
      <c r="G991" s="458">
        <v>2019</v>
      </c>
      <c r="H991" s="303">
        <v>2020</v>
      </c>
      <c r="I991" s="286">
        <v>2021</v>
      </c>
      <c r="J991" s="286">
        <v>2022</v>
      </c>
    </row>
    <row r="992" spans="1:10" x14ac:dyDescent="0.25">
      <c r="A992" s="73" t="s">
        <v>17</v>
      </c>
      <c r="B992" s="126">
        <v>20</v>
      </c>
      <c r="C992" s="126">
        <v>20</v>
      </c>
      <c r="D992" s="235">
        <v>20</v>
      </c>
      <c r="E992" s="235">
        <v>20</v>
      </c>
      <c r="F992" s="235">
        <v>20</v>
      </c>
      <c r="G992" s="235">
        <v>20</v>
      </c>
      <c r="H992" s="235">
        <v>20</v>
      </c>
      <c r="I992" s="235">
        <v>20</v>
      </c>
      <c r="J992" s="235">
        <v>20</v>
      </c>
    </row>
    <row r="993" spans="1:10" x14ac:dyDescent="0.25">
      <c r="A993" s="73" t="s">
        <v>18</v>
      </c>
      <c r="B993" s="126">
        <v>20</v>
      </c>
      <c r="C993" s="126">
        <v>24</v>
      </c>
      <c r="D993" s="235">
        <v>24</v>
      </c>
      <c r="E993" s="235">
        <v>24</v>
      </c>
      <c r="F993" s="235">
        <v>24</v>
      </c>
      <c r="G993" s="235">
        <v>24</v>
      </c>
      <c r="H993" s="235">
        <v>24</v>
      </c>
      <c r="I993" s="235">
        <v>24</v>
      </c>
      <c r="J993" s="235">
        <v>20</v>
      </c>
    </row>
    <row r="994" spans="1:10" x14ac:dyDescent="0.25">
      <c r="A994" s="73" t="s">
        <v>19</v>
      </c>
      <c r="B994" s="579" t="s">
        <v>148</v>
      </c>
      <c r="C994" s="579" t="s">
        <v>163</v>
      </c>
      <c r="D994" s="579" t="s">
        <v>163</v>
      </c>
      <c r="E994" s="579" t="s">
        <v>163</v>
      </c>
      <c r="F994" s="579" t="s">
        <v>163</v>
      </c>
      <c r="G994" s="579" t="s">
        <v>163</v>
      </c>
      <c r="H994" s="579" t="s">
        <v>163</v>
      </c>
      <c r="I994" s="579" t="s">
        <v>163</v>
      </c>
      <c r="J994" s="579"/>
    </row>
    <row r="995" spans="1:10" x14ac:dyDescent="0.25">
      <c r="A995" s="73" t="s">
        <v>20</v>
      </c>
      <c r="B995" s="126">
        <v>0.15</v>
      </c>
      <c r="C995" s="126">
        <v>0</v>
      </c>
      <c r="D995" s="126">
        <v>0</v>
      </c>
      <c r="E995" s="126">
        <v>0.14000000000000001</v>
      </c>
      <c r="F995" s="126">
        <v>0</v>
      </c>
      <c r="G995" s="126">
        <v>0</v>
      </c>
      <c r="H995" s="94">
        <v>0</v>
      </c>
      <c r="I995" s="130"/>
      <c r="J995" s="130"/>
    </row>
    <row r="996" spans="1:10" x14ac:dyDescent="0.25">
      <c r="A996" s="73" t="s">
        <v>21</v>
      </c>
      <c r="B996" s="126">
        <v>19.850000000000001</v>
      </c>
      <c r="C996" s="126">
        <v>24</v>
      </c>
      <c r="D996" s="126">
        <v>24</v>
      </c>
      <c r="E996" s="126">
        <v>23.86</v>
      </c>
      <c r="F996" s="126">
        <v>24</v>
      </c>
      <c r="G996" s="126">
        <f>G993-G995</f>
        <v>24</v>
      </c>
      <c r="H996" s="126">
        <f>H993-H995</f>
        <v>24</v>
      </c>
      <c r="I996" s="130"/>
      <c r="J996" s="130"/>
    </row>
    <row r="997" spans="1:10" x14ac:dyDescent="0.25">
      <c r="A997" s="73" t="s">
        <v>22</v>
      </c>
      <c r="B997" s="319">
        <v>2016</v>
      </c>
      <c r="C997" s="319">
        <v>2017</v>
      </c>
      <c r="D997" s="326">
        <v>2018</v>
      </c>
      <c r="E997" s="326">
        <v>2019</v>
      </c>
      <c r="F997" s="326">
        <v>2020</v>
      </c>
      <c r="G997" s="326">
        <v>2021</v>
      </c>
      <c r="H997" s="326"/>
      <c r="I997" s="326"/>
      <c r="J997" s="326"/>
    </row>
    <row r="998" spans="1:10" x14ac:dyDescent="0.25">
      <c r="A998" s="165" t="s">
        <v>162</v>
      </c>
      <c r="B998" s="577"/>
      <c r="C998" s="577"/>
      <c r="D998" s="573"/>
      <c r="E998" s="573"/>
      <c r="F998" s="573"/>
      <c r="G998" s="573"/>
      <c r="H998" s="573"/>
      <c r="I998" s="573"/>
      <c r="J998" s="581"/>
    </row>
    <row r="999" spans="1:10" x14ac:dyDescent="0.25">
      <c r="A999" s="582" t="s">
        <v>600</v>
      </c>
      <c r="B999" s="583"/>
      <c r="C999" s="583"/>
      <c r="D999" s="583"/>
      <c r="E999" s="583"/>
      <c r="F999" s="583"/>
      <c r="G999" s="583"/>
      <c r="H999" s="583"/>
      <c r="I999" s="583"/>
      <c r="J999" s="584"/>
    </row>
    <row r="1000" spans="1:10" x14ac:dyDescent="0.25">
      <c r="A1000" s="68"/>
      <c r="B1000" s="108"/>
      <c r="C1000" s="69"/>
      <c r="D1000" s="70"/>
      <c r="E1000" s="70"/>
      <c r="F1000" s="114"/>
      <c r="G1000" s="114"/>
      <c r="H1000" s="47"/>
    </row>
    <row r="1001" spans="1:10" x14ac:dyDescent="0.25">
      <c r="A1001" s="380"/>
      <c r="C1001" s="381"/>
      <c r="D1001" s="2"/>
      <c r="E1001" s="2"/>
      <c r="H1001" s="2"/>
    </row>
    <row r="1002" spans="1:10" x14ac:dyDescent="0.25">
      <c r="A1002" s="636" t="s">
        <v>24</v>
      </c>
      <c r="B1002" s="637" t="s">
        <v>447</v>
      </c>
      <c r="C1002" s="164"/>
      <c r="D1002" s="2"/>
      <c r="E1002" s="2"/>
      <c r="F1002" s="2"/>
      <c r="G1002" s="2"/>
      <c r="H1002" s="2"/>
    </row>
    <row r="1003" spans="1:10" x14ac:dyDescent="0.25">
      <c r="A1003" s="550" t="s">
        <v>14</v>
      </c>
      <c r="B1003" s="314" t="s">
        <v>85</v>
      </c>
      <c r="C1003" s="314" t="s">
        <v>164</v>
      </c>
    </row>
    <row r="1004" spans="1:10" x14ac:dyDescent="0.25">
      <c r="A1004" s="136" t="s">
        <v>16</v>
      </c>
      <c r="B1004" s="641">
        <v>2016</v>
      </c>
      <c r="C1004" s="286">
        <v>2017</v>
      </c>
      <c r="D1004" s="286">
        <v>2018</v>
      </c>
      <c r="E1004" s="286">
        <v>2019</v>
      </c>
      <c r="F1004" s="286">
        <v>2020</v>
      </c>
      <c r="G1004" s="750">
        <v>2021</v>
      </c>
    </row>
    <row r="1005" spans="1:10" x14ac:dyDescent="0.25">
      <c r="A1005" s="315" t="s">
        <v>17</v>
      </c>
      <c r="B1005" s="130">
        <v>10</v>
      </c>
      <c r="C1005" s="130">
        <v>10</v>
      </c>
      <c r="D1005" s="130">
        <v>10</v>
      </c>
      <c r="E1005" s="130">
        <v>10</v>
      </c>
      <c r="F1005" s="130">
        <v>10</v>
      </c>
      <c r="G1005" s="242">
        <v>10</v>
      </c>
    </row>
    <row r="1006" spans="1:10" x14ac:dyDescent="0.25">
      <c r="A1006" s="315" t="s">
        <v>18</v>
      </c>
      <c r="B1006" s="130">
        <v>10</v>
      </c>
      <c r="C1006" s="130">
        <f>C1005+B1009</f>
        <v>-106.85</v>
      </c>
      <c r="D1006" s="130">
        <f t="shared" ref="D1006:F1006" si="21">D1005+C1009</f>
        <v>-107.18599999999999</v>
      </c>
      <c r="E1006" s="130">
        <f t="shared" si="21"/>
        <v>-97.965349999999987</v>
      </c>
      <c r="F1006" s="130">
        <f t="shared" si="21"/>
        <v>-89.945349999999991</v>
      </c>
      <c r="G1006" s="242">
        <f>F1009+G1005</f>
        <v>-81.765349999999984</v>
      </c>
    </row>
    <row r="1007" spans="1:10" x14ac:dyDescent="0.25">
      <c r="A1007" s="6" t="s">
        <v>19</v>
      </c>
      <c r="B1007" s="306"/>
      <c r="C1007" s="290" t="s">
        <v>448</v>
      </c>
      <c r="D1007" s="290" t="s">
        <v>449</v>
      </c>
      <c r="E1007" s="290" t="s">
        <v>450</v>
      </c>
      <c r="F1007" s="290" t="s">
        <v>451</v>
      </c>
      <c r="G1007" s="369" t="s">
        <v>666</v>
      </c>
    </row>
    <row r="1008" spans="1:10" x14ac:dyDescent="0.25">
      <c r="A1008" s="6" t="s">
        <v>20</v>
      </c>
      <c r="B1008" s="306">
        <v>126.85</v>
      </c>
      <c r="C1008" s="290">
        <v>10.336</v>
      </c>
      <c r="D1008" s="290">
        <v>0.77934999999999999</v>
      </c>
      <c r="E1008" s="290">
        <v>1.98</v>
      </c>
      <c r="F1008" s="290">
        <v>1.82</v>
      </c>
      <c r="G1008" s="369"/>
    </row>
    <row r="1009" spans="1:8" x14ac:dyDescent="0.25">
      <c r="A1009" s="6" t="s">
        <v>21</v>
      </c>
      <c r="B1009" s="94">
        <f>B1006-B1008</f>
        <v>-116.85</v>
      </c>
      <c r="C1009" s="130">
        <f>C1006-C1008</f>
        <v>-117.18599999999999</v>
      </c>
      <c r="D1009" s="130">
        <f t="shared" ref="D1009:E1009" si="22">D1006-D1008</f>
        <v>-107.96534999999999</v>
      </c>
      <c r="E1009" s="130">
        <f t="shared" si="22"/>
        <v>-99.945349999999991</v>
      </c>
      <c r="F1009" s="130">
        <f>F1006-F1008</f>
        <v>-91.765349999999984</v>
      </c>
      <c r="G1009" s="242"/>
    </row>
    <row r="1010" spans="1:8" x14ac:dyDescent="0.25">
      <c r="A1010" s="8" t="s">
        <v>22</v>
      </c>
      <c r="B1010" s="382">
        <v>2017</v>
      </c>
      <c r="C1010" s="383">
        <v>2018</v>
      </c>
      <c r="D1010" s="383">
        <v>2019</v>
      </c>
      <c r="E1010" s="383">
        <v>2020</v>
      </c>
      <c r="F1010" s="383">
        <v>2021</v>
      </c>
      <c r="G1010" s="751">
        <v>2022</v>
      </c>
    </row>
    <row r="1011" spans="1:8" x14ac:dyDescent="0.25">
      <c r="A1011" s="8" t="s">
        <v>196</v>
      </c>
      <c r="B1011" s="9"/>
      <c r="C1011" s="132"/>
      <c r="D1011" s="132"/>
      <c r="E1011" s="132"/>
      <c r="F1011" s="132"/>
      <c r="G1011" s="248"/>
    </row>
    <row r="1012" spans="1:8" x14ac:dyDescent="0.25">
      <c r="A1012" s="384" t="s">
        <v>452</v>
      </c>
      <c r="B1012" s="47"/>
      <c r="C1012" s="108"/>
      <c r="D1012" s="108"/>
      <c r="E1012" s="108"/>
      <c r="F1012" s="108"/>
      <c r="G1012" s="110"/>
    </row>
    <row r="1013" spans="1:8" x14ac:dyDescent="0.25">
      <c r="A1013" s="384" t="s">
        <v>453</v>
      </c>
      <c r="B1013" s="47"/>
      <c r="C1013" s="108"/>
      <c r="D1013" s="108"/>
      <c r="E1013" s="108"/>
      <c r="F1013" s="108"/>
      <c r="G1013" s="110"/>
    </row>
    <row r="1014" spans="1:8" x14ac:dyDescent="0.25">
      <c r="A1014" s="384" t="s">
        <v>454</v>
      </c>
      <c r="B1014" s="47"/>
      <c r="C1014" s="108"/>
      <c r="D1014" s="108"/>
      <c r="E1014" s="108"/>
      <c r="F1014" s="108"/>
      <c r="G1014" s="110"/>
    </row>
    <row r="1015" spans="1:8" s="95" customFormat="1" x14ac:dyDescent="0.25">
      <c r="A1015" s="744" t="s">
        <v>665</v>
      </c>
      <c r="B1015" s="745"/>
      <c r="C1015" s="746"/>
      <c r="D1015" s="745"/>
      <c r="E1015" s="745"/>
      <c r="F1015" s="745"/>
      <c r="G1015" s="747"/>
    </row>
    <row r="1016" spans="1:8" s="95" customFormat="1" x14ac:dyDescent="0.25">
      <c r="A1016" s="748" t="s">
        <v>667</v>
      </c>
      <c r="B1016" s="413"/>
      <c r="C1016" s="749"/>
      <c r="D1016" s="413"/>
      <c r="E1016" s="413"/>
      <c r="F1016" s="413"/>
      <c r="G1016" s="414"/>
    </row>
    <row r="1017" spans="1:8" x14ac:dyDescent="0.25">
      <c r="A1017" s="380"/>
      <c r="C1017" s="381"/>
      <c r="D1017" s="2"/>
      <c r="E1017" s="2"/>
      <c r="H1017" s="2"/>
    </row>
    <row r="1019" spans="1:8" x14ac:dyDescent="0.25">
      <c r="A1019" s="1" t="s">
        <v>11</v>
      </c>
      <c r="B1019" s="722" t="s">
        <v>0</v>
      </c>
      <c r="C1019" s="164"/>
      <c r="D1019" s="2"/>
      <c r="E1019" s="2"/>
      <c r="F1019" s="2"/>
    </row>
    <row r="1020" spans="1:8" s="591" customFormat="1" x14ac:dyDescent="0.25">
      <c r="A1020" s="3" t="s">
        <v>1</v>
      </c>
      <c r="B1020" s="4" t="s">
        <v>224</v>
      </c>
      <c r="C1020" s="5" t="s">
        <v>2</v>
      </c>
      <c r="D1020" s="2"/>
      <c r="E1020" s="2"/>
      <c r="F1020" s="2"/>
      <c r="G1020" s="2"/>
    </row>
    <row r="1021" spans="1:8" s="591" customFormat="1" x14ac:dyDescent="0.25">
      <c r="A1021" s="6" t="s">
        <v>3</v>
      </c>
      <c r="B1021" s="303">
        <v>2017</v>
      </c>
      <c r="C1021" s="303">
        <v>2018</v>
      </c>
      <c r="D1021" s="304">
        <v>2019</v>
      </c>
      <c r="E1021" s="303">
        <v>2020</v>
      </c>
      <c r="F1021" s="303">
        <v>2021</v>
      </c>
      <c r="G1021" s="303">
        <v>2022</v>
      </c>
    </row>
    <row r="1022" spans="1:8" s="591" customFormat="1" x14ac:dyDescent="0.25">
      <c r="A1022" s="6" t="s">
        <v>4</v>
      </c>
      <c r="B1022" s="306">
        <v>200</v>
      </c>
      <c r="C1022" s="306">
        <v>200</v>
      </c>
      <c r="D1022" s="307">
        <v>215</v>
      </c>
      <c r="E1022" s="306">
        <v>215</v>
      </c>
      <c r="F1022" s="308">
        <v>242</v>
      </c>
      <c r="G1022" s="308">
        <v>242</v>
      </c>
    </row>
    <row r="1023" spans="1:8" s="591" customFormat="1" x14ac:dyDescent="0.25">
      <c r="A1023" s="6" t="s">
        <v>5</v>
      </c>
      <c r="B1023" s="306">
        <v>250</v>
      </c>
      <c r="C1023" s="306">
        <v>250</v>
      </c>
      <c r="D1023" s="307">
        <v>265</v>
      </c>
      <c r="E1023" s="306">
        <v>265</v>
      </c>
      <c r="F1023" s="308">
        <f>F1022+0.25*D1022</f>
        <v>295.75</v>
      </c>
      <c r="G1023" s="308">
        <f>G1022+0.25*E1022</f>
        <v>295.75</v>
      </c>
    </row>
    <row r="1024" spans="1:8" s="591" customFormat="1" x14ac:dyDescent="0.25">
      <c r="A1024" s="6" t="s">
        <v>6</v>
      </c>
      <c r="B1024" s="306"/>
      <c r="C1024" s="306"/>
      <c r="D1024" s="306"/>
      <c r="E1024" s="306"/>
      <c r="F1024" s="308"/>
      <c r="G1024" s="308"/>
    </row>
    <row r="1025" spans="1:7" s="591" customFormat="1" x14ac:dyDescent="0.25">
      <c r="A1025" s="6" t="s">
        <v>7</v>
      </c>
      <c r="B1025" s="306">
        <v>20</v>
      </c>
      <c r="C1025" s="306">
        <v>20</v>
      </c>
      <c r="D1025" s="306">
        <v>25</v>
      </c>
      <c r="E1025" s="306">
        <v>29</v>
      </c>
      <c r="F1025" s="308"/>
      <c r="G1025" s="308"/>
    </row>
    <row r="1026" spans="1:7" s="591" customFormat="1" x14ac:dyDescent="0.25">
      <c r="A1026" s="6" t="s">
        <v>8</v>
      </c>
      <c r="B1026" s="306">
        <v>230</v>
      </c>
      <c r="C1026" s="306">
        <v>230</v>
      </c>
      <c r="D1026" s="306">
        <v>240</v>
      </c>
      <c r="E1026" s="306">
        <v>236</v>
      </c>
      <c r="F1026" s="308"/>
      <c r="G1026" s="308"/>
    </row>
    <row r="1027" spans="1:7" s="591" customFormat="1" x14ac:dyDescent="0.25">
      <c r="A1027" s="6" t="s">
        <v>9</v>
      </c>
      <c r="B1027" s="53">
        <v>2019</v>
      </c>
      <c r="C1027" s="53">
        <v>2020</v>
      </c>
      <c r="D1027" s="342">
        <v>2021</v>
      </c>
      <c r="E1027" s="53">
        <v>2022</v>
      </c>
      <c r="F1027" s="338">
        <v>2023</v>
      </c>
      <c r="G1027" s="338">
        <v>2024</v>
      </c>
    </row>
    <row r="1028" spans="1:7" s="591" customFormat="1" x14ac:dyDescent="0.25">
      <c r="A1028" s="6" t="s">
        <v>10</v>
      </c>
      <c r="B1028" s="54"/>
      <c r="C1028" s="54"/>
      <c r="D1028" s="54"/>
      <c r="E1028" s="54"/>
      <c r="F1028" s="54"/>
      <c r="G1028" s="48"/>
    </row>
    <row r="1029" spans="1:7" s="591" customFormat="1" x14ac:dyDescent="0.25">
      <c r="A1029" s="912" t="s">
        <v>601</v>
      </c>
      <c r="B1029" s="913"/>
      <c r="C1029" s="913"/>
      <c r="D1029" s="913"/>
      <c r="E1029" s="913"/>
      <c r="F1029" s="913"/>
      <c r="G1029" s="914"/>
    </row>
    <row r="1030" spans="1:7" s="591" customFormat="1" x14ac:dyDescent="0.25">
      <c r="A1030" s="915" t="s">
        <v>602</v>
      </c>
      <c r="B1030" s="916"/>
      <c r="C1030" s="916"/>
      <c r="D1030" s="916"/>
      <c r="E1030" s="916"/>
      <c r="F1030" s="916"/>
      <c r="G1030" s="917"/>
    </row>
    <row r="1031" spans="1:7" s="114" customFormat="1" x14ac:dyDescent="0.25">
      <c r="A1031" s="918" t="s">
        <v>603</v>
      </c>
      <c r="B1031" s="919"/>
      <c r="C1031" s="919"/>
      <c r="D1031" s="919"/>
      <c r="E1031" s="919"/>
      <c r="F1031" s="919"/>
      <c r="G1031" s="920"/>
    </row>
    <row r="1032" spans="1:7" s="114" customFormat="1" x14ac:dyDescent="0.25">
      <c r="A1032" s="401"/>
      <c r="B1032" s="401"/>
      <c r="C1032" s="70"/>
      <c r="D1032" s="70"/>
      <c r="E1032" s="70"/>
      <c r="F1032" s="70"/>
    </row>
    <row r="1033" spans="1:7" x14ac:dyDescent="0.25">
      <c r="A1033" s="3" t="s">
        <v>1</v>
      </c>
      <c r="B1033" s="4" t="s">
        <v>220</v>
      </c>
      <c r="C1033" s="5" t="s">
        <v>2</v>
      </c>
      <c r="D1033" s="2"/>
      <c r="E1033" s="2"/>
      <c r="F1033" s="2"/>
    </row>
    <row r="1034" spans="1:7" x14ac:dyDescent="0.25">
      <c r="A1034" s="6" t="s">
        <v>3</v>
      </c>
      <c r="B1034" s="303">
        <v>2017</v>
      </c>
      <c r="C1034" s="303">
        <v>2018</v>
      </c>
      <c r="D1034" s="304">
        <v>2019</v>
      </c>
      <c r="E1034" s="303">
        <v>2020</v>
      </c>
      <c r="F1034" s="303">
        <v>2021</v>
      </c>
      <c r="G1034" s="303">
        <v>2022</v>
      </c>
    </row>
    <row r="1035" spans="1:7" x14ac:dyDescent="0.25">
      <c r="A1035" s="6" t="s">
        <v>4</v>
      </c>
      <c r="B1035" s="306">
        <v>850</v>
      </c>
      <c r="C1035" s="306">
        <v>850</v>
      </c>
      <c r="D1035" s="307">
        <v>850</v>
      </c>
      <c r="E1035" s="306">
        <v>850</v>
      </c>
      <c r="F1035" s="308">
        <v>850</v>
      </c>
      <c r="G1035" s="308">
        <v>850</v>
      </c>
    </row>
    <row r="1036" spans="1:7" x14ac:dyDescent="0.25">
      <c r="A1036" s="6" t="s">
        <v>5</v>
      </c>
      <c r="B1036" s="306">
        <v>950</v>
      </c>
      <c r="C1036" s="369">
        <v>900</v>
      </c>
      <c r="D1036" s="753">
        <v>1000</v>
      </c>
      <c r="E1036" s="369">
        <v>995</v>
      </c>
      <c r="F1036" s="361">
        <v>1095</v>
      </c>
      <c r="G1036" s="361">
        <v>1101.6600000000001</v>
      </c>
    </row>
    <row r="1037" spans="1:7" x14ac:dyDescent="0.25">
      <c r="A1037" s="6" t="s">
        <v>6</v>
      </c>
      <c r="B1037" s="306"/>
      <c r="C1037" s="306"/>
      <c r="D1037" s="307"/>
      <c r="E1037" s="306"/>
      <c r="F1037" s="308"/>
      <c r="G1037" s="308"/>
    </row>
    <row r="1038" spans="1:7" x14ac:dyDescent="0.25">
      <c r="A1038" s="6" t="s">
        <v>7</v>
      </c>
      <c r="B1038" s="306">
        <v>900</v>
      </c>
      <c r="C1038" s="306">
        <v>950</v>
      </c>
      <c r="D1038" s="307">
        <v>950</v>
      </c>
      <c r="E1038" s="306">
        <v>935.82</v>
      </c>
      <c r="F1038" s="308"/>
      <c r="G1038" s="308"/>
    </row>
    <row r="1039" spans="1:7" x14ac:dyDescent="0.25">
      <c r="A1039" s="6" t="s">
        <v>8</v>
      </c>
      <c r="B1039" s="306">
        <f>B1036-B1038</f>
        <v>50</v>
      </c>
      <c r="C1039" s="369">
        <f t="shared" ref="C1039:E1039" si="23">C1036-C1038</f>
        <v>-50</v>
      </c>
      <c r="D1039" s="369">
        <f t="shared" si="23"/>
        <v>50</v>
      </c>
      <c r="E1039" s="369">
        <f t="shared" si="23"/>
        <v>59.17999999999995</v>
      </c>
      <c r="F1039" s="308"/>
      <c r="G1039" s="308"/>
    </row>
    <row r="1040" spans="1:7" ht="13.2" customHeight="1" x14ac:dyDescent="0.25">
      <c r="A1040" s="8" t="s">
        <v>9</v>
      </c>
      <c r="B1040" s="57">
        <v>2019</v>
      </c>
      <c r="C1040" s="57">
        <v>2020</v>
      </c>
      <c r="D1040" s="58">
        <v>2021</v>
      </c>
      <c r="E1040" s="57">
        <v>2022</v>
      </c>
      <c r="F1040" s="59">
        <v>2023</v>
      </c>
      <c r="G1040" s="59">
        <v>2024</v>
      </c>
    </row>
    <row r="1041" spans="1:8" ht="13.2" customHeight="1" x14ac:dyDescent="0.25">
      <c r="A1041" s="504" t="s">
        <v>10</v>
      </c>
      <c r="B1041" s="515"/>
      <c r="C1041" s="515"/>
      <c r="D1041" s="515"/>
      <c r="E1041" s="515"/>
      <c r="F1041" s="515"/>
      <c r="G1041" s="588"/>
    </row>
    <row r="1042" spans="1:8" x14ac:dyDescent="0.25">
      <c r="A1042" s="410" t="s">
        <v>673</v>
      </c>
      <c r="B1042" s="9"/>
      <c r="C1042" s="9"/>
      <c r="D1042" s="9"/>
      <c r="E1042" s="9"/>
      <c r="F1042" s="9"/>
      <c r="G1042" s="248"/>
    </row>
    <row r="1043" spans="1:8" ht="25.8" customHeight="1" x14ac:dyDescent="0.25">
      <c r="A1043" s="360" t="s">
        <v>674</v>
      </c>
      <c r="B1043" s="2"/>
      <c r="C1043" s="2"/>
      <c r="D1043" s="2"/>
      <c r="E1043" s="2"/>
      <c r="F1043" s="2"/>
      <c r="G1043" s="110"/>
    </row>
    <row r="1044" spans="1:8" ht="33" customHeight="1" x14ac:dyDescent="0.25">
      <c r="A1044" s="868" t="s">
        <v>675</v>
      </c>
      <c r="B1044" s="869"/>
      <c r="C1044" s="869"/>
      <c r="D1044" s="869"/>
      <c r="E1044" s="869"/>
      <c r="F1044" s="869"/>
      <c r="G1044" s="870"/>
    </row>
    <row r="1045" spans="1:8" ht="25.2" customHeight="1" x14ac:dyDescent="0.25">
      <c r="A1045" s="871" t="s">
        <v>676</v>
      </c>
      <c r="B1045" s="872"/>
      <c r="C1045" s="872"/>
      <c r="D1045" s="872"/>
      <c r="E1045" s="872"/>
      <c r="F1045" s="872"/>
      <c r="G1045" s="873"/>
    </row>
    <row r="1046" spans="1:8" ht="40.200000000000003" customHeight="1" x14ac:dyDescent="0.25">
      <c r="A1046" s="843" t="s">
        <v>677</v>
      </c>
      <c r="B1046" s="844"/>
      <c r="C1046" s="844"/>
      <c r="D1046" s="844"/>
      <c r="E1046" s="844"/>
      <c r="F1046" s="844"/>
      <c r="G1046" s="867"/>
    </row>
    <row r="1047" spans="1:8" x14ac:dyDescent="0.25">
      <c r="A1047" s="47"/>
      <c r="B1047" s="47"/>
      <c r="C1047" s="47"/>
      <c r="D1047" s="47"/>
      <c r="E1047" s="47"/>
      <c r="F1047" s="47"/>
    </row>
    <row r="1048" spans="1:8" x14ac:dyDescent="0.25">
      <c r="A1048" s="3" t="s">
        <v>1</v>
      </c>
      <c r="B1048" s="4" t="s">
        <v>276</v>
      </c>
      <c r="C1048" s="5" t="s">
        <v>2</v>
      </c>
      <c r="D1048" s="2"/>
      <c r="E1048" s="2"/>
      <c r="F1048" s="2"/>
      <c r="G1048" s="108"/>
      <c r="H1048" s="108"/>
    </row>
    <row r="1049" spans="1:8" x14ac:dyDescent="0.25">
      <c r="A1049" s="6" t="s">
        <v>3</v>
      </c>
      <c r="B1049" s="7"/>
      <c r="C1049" s="53"/>
      <c r="D1049" s="54"/>
      <c r="E1049" s="303">
        <v>2020</v>
      </c>
      <c r="F1049" s="303">
        <v>2021</v>
      </c>
      <c r="G1049" s="108"/>
      <c r="H1049" s="108"/>
    </row>
    <row r="1050" spans="1:8" x14ac:dyDescent="0.25">
      <c r="A1050" s="6" t="s">
        <v>4</v>
      </c>
      <c r="B1050" s="7"/>
      <c r="C1050" s="371"/>
      <c r="D1050" s="259"/>
      <c r="E1050" s="94">
        <v>3284</v>
      </c>
      <c r="F1050" s="261">
        <v>3284</v>
      </c>
      <c r="G1050" s="108"/>
      <c r="H1050" s="108"/>
    </row>
    <row r="1051" spans="1:8" x14ac:dyDescent="0.25">
      <c r="A1051" s="6" t="s">
        <v>5</v>
      </c>
      <c r="B1051" s="7"/>
      <c r="C1051" s="371"/>
      <c r="D1051" s="259"/>
      <c r="E1051" s="94">
        <v>3488.62</v>
      </c>
      <c r="F1051" s="261">
        <v>3318.91</v>
      </c>
      <c r="G1051" s="108"/>
      <c r="H1051" s="108"/>
    </row>
    <row r="1052" spans="1:8" x14ac:dyDescent="0.25">
      <c r="A1052" s="6" t="s">
        <v>6</v>
      </c>
      <c r="B1052" s="7"/>
      <c r="C1052" s="371"/>
      <c r="D1052" s="259"/>
      <c r="E1052" s="94"/>
      <c r="F1052" s="261"/>
      <c r="G1052" s="108"/>
      <c r="H1052" s="108"/>
    </row>
    <row r="1053" spans="1:8" x14ac:dyDescent="0.25">
      <c r="A1053" s="6" t="s">
        <v>7</v>
      </c>
      <c r="B1053" s="7"/>
      <c r="C1053" s="371"/>
      <c r="D1053" s="259"/>
      <c r="E1053" s="94">
        <v>3453.71</v>
      </c>
      <c r="F1053" s="261"/>
    </row>
    <row r="1054" spans="1:8" x14ac:dyDescent="0.25">
      <c r="A1054" s="6" t="s">
        <v>8</v>
      </c>
      <c r="B1054" s="7"/>
      <c r="C1054" s="371"/>
      <c r="D1054" s="259"/>
      <c r="E1054" s="94">
        <v>34.909999999999997</v>
      </c>
      <c r="F1054" s="261"/>
    </row>
    <row r="1055" spans="1:8" x14ac:dyDescent="0.25">
      <c r="A1055" s="6" t="s">
        <v>9</v>
      </c>
      <c r="B1055" s="7"/>
      <c r="C1055" s="53"/>
      <c r="D1055" s="54"/>
      <c r="E1055" s="53">
        <v>2020</v>
      </c>
      <c r="F1055" s="338">
        <v>2021</v>
      </c>
    </row>
    <row r="1056" spans="1:8" x14ac:dyDescent="0.25">
      <c r="A1056" s="8" t="s">
        <v>10</v>
      </c>
      <c r="B1056" s="9"/>
      <c r="C1056" s="9"/>
      <c r="D1056" s="9"/>
      <c r="E1056" s="9"/>
      <c r="F1056" s="10"/>
    </row>
    <row r="1057" spans="1:8" x14ac:dyDescent="0.25">
      <c r="A1057" s="593" t="s">
        <v>277</v>
      </c>
      <c r="B1057" s="9"/>
      <c r="C1057" s="9"/>
      <c r="D1057" s="9"/>
      <c r="E1057" s="9"/>
      <c r="F1057" s="10"/>
    </row>
    <row r="1058" spans="1:8" x14ac:dyDescent="0.25">
      <c r="A1058" s="594" t="s">
        <v>604</v>
      </c>
      <c r="B1058" s="595"/>
      <c r="C1058" s="595"/>
      <c r="D1058" s="595"/>
      <c r="E1058" s="595"/>
      <c r="F1058" s="596"/>
      <c r="G1058" s="592"/>
    </row>
    <row r="1059" spans="1:8" x14ac:dyDescent="0.25">
      <c r="A1059" s="11"/>
      <c r="B1059" s="12"/>
      <c r="C1059" s="12"/>
      <c r="D1059" s="47"/>
      <c r="E1059" s="47"/>
      <c r="F1059" s="47"/>
    </row>
    <row r="1060" spans="1:8" x14ac:dyDescent="0.25">
      <c r="A1060" s="3" t="s">
        <v>1</v>
      </c>
      <c r="B1060" s="4" t="s">
        <v>85</v>
      </c>
      <c r="C1060" s="5" t="s">
        <v>2</v>
      </c>
      <c r="D1060" s="2"/>
      <c r="E1060" s="2"/>
      <c r="F1060" s="2"/>
      <c r="G1060" s="108"/>
      <c r="H1060" s="108"/>
    </row>
    <row r="1061" spans="1:8" x14ac:dyDescent="0.25">
      <c r="A1061" s="6" t="s">
        <v>3</v>
      </c>
      <c r="B1061" s="303">
        <v>2017</v>
      </c>
      <c r="C1061" s="303">
        <v>2018</v>
      </c>
      <c r="D1061" s="304">
        <v>2019</v>
      </c>
      <c r="E1061" s="303">
        <v>2020</v>
      </c>
      <c r="F1061" s="303">
        <v>2021</v>
      </c>
      <c r="G1061" s="303">
        <v>2022</v>
      </c>
      <c r="H1061" s="576"/>
    </row>
    <row r="1062" spans="1:8" x14ac:dyDescent="0.25">
      <c r="A1062" s="6" t="s">
        <v>4</v>
      </c>
      <c r="B1062" s="94">
        <v>10</v>
      </c>
      <c r="C1062" s="371">
        <v>10</v>
      </c>
      <c r="D1062" s="259">
        <v>10</v>
      </c>
      <c r="E1062" s="94">
        <v>10</v>
      </c>
      <c r="F1062" s="261">
        <v>10</v>
      </c>
      <c r="G1062" s="261">
        <v>10</v>
      </c>
      <c r="H1062" s="597"/>
    </row>
    <row r="1063" spans="1:8" x14ac:dyDescent="0.25">
      <c r="A1063" s="6" t="s">
        <v>5</v>
      </c>
      <c r="B1063" s="94">
        <v>10</v>
      </c>
      <c r="C1063" s="371">
        <v>-62</v>
      </c>
      <c r="D1063" s="259">
        <v>-52</v>
      </c>
      <c r="E1063" s="94">
        <v>-42</v>
      </c>
      <c r="F1063" s="261">
        <v>-32</v>
      </c>
      <c r="G1063" s="261"/>
      <c r="H1063" s="597"/>
    </row>
    <row r="1064" spans="1:8" x14ac:dyDescent="0.25">
      <c r="A1064" s="6" t="s">
        <v>6</v>
      </c>
      <c r="B1064" s="94"/>
      <c r="C1064" s="371"/>
      <c r="D1064" s="259"/>
      <c r="E1064" s="94"/>
      <c r="F1064" s="261"/>
      <c r="G1064" s="261"/>
      <c r="H1064" s="597"/>
    </row>
    <row r="1065" spans="1:8" x14ac:dyDescent="0.25">
      <c r="A1065" s="6" t="s">
        <v>7</v>
      </c>
      <c r="B1065" s="94">
        <v>82</v>
      </c>
      <c r="C1065" s="371">
        <v>0</v>
      </c>
      <c r="D1065" s="259">
        <v>0</v>
      </c>
      <c r="E1065" s="94">
        <v>0</v>
      </c>
      <c r="F1065" s="261"/>
      <c r="G1065" s="261"/>
      <c r="H1065" s="597"/>
    </row>
    <row r="1066" spans="1:8" x14ac:dyDescent="0.25">
      <c r="A1066" s="6" t="s">
        <v>8</v>
      </c>
      <c r="B1066" s="94">
        <v>-72</v>
      </c>
      <c r="C1066" s="371">
        <v>-62</v>
      </c>
      <c r="D1066" s="259">
        <v>-52</v>
      </c>
      <c r="E1066" s="94">
        <v>-42</v>
      </c>
      <c r="F1066" s="261"/>
      <c r="G1066" s="261"/>
      <c r="H1066" s="597"/>
    </row>
    <row r="1067" spans="1:8" x14ac:dyDescent="0.25">
      <c r="A1067" s="6" t="s">
        <v>9</v>
      </c>
      <c r="B1067" s="53">
        <v>2018</v>
      </c>
      <c r="C1067" s="53">
        <v>2019</v>
      </c>
      <c r="D1067" s="53">
        <v>2020</v>
      </c>
      <c r="E1067" s="53">
        <v>2021</v>
      </c>
      <c r="F1067" s="53">
        <v>2022</v>
      </c>
      <c r="G1067" s="53">
        <v>2023</v>
      </c>
      <c r="H1067" s="576"/>
    </row>
    <row r="1068" spans="1:8" x14ac:dyDescent="0.25">
      <c r="A1068" s="585" t="s">
        <v>10</v>
      </c>
      <c r="B1068" s="586"/>
      <c r="C1068" s="586"/>
      <c r="D1068" s="586"/>
      <c r="E1068" s="586"/>
      <c r="F1068" s="586"/>
      <c r="G1068" s="589"/>
      <c r="H1068" s="108"/>
    </row>
    <row r="1069" spans="1:8" x14ac:dyDescent="0.25">
      <c r="A1069" s="384" t="s">
        <v>275</v>
      </c>
      <c r="B1069" s="587"/>
      <c r="C1069" s="587"/>
      <c r="D1069" s="587"/>
      <c r="E1069" s="587"/>
      <c r="F1069" s="587"/>
      <c r="G1069" s="590"/>
      <c r="H1069" s="108"/>
    </row>
    <row r="1070" spans="1:8" x14ac:dyDescent="0.25">
      <c r="A1070" s="510" t="s">
        <v>605</v>
      </c>
      <c r="B1070" s="516"/>
      <c r="C1070" s="516"/>
      <c r="D1070" s="516"/>
      <c r="E1070" s="516"/>
      <c r="F1070" s="516"/>
      <c r="G1070" s="456"/>
      <c r="H1070" s="108"/>
    </row>
    <row r="1071" spans="1:8" x14ac:dyDescent="0.25">
      <c r="A1071" s="47"/>
      <c r="B1071" s="47"/>
      <c r="C1071" s="47"/>
      <c r="D1071" s="47"/>
      <c r="E1071" s="47"/>
      <c r="F1071" s="47"/>
    </row>
    <row r="1073" spans="1:10" x14ac:dyDescent="0.25">
      <c r="A1073" s="636" t="s">
        <v>24</v>
      </c>
      <c r="B1073" s="728" t="s">
        <v>25</v>
      </c>
      <c r="C1073" s="2"/>
      <c r="D1073" s="2"/>
      <c r="E1073" s="2"/>
      <c r="F1073" s="2"/>
      <c r="G1073" s="2"/>
      <c r="H1073" s="2"/>
    </row>
    <row r="1074" spans="1:10" x14ac:dyDescent="0.25">
      <c r="A1074" s="406" t="s">
        <v>14</v>
      </c>
      <c r="B1074" s="407" t="s">
        <v>224</v>
      </c>
      <c r="C1074" s="642" t="s">
        <v>26</v>
      </c>
      <c r="D1074" s="95"/>
      <c r="E1074" s="95"/>
      <c r="F1074" s="95"/>
      <c r="G1074" s="95"/>
      <c r="H1074" s="2"/>
    </row>
    <row r="1075" spans="1:10" x14ac:dyDescent="0.25">
      <c r="A1075" s="771" t="s">
        <v>27</v>
      </c>
      <c r="B1075" s="772">
        <v>2016</v>
      </c>
      <c r="C1075" s="750">
        <v>2017</v>
      </c>
      <c r="D1075" s="773">
        <v>2018</v>
      </c>
      <c r="E1075" s="750">
        <v>2019</v>
      </c>
      <c r="F1075" s="750">
        <v>2020</v>
      </c>
      <c r="G1075" s="750">
        <v>2021</v>
      </c>
    </row>
    <row r="1076" spans="1:10" x14ac:dyDescent="0.25">
      <c r="A1076" s="270" t="s">
        <v>28</v>
      </c>
      <c r="B1076" s="740">
        <v>200</v>
      </c>
      <c r="C1076" s="740">
        <v>200</v>
      </c>
      <c r="D1076" s="740">
        <v>200</v>
      </c>
      <c r="E1076" s="740">
        <v>215</v>
      </c>
      <c r="F1076" s="242">
        <v>215</v>
      </c>
      <c r="G1076" s="270">
        <v>242</v>
      </c>
    </row>
    <row r="1077" spans="1:10" x14ac:dyDescent="0.25">
      <c r="A1077" s="270" t="s">
        <v>29</v>
      </c>
      <c r="B1077" s="740">
        <f>200+200*0.25</f>
        <v>250</v>
      </c>
      <c r="C1077" s="740">
        <f>200+200*0.25</f>
        <v>250</v>
      </c>
      <c r="D1077" s="740">
        <f>D1076+B1076*0.25</f>
        <v>250</v>
      </c>
      <c r="E1077" s="740">
        <f>E1076+C1076*0.25</f>
        <v>265</v>
      </c>
      <c r="F1077" s="740">
        <f>F1076+D1076*0.25</f>
        <v>265</v>
      </c>
      <c r="G1077" s="740">
        <f>G1076+E1076*0.25</f>
        <v>295.75</v>
      </c>
    </row>
    <row r="1078" spans="1:10" x14ac:dyDescent="0.25">
      <c r="A1078" s="270" t="s">
        <v>30</v>
      </c>
      <c r="B1078" s="774" t="s">
        <v>461</v>
      </c>
      <c r="C1078" s="774" t="s">
        <v>461</v>
      </c>
      <c r="D1078" s="774" t="s">
        <v>461</v>
      </c>
      <c r="E1078" s="774" t="s">
        <v>462</v>
      </c>
      <c r="F1078" s="774" t="s">
        <v>462</v>
      </c>
      <c r="G1078" s="774" t="s">
        <v>498</v>
      </c>
    </row>
    <row r="1079" spans="1:10" x14ac:dyDescent="0.25">
      <c r="A1079" s="270" t="s">
        <v>31</v>
      </c>
      <c r="B1079" s="740">
        <v>2.19</v>
      </c>
      <c r="C1079" s="740">
        <v>0.38</v>
      </c>
      <c r="D1079" s="740">
        <v>7.19</v>
      </c>
      <c r="E1079" s="740">
        <v>0.28999999999999998</v>
      </c>
      <c r="F1079" s="242">
        <v>1.45</v>
      </c>
      <c r="G1079" s="270"/>
    </row>
    <row r="1080" spans="1:10" x14ac:dyDescent="0.25">
      <c r="A1080" s="270" t="s">
        <v>32</v>
      </c>
      <c r="B1080" s="740">
        <f t="shared" ref="B1080:D1080" si="24">B1077-B1079</f>
        <v>247.81</v>
      </c>
      <c r="C1080" s="740">
        <f t="shared" si="24"/>
        <v>249.62</v>
      </c>
      <c r="D1080" s="740">
        <f t="shared" si="24"/>
        <v>242.81</v>
      </c>
      <c r="E1080" s="740">
        <f>E1077-E1079</f>
        <v>264.70999999999998</v>
      </c>
      <c r="F1080" s="740">
        <f>F1077-F1079</f>
        <v>263.55</v>
      </c>
      <c r="G1080" s="270"/>
    </row>
    <row r="1081" spans="1:10" x14ac:dyDescent="0.25">
      <c r="A1081" s="408" t="s">
        <v>33</v>
      </c>
      <c r="B1081" s="775">
        <v>2018</v>
      </c>
      <c r="C1081" s="775">
        <v>2019</v>
      </c>
      <c r="D1081" s="776">
        <v>2020</v>
      </c>
      <c r="E1081" s="775">
        <v>2021</v>
      </c>
      <c r="F1081" s="775">
        <v>2022</v>
      </c>
      <c r="G1081" s="270">
        <v>2023</v>
      </c>
    </row>
    <row r="1082" spans="1:10" ht="13.2" customHeight="1" x14ac:dyDescent="0.25">
      <c r="A1082" s="851" t="s">
        <v>147</v>
      </c>
      <c r="B1082" s="852"/>
      <c r="C1082" s="852"/>
      <c r="D1082" s="852"/>
      <c r="E1082" s="852"/>
      <c r="F1082" s="852"/>
      <c r="G1082" s="853"/>
      <c r="H1082" s="402"/>
      <c r="I1082" s="402"/>
      <c r="J1082" s="402"/>
    </row>
    <row r="1083" spans="1:10" s="178" customFormat="1" x14ac:dyDescent="0.25">
      <c r="A1083" s="401"/>
      <c r="B1083" s="401"/>
      <c r="C1083" s="164"/>
      <c r="D1083" s="164"/>
      <c r="E1083" s="164"/>
      <c r="F1083" s="164"/>
      <c r="G1083" s="164"/>
      <c r="H1083" s="164"/>
    </row>
    <row r="1084" spans="1:10" x14ac:dyDescent="0.25">
      <c r="A1084" s="3" t="s">
        <v>14</v>
      </c>
      <c r="B1084" s="4" t="s">
        <v>220</v>
      </c>
      <c r="C1084" s="619" t="s">
        <v>26</v>
      </c>
      <c r="D1084" s="2"/>
      <c r="E1084" s="2"/>
      <c r="F1084" s="2"/>
      <c r="G1084" s="2"/>
      <c r="H1084" s="2"/>
    </row>
    <row r="1085" spans="1:10" s="178" customFormat="1" x14ac:dyDescent="0.25">
      <c r="A1085" s="291" t="s">
        <v>27</v>
      </c>
      <c r="B1085" s="628">
        <v>2013</v>
      </c>
      <c r="C1085" s="293">
        <v>2014</v>
      </c>
      <c r="D1085" s="339">
        <v>2015</v>
      </c>
      <c r="E1085" s="293">
        <v>2016</v>
      </c>
      <c r="F1085" s="293">
        <v>2017</v>
      </c>
      <c r="G1085" s="339">
        <v>2018</v>
      </c>
      <c r="H1085" s="293">
        <v>2019</v>
      </c>
      <c r="I1085" s="293">
        <v>2020</v>
      </c>
      <c r="J1085" s="293">
        <v>2021</v>
      </c>
    </row>
    <row r="1086" spans="1:10" s="178" customFormat="1" x14ac:dyDescent="0.25">
      <c r="A1086" s="111" t="s">
        <v>28</v>
      </c>
      <c r="B1086" s="113">
        <v>200</v>
      </c>
      <c r="C1086" s="113">
        <v>200</v>
      </c>
      <c r="D1086" s="235">
        <v>200</v>
      </c>
      <c r="E1086" s="235">
        <v>200</v>
      </c>
      <c r="F1086" s="235">
        <v>200</v>
      </c>
      <c r="G1086" s="235">
        <v>200</v>
      </c>
      <c r="H1086" s="235">
        <v>200</v>
      </c>
      <c r="I1086" s="113">
        <v>200</v>
      </c>
      <c r="J1086" s="111"/>
    </row>
    <row r="1087" spans="1:10" s="178" customFormat="1" x14ac:dyDescent="0.25">
      <c r="A1087" s="111" t="s">
        <v>29</v>
      </c>
      <c r="B1087" s="251">
        <f t="shared" ref="B1087:C1087" si="25">(B1088)</f>
        <v>300</v>
      </c>
      <c r="C1087" s="251">
        <f t="shared" si="25"/>
        <v>300</v>
      </c>
      <c r="D1087" s="235">
        <v>300</v>
      </c>
      <c r="E1087" s="235">
        <v>300</v>
      </c>
      <c r="F1087" s="235">
        <v>300</v>
      </c>
      <c r="G1087" s="235">
        <v>280</v>
      </c>
      <c r="H1087" s="235">
        <v>280</v>
      </c>
      <c r="I1087" s="113">
        <v>280</v>
      </c>
      <c r="J1087" s="111"/>
    </row>
    <row r="1088" spans="1:10" s="178" customFormat="1" x14ac:dyDescent="0.25">
      <c r="A1088" s="92" t="s">
        <v>30</v>
      </c>
      <c r="B1088" s="65">
        <f t="shared" ref="B1088:C1088" si="26">(B1086*50%)+B1086</f>
        <v>300</v>
      </c>
      <c r="C1088" s="65">
        <f t="shared" si="26"/>
        <v>300</v>
      </c>
      <c r="D1088" s="160" t="s">
        <v>270</v>
      </c>
      <c r="E1088" s="160" t="s">
        <v>270</v>
      </c>
      <c r="F1088" s="160" t="s">
        <v>270</v>
      </c>
      <c r="G1088" s="160" t="s">
        <v>271</v>
      </c>
      <c r="H1088" s="160" t="s">
        <v>271</v>
      </c>
      <c r="I1088" s="160" t="s">
        <v>271</v>
      </c>
      <c r="J1088" s="92"/>
    </row>
    <row r="1089" spans="1:13" s="178" customFormat="1" x14ac:dyDescent="0.25">
      <c r="A1089" s="92" t="s">
        <v>31</v>
      </c>
      <c r="B1089" s="65">
        <v>32</v>
      </c>
      <c r="C1089" s="65">
        <v>32</v>
      </c>
      <c r="D1089" s="144">
        <v>31</v>
      </c>
      <c r="E1089" s="144">
        <v>36</v>
      </c>
      <c r="F1089" s="144">
        <v>64</v>
      </c>
      <c r="G1089" s="144">
        <v>45</v>
      </c>
      <c r="H1089" s="144">
        <v>30</v>
      </c>
      <c r="I1089" s="65">
        <v>21</v>
      </c>
      <c r="J1089" s="92"/>
    </row>
    <row r="1090" spans="1:13" s="178" customFormat="1" x14ac:dyDescent="0.25">
      <c r="A1090" s="92" t="s">
        <v>32</v>
      </c>
      <c r="B1090" s="298">
        <f t="shared" ref="B1090:C1090" si="27">(B1087-B1089)</f>
        <v>268</v>
      </c>
      <c r="C1090" s="298">
        <f t="shared" si="27"/>
        <v>268</v>
      </c>
      <c r="D1090" s="144">
        <f>D1087-D1089</f>
        <v>269</v>
      </c>
      <c r="E1090" s="144">
        <f t="shared" ref="E1090:G1090" si="28">E1087-E1089</f>
        <v>264</v>
      </c>
      <c r="F1090" s="144">
        <f t="shared" si="28"/>
        <v>236</v>
      </c>
      <c r="G1090" s="144">
        <f t="shared" si="28"/>
        <v>235</v>
      </c>
      <c r="H1090" s="144">
        <f>H1087-H1089</f>
        <v>250</v>
      </c>
      <c r="I1090" s="144">
        <f>I1087-I1089</f>
        <v>259</v>
      </c>
      <c r="J1090" s="92"/>
    </row>
    <row r="1091" spans="1:13" s="178" customFormat="1" ht="13.2" customHeight="1" x14ac:dyDescent="0.25">
      <c r="A1091" s="91" t="s">
        <v>33</v>
      </c>
      <c r="B1091" s="299">
        <v>2015</v>
      </c>
      <c r="C1091" s="299">
        <v>2016</v>
      </c>
      <c r="D1091" s="299">
        <v>2017</v>
      </c>
      <c r="E1091" s="299">
        <v>2018</v>
      </c>
      <c r="F1091" s="299">
        <v>2019</v>
      </c>
      <c r="G1091" s="397">
        <v>2020</v>
      </c>
      <c r="H1091" s="299">
        <v>2021</v>
      </c>
      <c r="I1091" s="299">
        <v>2022</v>
      </c>
      <c r="J1091" s="92"/>
    </row>
    <row r="1092" spans="1:13" s="178" customFormat="1" ht="39" customHeight="1" x14ac:dyDescent="0.25">
      <c r="A1092" s="907" t="s">
        <v>268</v>
      </c>
      <c r="B1092" s="908"/>
      <c r="C1092" s="908"/>
      <c r="D1092" s="908"/>
      <c r="E1092" s="908"/>
      <c r="F1092" s="908"/>
      <c r="G1092" s="908"/>
      <c r="H1092" s="908"/>
      <c r="I1092" s="908"/>
      <c r="J1092" s="909"/>
    </row>
    <row r="1093" spans="1:13" s="178" customFormat="1" x14ac:dyDescent="0.25">
      <c r="A1093" s="164"/>
      <c r="B1093" s="164"/>
      <c r="C1093" s="164"/>
      <c r="D1093" s="164"/>
      <c r="E1093" s="164"/>
      <c r="F1093" s="164"/>
      <c r="G1093" s="164"/>
      <c r="H1093" s="164"/>
      <c r="I1093" s="164"/>
      <c r="J1093" s="164"/>
    </row>
    <row r="1094" spans="1:13" s="178" customFormat="1" x14ac:dyDescent="0.25">
      <c r="A1094" s="93" t="s">
        <v>14</v>
      </c>
      <c r="B1094" s="271" t="s">
        <v>35</v>
      </c>
      <c r="C1094" s="271" t="s">
        <v>26</v>
      </c>
      <c r="D1094" s="164"/>
      <c r="E1094" s="164"/>
      <c r="F1094" s="164"/>
      <c r="G1094" s="164"/>
      <c r="H1094" s="164"/>
      <c r="I1094" s="164"/>
      <c r="J1094" s="164"/>
    </row>
    <row r="1095" spans="1:13" s="178" customFormat="1" x14ac:dyDescent="0.25">
      <c r="A1095" s="275" t="s">
        <v>27</v>
      </c>
      <c r="B1095" s="626">
        <v>2010</v>
      </c>
      <c r="C1095" s="60">
        <v>2011</v>
      </c>
      <c r="D1095" s="60">
        <v>2012</v>
      </c>
      <c r="E1095" s="60">
        <v>2013</v>
      </c>
      <c r="F1095" s="60">
        <v>2014</v>
      </c>
      <c r="G1095" s="60">
        <v>2015</v>
      </c>
      <c r="H1095" s="60">
        <v>2016</v>
      </c>
      <c r="I1095" s="388">
        <v>2017</v>
      </c>
      <c r="J1095" s="60">
        <v>2018</v>
      </c>
      <c r="K1095" s="293">
        <v>2019</v>
      </c>
      <c r="L1095" s="293">
        <v>2020</v>
      </c>
      <c r="M1095" s="293">
        <v>2021</v>
      </c>
    </row>
    <row r="1096" spans="1:13" s="178" customFormat="1" x14ac:dyDescent="0.25">
      <c r="A1096" s="91" t="s">
        <v>28</v>
      </c>
      <c r="B1096" s="65">
        <v>95</v>
      </c>
      <c r="C1096" s="65">
        <v>95</v>
      </c>
      <c r="D1096" s="65">
        <v>95</v>
      </c>
      <c r="E1096" s="65">
        <v>95</v>
      </c>
      <c r="F1096" s="298">
        <v>95</v>
      </c>
      <c r="G1096" s="284">
        <v>108.98</v>
      </c>
      <c r="H1096" s="284">
        <v>108.98</v>
      </c>
      <c r="I1096" s="389">
        <v>108.98</v>
      </c>
      <c r="J1096" s="284">
        <v>128.44</v>
      </c>
      <c r="K1096" s="252">
        <v>128.44</v>
      </c>
      <c r="L1096" s="252">
        <v>128.44</v>
      </c>
      <c r="M1096" s="252">
        <v>128.44</v>
      </c>
    </row>
    <row r="1097" spans="1:13" s="178" customFormat="1" x14ac:dyDescent="0.25">
      <c r="A1097" s="91" t="s">
        <v>29</v>
      </c>
      <c r="B1097" s="298">
        <f>(B1098)</f>
        <v>56</v>
      </c>
      <c r="C1097" s="298">
        <f t="shared" ref="C1097:J1097" si="29">(C1098)</f>
        <v>50.5</v>
      </c>
      <c r="D1097" s="298">
        <f t="shared" si="29"/>
        <v>131.5</v>
      </c>
      <c r="E1097" s="284">
        <f t="shared" si="29"/>
        <v>89.4</v>
      </c>
      <c r="F1097" s="284">
        <f t="shared" si="29"/>
        <v>75.900000000000006</v>
      </c>
      <c r="G1097" s="284">
        <f t="shared" si="29"/>
        <v>81.900000000000006</v>
      </c>
      <c r="H1097" s="284">
        <f t="shared" si="29"/>
        <v>81.900000000000006</v>
      </c>
      <c r="I1097" s="389">
        <f t="shared" si="29"/>
        <v>61.899999999999991</v>
      </c>
      <c r="J1097" s="284">
        <f t="shared" si="29"/>
        <v>95.899999999999977</v>
      </c>
      <c r="K1097" s="252">
        <f>K1098</f>
        <v>64.899999999999977</v>
      </c>
      <c r="L1097" s="113">
        <f>L1098</f>
        <v>53.899999999999977</v>
      </c>
      <c r="M1097" s="113">
        <f>M1098</f>
        <v>154.33999999999997</v>
      </c>
    </row>
    <row r="1098" spans="1:13" s="178" customFormat="1" x14ac:dyDescent="0.25">
      <c r="A1098" s="91" t="s">
        <v>30</v>
      </c>
      <c r="B1098" s="284">
        <f>(B1096+47.5)-86.5</f>
        <v>56</v>
      </c>
      <c r="C1098" s="284">
        <f>(C1096+B1100)-86.5</f>
        <v>50.5</v>
      </c>
      <c r="D1098" s="284">
        <f>D1096+C1100</f>
        <v>131.5</v>
      </c>
      <c r="E1098" s="284">
        <f>(E1096+D1100)-86.5</f>
        <v>89.4</v>
      </c>
      <c r="F1098" s="284">
        <f>(F1096+E1100)-86.5</f>
        <v>75.900000000000006</v>
      </c>
      <c r="G1098" s="284">
        <f>(G1096+F1100)-51.98</f>
        <v>81.900000000000006</v>
      </c>
      <c r="H1098" s="284">
        <f>(H1096+G1100)-55.98</f>
        <v>81.900000000000006</v>
      </c>
      <c r="I1098" s="389">
        <f>(I1096+H1100)-73.98</f>
        <v>61.899999999999991</v>
      </c>
      <c r="J1098" s="284">
        <f>(J1096+I1100)-60.44</f>
        <v>95.899999999999977</v>
      </c>
      <c r="K1098" s="252">
        <f>K1096+J1100-79.44</f>
        <v>64.899999999999977</v>
      </c>
      <c r="L1098" s="113">
        <f>L1096+K1100-100.44</f>
        <v>53.899999999999977</v>
      </c>
      <c r="M1098" s="113">
        <f>M1096+L1100</f>
        <v>154.33999999999997</v>
      </c>
    </row>
    <row r="1099" spans="1:13" s="178" customFormat="1" x14ac:dyDescent="0.25">
      <c r="A1099" s="91" t="s">
        <v>31</v>
      </c>
      <c r="B1099" s="298">
        <v>14</v>
      </c>
      <c r="C1099" s="298">
        <v>14</v>
      </c>
      <c r="D1099" s="298">
        <v>50.6</v>
      </c>
      <c r="E1099" s="298">
        <v>22</v>
      </c>
      <c r="F1099" s="298">
        <v>51</v>
      </c>
      <c r="G1099" s="298">
        <v>53</v>
      </c>
      <c r="H1099" s="298">
        <v>55</v>
      </c>
      <c r="I1099" s="390">
        <v>34</v>
      </c>
      <c r="J1099" s="298">
        <v>80</v>
      </c>
      <c r="K1099" s="251">
        <v>39</v>
      </c>
      <c r="L1099" s="113">
        <v>28</v>
      </c>
      <c r="M1099" s="113"/>
    </row>
    <row r="1100" spans="1:13" s="178" customFormat="1" x14ac:dyDescent="0.25">
      <c r="A1100" s="91" t="s">
        <v>32</v>
      </c>
      <c r="B1100" s="298">
        <f>(B1097-B1099)</f>
        <v>42</v>
      </c>
      <c r="C1100" s="298">
        <f t="shared" ref="C1100:J1100" si="30">(C1097-C1099)</f>
        <v>36.5</v>
      </c>
      <c r="D1100" s="298">
        <f t="shared" si="30"/>
        <v>80.900000000000006</v>
      </c>
      <c r="E1100" s="298">
        <f t="shared" si="30"/>
        <v>67.400000000000006</v>
      </c>
      <c r="F1100" s="298">
        <f t="shared" si="30"/>
        <v>24.900000000000006</v>
      </c>
      <c r="G1100" s="298">
        <f t="shared" si="30"/>
        <v>28.900000000000006</v>
      </c>
      <c r="H1100" s="298">
        <f t="shared" si="30"/>
        <v>26.900000000000006</v>
      </c>
      <c r="I1100" s="390">
        <f t="shared" si="30"/>
        <v>27.899999999999991</v>
      </c>
      <c r="J1100" s="298">
        <f t="shared" si="30"/>
        <v>15.899999999999977</v>
      </c>
      <c r="K1100" s="251">
        <f>K1097-K1099</f>
        <v>25.899999999999977</v>
      </c>
      <c r="L1100" s="113">
        <f>L1097-L1099</f>
        <v>25.899999999999977</v>
      </c>
      <c r="M1100" s="113"/>
    </row>
    <row r="1101" spans="1:13" s="178" customFormat="1" x14ac:dyDescent="0.25">
      <c r="A1101" s="272" t="s">
        <v>33</v>
      </c>
      <c r="B1101" s="391">
        <v>2011</v>
      </c>
      <c r="C1101" s="391">
        <v>2012</v>
      </c>
      <c r="D1101" s="391">
        <v>2013</v>
      </c>
      <c r="E1101" s="391">
        <v>2014</v>
      </c>
      <c r="F1101" s="391">
        <v>2015</v>
      </c>
      <c r="G1101" s="391">
        <v>2016</v>
      </c>
      <c r="H1101" s="391">
        <v>2017</v>
      </c>
      <c r="I1101" s="392">
        <v>2018</v>
      </c>
      <c r="J1101" s="391">
        <v>2019</v>
      </c>
      <c r="K1101" s="340">
        <v>2020</v>
      </c>
      <c r="L1101" s="340">
        <v>2021</v>
      </c>
      <c r="M1101" s="340">
        <v>2022</v>
      </c>
    </row>
    <row r="1102" spans="1:13" s="178" customFormat="1" x14ac:dyDescent="0.25">
      <c r="A1102" s="272" t="s">
        <v>34</v>
      </c>
      <c r="B1102" s="97"/>
      <c r="C1102" s="97"/>
      <c r="D1102" s="97"/>
      <c r="E1102" s="97"/>
      <c r="F1102" s="97"/>
      <c r="G1102" s="97"/>
      <c r="H1102" s="97"/>
      <c r="I1102" s="97"/>
      <c r="J1102" s="97"/>
      <c r="K1102" s="254"/>
      <c r="L1102" s="254"/>
      <c r="M1102" s="134"/>
    </row>
    <row r="1103" spans="1:13" s="178" customFormat="1" x14ac:dyDescent="0.25">
      <c r="A1103" s="393" t="s">
        <v>36</v>
      </c>
      <c r="B1103" s="70"/>
      <c r="C1103" s="70"/>
      <c r="D1103" s="70"/>
      <c r="E1103" s="70"/>
      <c r="F1103" s="70"/>
      <c r="G1103" s="70"/>
      <c r="H1103" s="70"/>
      <c r="I1103" s="70"/>
      <c r="J1103" s="70"/>
      <c r="K1103" s="114"/>
      <c r="L1103" s="114"/>
      <c r="M1103" s="135"/>
    </row>
    <row r="1104" spans="1:13" s="178" customFormat="1" x14ac:dyDescent="0.25">
      <c r="A1104" s="393" t="s">
        <v>37</v>
      </c>
      <c r="B1104" s="70"/>
      <c r="C1104" s="70"/>
      <c r="D1104" s="70"/>
      <c r="E1104" s="70"/>
      <c r="F1104" s="70"/>
      <c r="G1104" s="70"/>
      <c r="H1104" s="70"/>
      <c r="I1104" s="70"/>
      <c r="J1104" s="70"/>
      <c r="K1104" s="114"/>
      <c r="L1104" s="114"/>
      <c r="M1104" s="135"/>
    </row>
    <row r="1105" spans="1:13" s="178" customFormat="1" x14ac:dyDescent="0.25">
      <c r="A1105" s="393" t="s">
        <v>38</v>
      </c>
      <c r="B1105" s="70"/>
      <c r="C1105" s="70"/>
      <c r="D1105" s="70"/>
      <c r="E1105" s="70"/>
      <c r="F1105" s="70"/>
      <c r="G1105" s="70"/>
      <c r="H1105" s="70"/>
      <c r="I1105" s="70"/>
      <c r="J1105" s="70"/>
      <c r="K1105" s="114"/>
      <c r="L1105" s="114"/>
      <c r="M1105" s="135"/>
    </row>
    <row r="1106" spans="1:13" s="178" customFormat="1" x14ac:dyDescent="0.25">
      <c r="A1106" s="393" t="s">
        <v>39</v>
      </c>
      <c r="B1106" s="70"/>
      <c r="C1106" s="70"/>
      <c r="D1106" s="70"/>
      <c r="E1106" s="70"/>
      <c r="F1106" s="70"/>
      <c r="G1106" s="70"/>
      <c r="H1106" s="70"/>
      <c r="I1106" s="70"/>
      <c r="J1106" s="70"/>
      <c r="K1106" s="114"/>
      <c r="L1106" s="114"/>
      <c r="M1106" s="135"/>
    </row>
    <row r="1107" spans="1:13" s="178" customFormat="1" x14ac:dyDescent="0.25">
      <c r="A1107" s="393" t="s">
        <v>40</v>
      </c>
      <c r="B1107" s="70"/>
      <c r="C1107" s="70"/>
      <c r="D1107" s="70"/>
      <c r="E1107" s="70"/>
      <c r="F1107" s="70"/>
      <c r="G1107" s="70"/>
      <c r="H1107" s="70"/>
      <c r="I1107" s="70"/>
      <c r="J1107" s="70"/>
      <c r="K1107" s="114"/>
      <c r="L1107" s="114"/>
      <c r="M1107" s="135"/>
    </row>
    <row r="1108" spans="1:13" s="178" customFormat="1" x14ac:dyDescent="0.25">
      <c r="A1108" s="300" t="s">
        <v>41</v>
      </c>
      <c r="B1108" s="70"/>
      <c r="C1108" s="70"/>
      <c r="D1108" s="70"/>
      <c r="E1108" s="70"/>
      <c r="F1108" s="70"/>
      <c r="G1108" s="70"/>
      <c r="H1108" s="70"/>
      <c r="I1108" s="70"/>
      <c r="J1108" s="70"/>
      <c r="K1108" s="114"/>
      <c r="L1108" s="114"/>
      <c r="M1108" s="135"/>
    </row>
    <row r="1109" spans="1:13" s="178" customFormat="1" x14ac:dyDescent="0.25">
      <c r="A1109" s="300" t="s">
        <v>42</v>
      </c>
      <c r="B1109" s="70"/>
      <c r="C1109" s="70"/>
      <c r="D1109" s="70"/>
      <c r="E1109" s="70"/>
      <c r="F1109" s="70"/>
      <c r="G1109" s="70"/>
      <c r="H1109" s="70"/>
      <c r="I1109" s="70"/>
      <c r="J1109" s="70"/>
      <c r="K1109" s="114"/>
      <c r="L1109" s="114"/>
      <c r="M1109" s="135"/>
    </row>
    <row r="1110" spans="1:13" s="178" customFormat="1" x14ac:dyDescent="0.25">
      <c r="A1110" s="300" t="s">
        <v>43</v>
      </c>
      <c r="B1110" s="70"/>
      <c r="C1110" s="70"/>
      <c r="D1110" s="70"/>
      <c r="E1110" s="70"/>
      <c r="F1110" s="70"/>
      <c r="G1110" s="70"/>
      <c r="H1110" s="70"/>
      <c r="I1110" s="70"/>
      <c r="J1110" s="70"/>
      <c r="K1110" s="114"/>
      <c r="L1110" s="114"/>
      <c r="M1110" s="135"/>
    </row>
    <row r="1111" spans="1:13" s="178" customFormat="1" x14ac:dyDescent="0.25">
      <c r="A1111" s="300" t="s">
        <v>44</v>
      </c>
      <c r="B1111" s="70"/>
      <c r="C1111" s="70"/>
      <c r="D1111" s="70"/>
      <c r="E1111" s="70"/>
      <c r="F1111" s="70"/>
      <c r="G1111" s="70"/>
      <c r="H1111" s="70"/>
      <c r="I1111" s="70"/>
      <c r="J1111" s="70"/>
      <c r="K1111" s="114"/>
      <c r="L1111" s="114"/>
      <c r="M1111" s="135"/>
    </row>
    <row r="1112" spans="1:13" s="178" customFormat="1" x14ac:dyDescent="0.25">
      <c r="A1112" s="300" t="s">
        <v>338</v>
      </c>
      <c r="B1112" s="70"/>
      <c r="C1112" s="70"/>
      <c r="D1112" s="70"/>
      <c r="E1112" s="70"/>
      <c r="F1112" s="70"/>
      <c r="G1112" s="70"/>
      <c r="H1112" s="70"/>
      <c r="I1112" s="70"/>
      <c r="J1112" s="70"/>
      <c r="K1112" s="114"/>
      <c r="L1112" s="114"/>
      <c r="M1112" s="135"/>
    </row>
    <row r="1113" spans="1:13" s="178" customFormat="1" x14ac:dyDescent="0.25">
      <c r="A1113" s="300" t="s">
        <v>456</v>
      </c>
      <c r="B1113" s="70"/>
      <c r="C1113" s="70"/>
      <c r="D1113" s="70"/>
      <c r="E1113" s="70"/>
      <c r="F1113" s="70"/>
      <c r="G1113" s="70"/>
      <c r="H1113" s="70"/>
      <c r="I1113" s="70"/>
      <c r="J1113" s="70"/>
      <c r="K1113" s="114"/>
      <c r="L1113" s="114"/>
      <c r="M1113" s="135"/>
    </row>
    <row r="1114" spans="1:13" s="178" customFormat="1" x14ac:dyDescent="0.25">
      <c r="A1114" s="275" t="s">
        <v>458</v>
      </c>
      <c r="B1114" s="276"/>
      <c r="C1114" s="276"/>
      <c r="D1114" s="276"/>
      <c r="E1114" s="276"/>
      <c r="F1114" s="276"/>
      <c r="G1114" s="276"/>
      <c r="H1114" s="276"/>
      <c r="I1114" s="276"/>
      <c r="J1114" s="276"/>
      <c r="K1114" s="255"/>
      <c r="L1114" s="255"/>
      <c r="M1114" s="225"/>
    </row>
    <row r="1115" spans="1:13" s="178" customFormat="1" x14ac:dyDescent="0.25">
      <c r="A1115" s="164"/>
      <c r="B1115" s="164"/>
      <c r="C1115" s="164"/>
      <c r="D1115" s="164"/>
      <c r="E1115" s="164"/>
      <c r="F1115" s="164"/>
      <c r="G1115" s="164"/>
      <c r="H1115" s="164"/>
      <c r="I1115" s="164"/>
      <c r="J1115" s="164"/>
    </row>
    <row r="1116" spans="1:13" s="178" customFormat="1" x14ac:dyDescent="0.25">
      <c r="A1116" s="93" t="s">
        <v>14</v>
      </c>
      <c r="B1116" s="271" t="s">
        <v>85</v>
      </c>
      <c r="C1116" s="271" t="s">
        <v>26</v>
      </c>
      <c r="D1116" s="164"/>
      <c r="E1116" s="164"/>
      <c r="F1116" s="164"/>
      <c r="G1116" s="164"/>
      <c r="H1116" s="164"/>
      <c r="I1116" s="164"/>
      <c r="J1116" s="164"/>
    </row>
    <row r="1117" spans="1:13" s="178" customFormat="1" x14ac:dyDescent="0.25">
      <c r="A1117" s="275" t="s">
        <v>27</v>
      </c>
      <c r="B1117" s="626">
        <v>2013</v>
      </c>
      <c r="C1117" s="60">
        <v>2014</v>
      </c>
      <c r="D1117" s="60">
        <v>2015</v>
      </c>
      <c r="E1117" s="388">
        <v>2016</v>
      </c>
      <c r="F1117" s="60">
        <v>2017</v>
      </c>
      <c r="G1117" s="388">
        <v>2018</v>
      </c>
      <c r="H1117" s="60">
        <v>2019</v>
      </c>
      <c r="I1117" s="60">
        <v>2020</v>
      </c>
      <c r="J1117" s="60">
        <v>2021</v>
      </c>
    </row>
    <row r="1118" spans="1:13" s="178" customFormat="1" x14ac:dyDescent="0.25">
      <c r="A1118" s="91" t="s">
        <v>28</v>
      </c>
      <c r="B1118" s="65">
        <v>70</v>
      </c>
      <c r="C1118" s="65">
        <v>70</v>
      </c>
      <c r="D1118" s="65">
        <v>70</v>
      </c>
      <c r="E1118" s="65">
        <v>70</v>
      </c>
      <c r="F1118" s="298">
        <v>70</v>
      </c>
      <c r="G1118" s="298">
        <v>70</v>
      </c>
      <c r="H1118" s="298">
        <v>70</v>
      </c>
      <c r="I1118" s="65">
        <v>58.9</v>
      </c>
      <c r="J1118" s="65">
        <v>58.9</v>
      </c>
    </row>
    <row r="1119" spans="1:13" s="178" customFormat="1" x14ac:dyDescent="0.25">
      <c r="A1119" s="91" t="s">
        <v>29</v>
      </c>
      <c r="B1119" s="65">
        <f>(B1120)</f>
        <v>-15</v>
      </c>
      <c r="C1119" s="65">
        <f t="shared" ref="C1119:H1119" si="31">(C1120)</f>
        <v>3</v>
      </c>
      <c r="D1119" s="65">
        <v>55</v>
      </c>
      <c r="E1119" s="65">
        <f t="shared" si="31"/>
        <v>56</v>
      </c>
      <c r="F1119" s="65">
        <f t="shared" si="31"/>
        <v>61</v>
      </c>
      <c r="G1119" s="298">
        <f t="shared" si="31"/>
        <v>71</v>
      </c>
      <c r="H1119" s="298">
        <f t="shared" si="31"/>
        <v>73</v>
      </c>
      <c r="I1119" s="65">
        <v>65.900000000000006</v>
      </c>
      <c r="J1119" s="65">
        <v>58.9</v>
      </c>
    </row>
    <row r="1120" spans="1:13" s="178" customFormat="1" x14ac:dyDescent="0.25">
      <c r="A1120" s="91" t="s">
        <v>30</v>
      </c>
      <c r="B1120" s="298">
        <f>(B1118-B1121)</f>
        <v>-15</v>
      </c>
      <c r="C1120" s="298">
        <f>(C1118-C1121)</f>
        <v>3</v>
      </c>
      <c r="D1120" s="298">
        <f>D1118+B1122</f>
        <v>55</v>
      </c>
      <c r="E1120" s="298">
        <f>E1118+D1122+C1122</f>
        <v>56</v>
      </c>
      <c r="F1120" s="298">
        <f>F1118+E1122</f>
        <v>61</v>
      </c>
      <c r="G1120" s="298">
        <f>G1118+F1122</f>
        <v>71</v>
      </c>
      <c r="H1120" s="298">
        <f>H1118+G1122</f>
        <v>73</v>
      </c>
      <c r="I1120" s="65">
        <f>I1118+0.1*H1118</f>
        <v>65.900000000000006</v>
      </c>
      <c r="J1120" s="65"/>
    </row>
    <row r="1121" spans="1:10" s="178" customFormat="1" x14ac:dyDescent="0.25">
      <c r="A1121" s="91" t="s">
        <v>45</v>
      </c>
      <c r="B1121" s="298">
        <v>85</v>
      </c>
      <c r="C1121" s="298">
        <v>67</v>
      </c>
      <c r="D1121" s="298">
        <v>72</v>
      </c>
      <c r="E1121" s="298">
        <v>65</v>
      </c>
      <c r="F1121" s="298">
        <v>60</v>
      </c>
      <c r="G1121" s="298">
        <v>68</v>
      </c>
      <c r="H1121" s="298">
        <v>51</v>
      </c>
      <c r="I1121" s="65">
        <v>39</v>
      </c>
      <c r="J1121" s="65"/>
    </row>
    <row r="1122" spans="1:10" s="178" customFormat="1" x14ac:dyDescent="0.25">
      <c r="A1122" s="91" t="s">
        <v>46</v>
      </c>
      <c r="B1122" s="65">
        <f>(B1120)</f>
        <v>-15</v>
      </c>
      <c r="C1122" s="65">
        <f>(C1120)</f>
        <v>3</v>
      </c>
      <c r="D1122" s="65">
        <f t="shared" ref="D1122:I1122" si="32">D1119-D1121</f>
        <v>-17</v>
      </c>
      <c r="E1122" s="65">
        <f t="shared" si="32"/>
        <v>-9</v>
      </c>
      <c r="F1122" s="65">
        <f t="shared" si="32"/>
        <v>1</v>
      </c>
      <c r="G1122" s="298">
        <f t="shared" si="32"/>
        <v>3</v>
      </c>
      <c r="H1122" s="298">
        <f t="shared" si="32"/>
        <v>22</v>
      </c>
      <c r="I1122" s="65">
        <f t="shared" si="32"/>
        <v>26.900000000000006</v>
      </c>
      <c r="J1122" s="65"/>
    </row>
    <row r="1123" spans="1:10" s="178" customFormat="1" x14ac:dyDescent="0.25">
      <c r="A1123" s="272" t="s">
        <v>33</v>
      </c>
      <c r="B1123" s="394">
        <v>2015</v>
      </c>
      <c r="C1123" s="394">
        <v>2016</v>
      </c>
      <c r="D1123" s="394">
        <v>2016</v>
      </c>
      <c r="E1123" s="394">
        <v>2017</v>
      </c>
      <c r="F1123" s="394">
        <v>2018</v>
      </c>
      <c r="G1123" s="394">
        <v>2019</v>
      </c>
      <c r="H1123" s="394">
        <v>2020</v>
      </c>
      <c r="I1123" s="391"/>
      <c r="J1123" s="391"/>
    </row>
    <row r="1124" spans="1:10" s="178" customFormat="1" x14ac:dyDescent="0.25">
      <c r="A1124" s="272" t="s">
        <v>34</v>
      </c>
      <c r="B1124" s="97"/>
      <c r="C1124" s="97"/>
      <c r="D1124" s="97"/>
      <c r="E1124" s="97"/>
      <c r="F1124" s="97"/>
      <c r="G1124" s="97"/>
      <c r="H1124" s="97"/>
      <c r="I1124" s="97"/>
      <c r="J1124" s="274"/>
    </row>
    <row r="1125" spans="1:10" s="178" customFormat="1" x14ac:dyDescent="0.25">
      <c r="A1125" s="393" t="s">
        <v>345</v>
      </c>
      <c r="B1125" s="70"/>
      <c r="C1125" s="70"/>
      <c r="D1125" s="70"/>
      <c r="E1125" s="70"/>
      <c r="F1125" s="70"/>
      <c r="G1125" s="70"/>
      <c r="H1125" s="70"/>
      <c r="I1125" s="70"/>
      <c r="J1125" s="279"/>
    </row>
    <row r="1126" spans="1:10" s="178" customFormat="1" x14ac:dyDescent="0.25">
      <c r="A1126" s="300" t="s">
        <v>346</v>
      </c>
      <c r="B1126" s="70"/>
      <c r="C1126" s="70"/>
      <c r="D1126" s="70"/>
      <c r="E1126" s="70"/>
      <c r="F1126" s="70"/>
      <c r="G1126" s="70"/>
      <c r="H1126" s="70"/>
      <c r="I1126" s="70"/>
      <c r="J1126" s="279"/>
    </row>
    <row r="1127" spans="1:10" s="178" customFormat="1" x14ac:dyDescent="0.25">
      <c r="A1127" s="393" t="s">
        <v>347</v>
      </c>
      <c r="B1127" s="70"/>
      <c r="C1127" s="70"/>
      <c r="D1127" s="70"/>
      <c r="E1127" s="70"/>
      <c r="F1127" s="70"/>
      <c r="G1127" s="70"/>
      <c r="H1127" s="70"/>
      <c r="I1127" s="70"/>
      <c r="J1127" s="279"/>
    </row>
    <row r="1128" spans="1:10" s="178" customFormat="1" x14ac:dyDescent="0.25">
      <c r="A1128" s="393" t="s">
        <v>348</v>
      </c>
      <c r="B1128" s="70"/>
      <c r="C1128" s="70"/>
      <c r="D1128" s="70"/>
      <c r="E1128" s="70"/>
      <c r="F1128" s="70"/>
      <c r="G1128" s="70"/>
      <c r="H1128" s="70"/>
      <c r="I1128" s="70"/>
      <c r="J1128" s="279"/>
    </row>
    <row r="1129" spans="1:10" s="178" customFormat="1" x14ac:dyDescent="0.25">
      <c r="A1129" s="300" t="s">
        <v>339</v>
      </c>
      <c r="B1129" s="70"/>
      <c r="C1129" s="70"/>
      <c r="D1129" s="70"/>
      <c r="E1129" s="70"/>
      <c r="F1129" s="70"/>
      <c r="G1129" s="70"/>
      <c r="H1129" s="70"/>
      <c r="I1129" s="70"/>
      <c r="J1129" s="279"/>
    </row>
    <row r="1130" spans="1:10" s="178" customFormat="1" x14ac:dyDescent="0.25">
      <c r="A1130" s="300" t="s">
        <v>457</v>
      </c>
      <c r="B1130" s="70"/>
      <c r="C1130" s="70"/>
      <c r="D1130" s="70"/>
      <c r="E1130" s="70"/>
      <c r="F1130" s="70"/>
      <c r="G1130" s="70"/>
      <c r="H1130" s="70"/>
      <c r="I1130" s="70"/>
      <c r="J1130" s="279"/>
    </row>
    <row r="1131" spans="1:10" s="178" customFormat="1" x14ac:dyDescent="0.25">
      <c r="A1131" s="275"/>
      <c r="B1131" s="276"/>
      <c r="C1131" s="276"/>
      <c r="D1131" s="276"/>
      <c r="E1131" s="276"/>
      <c r="F1131" s="276"/>
      <c r="G1131" s="276"/>
      <c r="H1131" s="276"/>
      <c r="I1131" s="276"/>
      <c r="J1131" s="277"/>
    </row>
    <row r="1132" spans="1:10" s="178" customFormat="1" x14ac:dyDescent="0.25">
      <c r="A1132" s="70"/>
      <c r="B1132" s="70"/>
      <c r="C1132" s="70"/>
      <c r="D1132" s="70"/>
      <c r="E1132" s="70"/>
      <c r="F1132" s="70"/>
      <c r="G1132" s="70"/>
      <c r="H1132" s="70"/>
      <c r="I1132" s="164"/>
      <c r="J1132" s="164"/>
    </row>
    <row r="1133" spans="1:10" s="178" customFormat="1" x14ac:dyDescent="0.25">
      <c r="A1133" s="93" t="s">
        <v>14</v>
      </c>
      <c r="B1133" s="271" t="s">
        <v>90</v>
      </c>
      <c r="C1133" s="271" t="s">
        <v>26</v>
      </c>
      <c r="D1133" s="164"/>
      <c r="E1133" s="164"/>
      <c r="F1133" s="164"/>
      <c r="G1133" s="164"/>
      <c r="H1133" s="164"/>
      <c r="I1133" s="164"/>
      <c r="J1133" s="164"/>
    </row>
    <row r="1134" spans="1:10" s="178" customFormat="1" x14ac:dyDescent="0.25">
      <c r="A1134" s="644" t="s">
        <v>27</v>
      </c>
      <c r="B1134" s="626">
        <v>2013</v>
      </c>
      <c r="C1134" s="60">
        <v>2014</v>
      </c>
      <c r="D1134" s="60">
        <v>2015</v>
      </c>
      <c r="E1134" s="60">
        <v>2016</v>
      </c>
      <c r="F1134" s="60">
        <v>2017</v>
      </c>
      <c r="G1134" s="388">
        <v>2018</v>
      </c>
      <c r="H1134" s="388">
        <v>2019</v>
      </c>
      <c r="I1134" s="60">
        <v>2020</v>
      </c>
      <c r="J1134" s="60">
        <v>2021</v>
      </c>
    </row>
    <row r="1135" spans="1:10" s="178" customFormat="1" x14ac:dyDescent="0.25">
      <c r="A1135" s="92" t="s">
        <v>28</v>
      </c>
      <c r="B1135" s="65">
        <v>25</v>
      </c>
      <c r="C1135" s="65">
        <v>25</v>
      </c>
      <c r="D1135" s="65">
        <v>25</v>
      </c>
      <c r="E1135" s="65">
        <v>25</v>
      </c>
      <c r="F1135" s="298">
        <v>25</v>
      </c>
      <c r="G1135" s="395">
        <v>25</v>
      </c>
      <c r="H1135" s="389">
        <v>25</v>
      </c>
      <c r="I1135" s="65">
        <v>25</v>
      </c>
      <c r="J1135" s="65">
        <v>25</v>
      </c>
    </row>
    <row r="1136" spans="1:10" s="178" customFormat="1" x14ac:dyDescent="0.25">
      <c r="A1136" s="92" t="s">
        <v>29</v>
      </c>
      <c r="B1136" s="65">
        <f>(B1137)</f>
        <v>-5</v>
      </c>
      <c r="C1136" s="65">
        <v>25</v>
      </c>
      <c r="D1136" s="65">
        <f t="shared" ref="D1136:E1136" si="33">(D1137)</f>
        <v>25</v>
      </c>
      <c r="E1136" s="65">
        <f t="shared" si="33"/>
        <v>24</v>
      </c>
      <c r="F1136" s="65">
        <f>F1135</f>
        <v>25</v>
      </c>
      <c r="G1136" s="395">
        <v>29</v>
      </c>
      <c r="H1136" s="389">
        <f>H1135+5</f>
        <v>30</v>
      </c>
      <c r="I1136" s="65">
        <f>I1137</f>
        <v>30</v>
      </c>
      <c r="J1136" s="65">
        <f>J1137</f>
        <v>30</v>
      </c>
    </row>
    <row r="1137" spans="1:10" s="178" customFormat="1" x14ac:dyDescent="0.25">
      <c r="A1137" s="92" t="s">
        <v>30</v>
      </c>
      <c r="B1137" s="298">
        <f>(B1135-B1138)</f>
        <v>-5</v>
      </c>
      <c r="C1137" s="298">
        <v>25</v>
      </c>
      <c r="D1137" s="298">
        <f>D1135+B1139+C1139</f>
        <v>25</v>
      </c>
      <c r="E1137" s="298">
        <f>E1135+D1139</f>
        <v>24</v>
      </c>
      <c r="F1137" s="298">
        <v>25</v>
      </c>
      <c r="G1137" s="395">
        <v>29</v>
      </c>
      <c r="H1137" s="389">
        <f>H1135+5</f>
        <v>30</v>
      </c>
      <c r="I1137" s="65">
        <f>I1135+0.2*G1135</f>
        <v>30</v>
      </c>
      <c r="J1137" s="65">
        <f>J1135+0.2*H1135</f>
        <v>30</v>
      </c>
    </row>
    <row r="1138" spans="1:10" s="178" customFormat="1" x14ac:dyDescent="0.25">
      <c r="A1138" s="92" t="s">
        <v>45</v>
      </c>
      <c r="B1138" s="298">
        <v>30</v>
      </c>
      <c r="C1138" s="298">
        <v>20</v>
      </c>
      <c r="D1138" s="298">
        <v>26</v>
      </c>
      <c r="E1138" s="298">
        <v>20</v>
      </c>
      <c r="F1138" s="298">
        <v>12</v>
      </c>
      <c r="G1138" s="395">
        <v>15.89</v>
      </c>
      <c r="H1138" s="389">
        <v>9</v>
      </c>
      <c r="I1138" s="65">
        <v>10</v>
      </c>
      <c r="J1138" s="65"/>
    </row>
    <row r="1139" spans="1:10" s="178" customFormat="1" x14ac:dyDescent="0.25">
      <c r="A1139" s="92" t="s">
        <v>46</v>
      </c>
      <c r="B1139" s="65">
        <v>-5</v>
      </c>
      <c r="C1139" s="65">
        <v>5</v>
      </c>
      <c r="D1139" s="65">
        <f>D1136-D1138</f>
        <v>-1</v>
      </c>
      <c r="E1139" s="396">
        <f>E1136-E1138</f>
        <v>4</v>
      </c>
      <c r="F1139" s="65">
        <f>F1136-F1138</f>
        <v>13</v>
      </c>
      <c r="G1139" s="395">
        <v>13.11</v>
      </c>
      <c r="H1139" s="389">
        <f>H1136-H1138</f>
        <v>21</v>
      </c>
      <c r="I1139" s="389">
        <f>I1136-I1138</f>
        <v>20</v>
      </c>
      <c r="J1139" s="65"/>
    </row>
    <row r="1140" spans="1:10" s="178" customFormat="1" x14ac:dyDescent="0.25">
      <c r="A1140" s="273" t="s">
        <v>33</v>
      </c>
      <c r="B1140" s="394">
        <v>2015</v>
      </c>
      <c r="C1140" s="394">
        <v>2016</v>
      </c>
      <c r="D1140" s="394">
        <v>2017</v>
      </c>
      <c r="E1140" s="394">
        <v>2018</v>
      </c>
      <c r="F1140" s="391">
        <v>2019</v>
      </c>
      <c r="G1140" s="391">
        <v>2020</v>
      </c>
      <c r="H1140" s="392">
        <v>2021</v>
      </c>
      <c r="I1140" s="391"/>
      <c r="J1140" s="391"/>
    </row>
    <row r="1141" spans="1:10" s="178" customFormat="1" x14ac:dyDescent="0.25">
      <c r="A1141" s="272" t="s">
        <v>34</v>
      </c>
      <c r="B1141" s="97"/>
      <c r="C1141" s="97"/>
      <c r="D1141" s="97"/>
      <c r="E1141" s="97"/>
      <c r="F1141" s="97"/>
      <c r="G1141" s="97"/>
      <c r="H1141" s="97"/>
      <c r="I1141" s="97"/>
      <c r="J1141" s="274"/>
    </row>
    <row r="1142" spans="1:10" s="178" customFormat="1" x14ac:dyDescent="0.25">
      <c r="A1142" s="393" t="s">
        <v>340</v>
      </c>
      <c r="B1142" s="70"/>
      <c r="C1142" s="70"/>
      <c r="D1142" s="70"/>
      <c r="E1142" s="70"/>
      <c r="F1142" s="70"/>
      <c r="G1142" s="70"/>
      <c r="H1142" s="70"/>
      <c r="I1142" s="70"/>
      <c r="J1142" s="279"/>
    </row>
    <row r="1143" spans="1:10" s="178" customFormat="1" x14ac:dyDescent="0.25">
      <c r="A1143" s="300" t="s">
        <v>341</v>
      </c>
      <c r="B1143" s="70"/>
      <c r="C1143" s="70"/>
      <c r="D1143" s="70"/>
      <c r="E1143" s="70"/>
      <c r="F1143" s="70"/>
      <c r="G1143" s="70"/>
      <c r="H1143" s="70"/>
      <c r="I1143" s="70"/>
      <c r="J1143" s="279"/>
    </row>
    <row r="1144" spans="1:10" s="178" customFormat="1" x14ac:dyDescent="0.25">
      <c r="A1144" s="393" t="s">
        <v>342</v>
      </c>
      <c r="B1144" s="70"/>
      <c r="C1144" s="70"/>
      <c r="D1144" s="70"/>
      <c r="E1144" s="70"/>
      <c r="F1144" s="70"/>
      <c r="G1144" s="70"/>
      <c r="H1144" s="70"/>
      <c r="I1144" s="70"/>
      <c r="J1144" s="279"/>
    </row>
    <row r="1145" spans="1:10" s="178" customFormat="1" x14ac:dyDescent="0.25">
      <c r="A1145" s="393" t="s">
        <v>343</v>
      </c>
      <c r="B1145" s="70"/>
      <c r="C1145" s="70"/>
      <c r="D1145" s="70"/>
      <c r="E1145" s="70"/>
      <c r="F1145" s="70"/>
      <c r="G1145" s="70"/>
      <c r="H1145" s="70"/>
      <c r="I1145" s="70"/>
      <c r="J1145" s="279"/>
    </row>
    <row r="1146" spans="1:10" s="178" customFormat="1" x14ac:dyDescent="0.25">
      <c r="A1146" s="300" t="s">
        <v>344</v>
      </c>
      <c r="B1146" s="70"/>
      <c r="C1146" s="70"/>
      <c r="D1146" s="70"/>
      <c r="E1146" s="70"/>
      <c r="F1146" s="70"/>
      <c r="G1146" s="70"/>
      <c r="H1146" s="70"/>
      <c r="I1146" s="70"/>
      <c r="J1146" s="279"/>
    </row>
    <row r="1147" spans="1:10" s="178" customFormat="1" x14ac:dyDescent="0.25">
      <c r="A1147" s="300" t="s">
        <v>459</v>
      </c>
      <c r="B1147" s="70"/>
      <c r="C1147" s="70"/>
      <c r="D1147" s="70"/>
      <c r="E1147" s="70"/>
      <c r="F1147" s="70"/>
      <c r="G1147" s="70"/>
      <c r="H1147" s="70"/>
      <c r="I1147" s="70"/>
      <c r="J1147" s="279"/>
    </row>
    <row r="1148" spans="1:10" s="178" customFormat="1" x14ac:dyDescent="0.25">
      <c r="A1148" s="275" t="s">
        <v>460</v>
      </c>
      <c r="B1148" s="276"/>
      <c r="C1148" s="276"/>
      <c r="D1148" s="276"/>
      <c r="E1148" s="276"/>
      <c r="F1148" s="276"/>
      <c r="G1148" s="276"/>
      <c r="H1148" s="276"/>
      <c r="I1148" s="276"/>
      <c r="J1148" s="277"/>
    </row>
    <row r="1149" spans="1:10" x14ac:dyDescent="0.25">
      <c r="A1149" s="47"/>
      <c r="B1149" s="47"/>
      <c r="C1149" s="47"/>
      <c r="D1149" s="47"/>
      <c r="E1149" s="47"/>
      <c r="F1149" s="47"/>
      <c r="G1149" s="47"/>
      <c r="H1149" s="47"/>
    </row>
    <row r="1150" spans="1:10" x14ac:dyDescent="0.25">
      <c r="A1150" s="47"/>
      <c r="B1150" s="47"/>
      <c r="C1150" s="47"/>
      <c r="D1150" s="47"/>
      <c r="E1150" s="47"/>
      <c r="F1150" s="47"/>
      <c r="G1150" s="47"/>
      <c r="H1150" s="47"/>
    </row>
    <row r="1151" spans="1:10" x14ac:dyDescent="0.25">
      <c r="A1151" s="643" t="s">
        <v>12</v>
      </c>
      <c r="B1151" s="729" t="s">
        <v>525</v>
      </c>
      <c r="C1151" s="232">
        <f>0.3*C1154</f>
        <v>350.4</v>
      </c>
      <c r="D1151" s="71">
        <f>D1154*0.2</f>
        <v>233.60000000000002</v>
      </c>
      <c r="E1151" s="71"/>
      <c r="F1151" s="71"/>
      <c r="G1151" s="71"/>
      <c r="H1151" s="47"/>
    </row>
    <row r="1152" spans="1:10" x14ac:dyDescent="0.25">
      <c r="A1152" s="83" t="s">
        <v>14</v>
      </c>
      <c r="B1152" s="78" t="s">
        <v>226</v>
      </c>
      <c r="C1152" s="78" t="s">
        <v>15</v>
      </c>
      <c r="D1152" s="71"/>
      <c r="E1152" s="71"/>
      <c r="F1152" s="71"/>
      <c r="G1152" s="71"/>
      <c r="H1152" s="47"/>
    </row>
    <row r="1153" spans="1:8" x14ac:dyDescent="0.25">
      <c r="A1153" s="81" t="s">
        <v>16</v>
      </c>
      <c r="B1153" s="621"/>
      <c r="C1153" s="458">
        <v>2016</v>
      </c>
      <c r="D1153" s="459">
        <v>2017</v>
      </c>
      <c r="E1153" s="459">
        <v>2018</v>
      </c>
      <c r="F1153" s="459">
        <v>2019</v>
      </c>
      <c r="G1153" s="459">
        <v>2020</v>
      </c>
      <c r="H1153" s="47"/>
    </row>
    <row r="1154" spans="1:8" x14ac:dyDescent="0.25">
      <c r="A1154" s="73" t="s">
        <v>17</v>
      </c>
      <c r="B1154" s="74"/>
      <c r="C1154" s="126">
        <v>1168</v>
      </c>
      <c r="D1154" s="229">
        <v>1168</v>
      </c>
      <c r="E1154" s="229">
        <v>1168</v>
      </c>
      <c r="F1154" s="229">
        <v>1168</v>
      </c>
      <c r="G1154" s="229">
        <v>1168</v>
      </c>
      <c r="H1154" s="47"/>
    </row>
    <row r="1155" spans="1:8" x14ac:dyDescent="0.25">
      <c r="A1155" s="233" t="s">
        <v>18</v>
      </c>
      <c r="B1155" s="79"/>
      <c r="C1155" s="466">
        <f>C1154+0.3*C1154+50+50+50</f>
        <v>1668.4</v>
      </c>
      <c r="D1155" s="466">
        <f t="shared" ref="D1155" si="34">D1154+0.3*D1154+50+50+50</f>
        <v>1668.4</v>
      </c>
      <c r="E1155" s="466">
        <f>E1154+0.2*E1154+50+50+50</f>
        <v>1551.6</v>
      </c>
      <c r="F1155" s="466">
        <f t="shared" ref="F1155:G1155" si="35">F1154+0.2*F1154+50+50+50</f>
        <v>1551.6</v>
      </c>
      <c r="G1155" s="466">
        <f t="shared" si="35"/>
        <v>1551.6</v>
      </c>
      <c r="H1155" s="47"/>
    </row>
    <row r="1156" spans="1:8" x14ac:dyDescent="0.25">
      <c r="A1156" s="233" t="s">
        <v>19</v>
      </c>
      <c r="B1156" s="76"/>
      <c r="C1156" s="466" t="s">
        <v>529</v>
      </c>
      <c r="D1156" s="466" t="s">
        <v>529</v>
      </c>
      <c r="E1156" s="466" t="s">
        <v>532</v>
      </c>
      <c r="F1156" s="466" t="s">
        <v>532</v>
      </c>
      <c r="G1156" s="466" t="s">
        <v>532</v>
      </c>
      <c r="H1156" s="47"/>
    </row>
    <row r="1157" spans="1:8" x14ac:dyDescent="0.25">
      <c r="A1157" s="233" t="s">
        <v>20</v>
      </c>
      <c r="B1157" s="79"/>
      <c r="C1157" s="235">
        <v>466</v>
      </c>
      <c r="D1157" s="467">
        <v>717</v>
      </c>
      <c r="E1157" s="467">
        <v>881</v>
      </c>
      <c r="F1157" s="467">
        <v>811.28</v>
      </c>
      <c r="G1157" s="467">
        <v>789.23699999999997</v>
      </c>
      <c r="H1157" s="47"/>
    </row>
    <row r="1158" spans="1:8" x14ac:dyDescent="0.25">
      <c r="A1158" s="233" t="s">
        <v>21</v>
      </c>
      <c r="B1158" s="79"/>
      <c r="C1158" s="235">
        <f>C1155-C1157</f>
        <v>1202.4000000000001</v>
      </c>
      <c r="D1158" s="235">
        <f t="shared" ref="D1158:G1158" si="36">D1155-D1157</f>
        <v>951.40000000000009</v>
      </c>
      <c r="E1158" s="235">
        <f t="shared" si="36"/>
        <v>670.59999999999991</v>
      </c>
      <c r="F1158" s="235">
        <f t="shared" si="36"/>
        <v>740.31999999999994</v>
      </c>
      <c r="G1158" s="235">
        <f t="shared" si="36"/>
        <v>762.36299999999994</v>
      </c>
      <c r="H1158" s="47"/>
    </row>
    <row r="1159" spans="1:8" x14ac:dyDescent="0.25">
      <c r="A1159" s="73" t="s">
        <v>22</v>
      </c>
      <c r="B1159" s="74"/>
      <c r="C1159" s="319">
        <v>2018</v>
      </c>
      <c r="D1159" s="319">
        <v>2019</v>
      </c>
      <c r="E1159" s="319">
        <v>2020</v>
      </c>
      <c r="F1159" s="319">
        <v>2021</v>
      </c>
      <c r="G1159" s="319">
        <v>2022</v>
      </c>
      <c r="H1159" s="47"/>
    </row>
    <row r="1160" spans="1:8" x14ac:dyDescent="0.25">
      <c r="A1160" s="841" t="s">
        <v>23</v>
      </c>
      <c r="B1160" s="842"/>
      <c r="C1160" s="842"/>
      <c r="D1160" s="842"/>
      <c r="E1160" s="842"/>
      <c r="F1160" s="460"/>
      <c r="G1160" s="75"/>
      <c r="H1160" s="47"/>
    </row>
    <row r="1161" spans="1:8" x14ac:dyDescent="0.25">
      <c r="A1161" s="441" t="s">
        <v>527</v>
      </c>
      <c r="B1161" s="442"/>
      <c r="C1161" s="442"/>
      <c r="D1161" s="442"/>
      <c r="E1161" s="442"/>
      <c r="F1161" s="237"/>
      <c r="G1161" s="167"/>
      <c r="H1161" s="47"/>
    </row>
    <row r="1162" spans="1:8" x14ac:dyDescent="0.25">
      <c r="A1162" s="310" t="s">
        <v>526</v>
      </c>
      <c r="B1162" s="309"/>
      <c r="C1162" s="309"/>
      <c r="D1162" s="309"/>
      <c r="E1162" s="309"/>
      <c r="F1162" s="309"/>
      <c r="G1162" s="461"/>
      <c r="H1162" s="47"/>
    </row>
    <row r="1163" spans="1:8" x14ac:dyDescent="0.25">
      <c r="A1163" s="49" t="s">
        <v>528</v>
      </c>
      <c r="B1163" s="47"/>
      <c r="C1163" s="47"/>
      <c r="D1163" s="47"/>
      <c r="E1163" s="47"/>
      <c r="F1163" s="47"/>
      <c r="G1163" s="50"/>
      <c r="H1163" s="47"/>
    </row>
    <row r="1164" spans="1:8" x14ac:dyDescent="0.25">
      <c r="A1164" s="49" t="s">
        <v>530</v>
      </c>
      <c r="B1164" s="47"/>
      <c r="C1164" s="47"/>
      <c r="D1164" s="47"/>
      <c r="E1164" s="47"/>
      <c r="F1164" s="47"/>
      <c r="G1164" s="50"/>
      <c r="H1164" s="47"/>
    </row>
    <row r="1165" spans="1:8" x14ac:dyDescent="0.25">
      <c r="A1165" s="11" t="s">
        <v>531</v>
      </c>
      <c r="B1165" s="12"/>
      <c r="C1165" s="12"/>
      <c r="D1165" s="12"/>
      <c r="E1165" s="12"/>
      <c r="F1165" s="12"/>
      <c r="G1165" s="13"/>
      <c r="H1165" s="47"/>
    </row>
    <row r="1166" spans="1:8" x14ac:dyDescent="0.25">
      <c r="A1166" s="47"/>
      <c r="B1166" s="47"/>
      <c r="C1166" s="47"/>
      <c r="D1166" s="47"/>
      <c r="E1166" s="47"/>
      <c r="F1166" s="47"/>
      <c r="G1166" s="47"/>
      <c r="H1166" s="47"/>
    </row>
    <row r="1167" spans="1:8" x14ac:dyDescent="0.25">
      <c r="A1167" s="47"/>
      <c r="B1167" s="47"/>
      <c r="C1167" s="47"/>
      <c r="D1167" s="47"/>
      <c r="E1167" s="47"/>
      <c r="F1167" s="47"/>
      <c r="G1167" s="47"/>
      <c r="H1167" s="47"/>
    </row>
    <row r="1168" spans="1:8" x14ac:dyDescent="0.25">
      <c r="A1168" s="643" t="s">
        <v>12</v>
      </c>
      <c r="B1168" s="730" t="s">
        <v>289</v>
      </c>
      <c r="C1168" s="232"/>
      <c r="D1168" s="71"/>
      <c r="E1168" s="71"/>
      <c r="F1168" s="71"/>
      <c r="G1168" s="71"/>
      <c r="H1168" s="47"/>
    </row>
    <row r="1169" spans="1:8" x14ac:dyDescent="0.25">
      <c r="A1169" s="83" t="s">
        <v>14</v>
      </c>
      <c r="B1169" s="78" t="s">
        <v>276</v>
      </c>
      <c r="C1169" s="78" t="s">
        <v>15</v>
      </c>
      <c r="D1169" s="71"/>
      <c r="E1169" s="71"/>
      <c r="F1169" s="71"/>
      <c r="G1169" s="71"/>
      <c r="H1169" s="47"/>
    </row>
    <row r="1170" spans="1:8" x14ac:dyDescent="0.25">
      <c r="A1170" s="81" t="s">
        <v>16</v>
      </c>
      <c r="B1170" s="621"/>
      <c r="C1170" s="74"/>
      <c r="D1170" s="459">
        <v>2019</v>
      </c>
      <c r="E1170" s="459">
        <v>2020</v>
      </c>
      <c r="F1170" s="459">
        <v>2021</v>
      </c>
      <c r="H1170" s="47"/>
    </row>
    <row r="1171" spans="1:8" x14ac:dyDescent="0.25">
      <c r="A1171" s="73" t="s">
        <v>17</v>
      </c>
      <c r="B1171" s="74"/>
      <c r="C1171" s="74"/>
      <c r="D1171" s="75">
        <v>239</v>
      </c>
      <c r="E1171" s="75">
        <v>300</v>
      </c>
      <c r="F1171" s="75">
        <v>300</v>
      </c>
      <c r="H1171" s="47"/>
    </row>
    <row r="1172" spans="1:8" x14ac:dyDescent="0.25">
      <c r="A1172" s="73" t="s">
        <v>18</v>
      </c>
      <c r="B1172" s="74"/>
      <c r="C1172" s="74"/>
      <c r="D1172" s="75">
        <v>239</v>
      </c>
      <c r="E1172" s="75">
        <f>E1171+0.05*D1171</f>
        <v>311.95</v>
      </c>
      <c r="F1172" s="75">
        <f>F1171+0.05*E1171</f>
        <v>315</v>
      </c>
      <c r="H1172" s="47"/>
    </row>
    <row r="1173" spans="1:8" x14ac:dyDescent="0.25">
      <c r="A1173" s="73" t="s">
        <v>19</v>
      </c>
      <c r="B1173" s="76"/>
      <c r="C1173" s="77"/>
      <c r="D1173" s="598" t="s">
        <v>290</v>
      </c>
      <c r="E1173" s="599"/>
      <c r="F1173" s="599"/>
      <c r="H1173" s="47"/>
    </row>
    <row r="1174" spans="1:8" x14ac:dyDescent="0.25">
      <c r="A1174" s="73" t="s">
        <v>20</v>
      </c>
      <c r="B1174" s="74"/>
      <c r="C1174" s="74"/>
      <c r="D1174" s="75">
        <v>49.3</v>
      </c>
      <c r="E1174" s="75">
        <v>194.39</v>
      </c>
      <c r="F1174" s="75">
        <v>194.39</v>
      </c>
      <c r="H1174" s="47"/>
    </row>
    <row r="1175" spans="1:8" x14ac:dyDescent="0.25">
      <c r="A1175" s="73" t="s">
        <v>21</v>
      </c>
      <c r="B1175" s="74"/>
      <c r="C1175" s="74"/>
      <c r="D1175" s="75">
        <f>D1172-D1174</f>
        <v>189.7</v>
      </c>
      <c r="E1175" s="75">
        <f>E1172-E1174</f>
        <v>117.56</v>
      </c>
      <c r="F1175" s="75">
        <f>F1172-F1174</f>
        <v>120.61000000000001</v>
      </c>
      <c r="H1175" s="47"/>
    </row>
    <row r="1176" spans="1:8" x14ac:dyDescent="0.25">
      <c r="A1176" s="165" t="s">
        <v>22</v>
      </c>
      <c r="B1176" s="166"/>
      <c r="C1176" s="166"/>
      <c r="D1176" s="600">
        <v>2020</v>
      </c>
      <c r="E1176" s="600">
        <v>2021</v>
      </c>
      <c r="F1176" s="600">
        <v>2022</v>
      </c>
      <c r="H1176" s="47"/>
    </row>
    <row r="1177" spans="1:8" x14ac:dyDescent="0.25">
      <c r="A1177" s="841" t="s">
        <v>23</v>
      </c>
      <c r="B1177" s="842"/>
      <c r="C1177" s="842"/>
      <c r="D1177" s="842"/>
      <c r="E1177" s="842"/>
      <c r="F1177" s="857"/>
      <c r="G1177" s="72"/>
      <c r="H1177" s="47"/>
    </row>
    <row r="1178" spans="1:8" ht="39.6" customHeight="1" x14ac:dyDescent="0.25">
      <c r="A1178" s="854" t="s">
        <v>291</v>
      </c>
      <c r="B1178" s="855"/>
      <c r="C1178" s="855"/>
      <c r="D1178" s="855"/>
      <c r="E1178" s="855"/>
      <c r="F1178" s="856"/>
      <c r="G1178" s="72"/>
      <c r="H1178" s="47"/>
    </row>
    <row r="1179" spans="1:8" ht="49.2" customHeight="1" x14ac:dyDescent="0.25">
      <c r="A1179" s="832" t="s">
        <v>606</v>
      </c>
      <c r="B1179" s="833"/>
      <c r="C1179" s="833"/>
      <c r="D1179" s="833"/>
      <c r="E1179" s="833"/>
      <c r="F1179" s="834"/>
      <c r="G1179" s="47"/>
      <c r="H1179" s="47"/>
    </row>
    <row r="1180" spans="1:8" x14ac:dyDescent="0.25">
      <c r="A1180" s="47"/>
      <c r="B1180" s="47"/>
      <c r="C1180" s="47"/>
      <c r="D1180" s="47"/>
      <c r="E1180" s="47"/>
      <c r="F1180" s="47"/>
      <c r="G1180" s="47"/>
      <c r="H1180" s="47"/>
    </row>
    <row r="1182" spans="1:8" x14ac:dyDescent="0.25">
      <c r="A1182" s="1" t="s">
        <v>12</v>
      </c>
      <c r="B1182" s="731" t="s">
        <v>422</v>
      </c>
      <c r="C1182" s="164"/>
      <c r="D1182" s="2"/>
      <c r="E1182" s="2"/>
      <c r="F1182" s="2"/>
    </row>
    <row r="1183" spans="1:8" x14ac:dyDescent="0.25">
      <c r="A1183" s="3" t="s">
        <v>14</v>
      </c>
      <c r="B1183" s="4" t="s">
        <v>76</v>
      </c>
      <c r="C1183" s="96" t="s">
        <v>15</v>
      </c>
      <c r="D1183" s="2"/>
      <c r="E1183" s="2"/>
      <c r="F1183" s="2"/>
    </row>
    <row r="1184" spans="1:8" x14ac:dyDescent="0.25">
      <c r="A1184" s="6" t="s">
        <v>16</v>
      </c>
      <c r="B1184" s="7"/>
      <c r="C1184" s="364">
        <v>2015</v>
      </c>
      <c r="D1184" s="303">
        <v>2016</v>
      </c>
      <c r="E1184" s="305">
        <v>2017</v>
      </c>
      <c r="F1184" s="305">
        <v>2018</v>
      </c>
      <c r="G1184" s="305">
        <v>2019</v>
      </c>
      <c r="H1184" s="305">
        <v>2020</v>
      </c>
    </row>
    <row r="1185" spans="1:8" x14ac:dyDescent="0.25">
      <c r="A1185" s="6" t="s">
        <v>17</v>
      </c>
      <c r="B1185" s="7"/>
      <c r="C1185" s="94">
        <v>2100</v>
      </c>
      <c r="D1185" s="363">
        <v>1575</v>
      </c>
      <c r="E1185" s="363">
        <v>1575</v>
      </c>
      <c r="F1185" s="363">
        <v>1575</v>
      </c>
      <c r="G1185" s="363">
        <v>1575</v>
      </c>
      <c r="H1185" s="363">
        <v>0</v>
      </c>
    </row>
    <row r="1186" spans="1:8" x14ac:dyDescent="0.25">
      <c r="A1186" s="6" t="s">
        <v>18</v>
      </c>
      <c r="B1186" s="7"/>
      <c r="C1186" s="307">
        <v>2100</v>
      </c>
      <c r="D1186" s="363">
        <v>1575</v>
      </c>
      <c r="E1186" s="363">
        <v>1575</v>
      </c>
      <c r="F1186" s="363">
        <v>1575</v>
      </c>
      <c r="G1186" s="363">
        <v>1575</v>
      </c>
      <c r="H1186" s="363"/>
    </row>
    <row r="1187" spans="1:8" x14ac:dyDescent="0.25">
      <c r="A1187" s="6" t="s">
        <v>19</v>
      </c>
      <c r="B1187" s="7"/>
      <c r="C1187" s="259"/>
      <c r="D1187" s="94"/>
      <c r="E1187" s="261"/>
      <c r="F1187" s="261"/>
      <c r="G1187" s="261"/>
      <c r="H1187" s="261"/>
    </row>
    <row r="1188" spans="1:8" x14ac:dyDescent="0.25">
      <c r="A1188" s="6" t="s">
        <v>20</v>
      </c>
      <c r="B1188" s="7"/>
      <c r="C1188" s="363">
        <v>0</v>
      </c>
      <c r="D1188" s="363">
        <v>0</v>
      </c>
      <c r="E1188" s="363">
        <v>0</v>
      </c>
      <c r="F1188" s="363">
        <v>0</v>
      </c>
      <c r="G1188" s="363">
        <v>0</v>
      </c>
      <c r="H1188" s="363">
        <v>0</v>
      </c>
    </row>
    <row r="1189" spans="1:8" ht="27.75" customHeight="1" x14ac:dyDescent="0.25">
      <c r="A1189" s="6" t="s">
        <v>21</v>
      </c>
      <c r="B1189" s="7"/>
      <c r="C1189" s="307">
        <v>2100</v>
      </c>
      <c r="D1189" s="363">
        <v>1575</v>
      </c>
      <c r="E1189" s="363">
        <v>1575</v>
      </c>
      <c r="F1189" s="363">
        <v>1575</v>
      </c>
      <c r="G1189" s="363">
        <v>1575</v>
      </c>
      <c r="H1189" s="363">
        <v>1575</v>
      </c>
    </row>
    <row r="1190" spans="1:8" x14ac:dyDescent="0.25">
      <c r="A1190" s="8" t="s">
        <v>22</v>
      </c>
      <c r="B1190" s="37"/>
      <c r="C1190" s="57">
        <v>2016</v>
      </c>
      <c r="D1190" s="57">
        <v>2017</v>
      </c>
      <c r="E1190" s="59">
        <v>2018</v>
      </c>
      <c r="F1190" s="59">
        <v>2019</v>
      </c>
      <c r="G1190" s="59">
        <v>2020</v>
      </c>
      <c r="H1190" s="59">
        <v>2021</v>
      </c>
    </row>
    <row r="1191" spans="1:8" x14ac:dyDescent="0.25">
      <c r="A1191" s="504" t="s">
        <v>23</v>
      </c>
      <c r="B1191" s="515"/>
      <c r="C1191" s="515"/>
      <c r="D1191" s="515"/>
      <c r="E1191" s="515"/>
      <c r="F1191" s="515"/>
      <c r="G1191" s="515"/>
      <c r="H1191" s="588"/>
    </row>
    <row r="1194" spans="1:8" ht="26.4" x14ac:dyDescent="0.25">
      <c r="A1194" s="1" t="s">
        <v>12</v>
      </c>
      <c r="B1194" s="373" t="s">
        <v>427</v>
      </c>
      <c r="C1194" s="178"/>
      <c r="D1194" s="2"/>
      <c r="E1194" s="2"/>
      <c r="F1194" s="2"/>
      <c r="G1194" s="2"/>
    </row>
    <row r="1195" spans="1:8" x14ac:dyDescent="0.25">
      <c r="A1195" s="3" t="s">
        <v>14</v>
      </c>
      <c r="B1195" s="4" t="s">
        <v>49</v>
      </c>
      <c r="C1195" s="5" t="s">
        <v>15</v>
      </c>
      <c r="D1195" s="2"/>
      <c r="E1195" s="2"/>
      <c r="F1195" s="2"/>
      <c r="G1195" s="2"/>
    </row>
    <row r="1196" spans="1:8" x14ac:dyDescent="0.25">
      <c r="A1196" s="6" t="s">
        <v>16</v>
      </c>
      <c r="B1196" s="303">
        <v>2015</v>
      </c>
      <c r="C1196" s="304">
        <v>2016</v>
      </c>
      <c r="D1196" s="303">
        <v>2017</v>
      </c>
      <c r="E1196" s="305">
        <v>2018</v>
      </c>
      <c r="F1196" s="305">
        <v>2019</v>
      </c>
      <c r="G1196" s="303">
        <v>2020</v>
      </c>
      <c r="H1196" s="303">
        <v>2021</v>
      </c>
    </row>
    <row r="1197" spans="1:8" x14ac:dyDescent="0.25">
      <c r="A1197" s="6" t="s">
        <v>17</v>
      </c>
      <c r="B1197" s="306">
        <v>200</v>
      </c>
      <c r="C1197" s="307">
        <v>200</v>
      </c>
      <c r="D1197" s="306">
        <v>200</v>
      </c>
      <c r="E1197" s="308">
        <v>200</v>
      </c>
      <c r="F1197" s="308">
        <v>215</v>
      </c>
      <c r="G1197" s="306">
        <v>215</v>
      </c>
      <c r="H1197" s="130">
        <v>215</v>
      </c>
    </row>
    <row r="1198" spans="1:8" x14ac:dyDescent="0.25">
      <c r="A1198" s="6" t="s">
        <v>18</v>
      </c>
      <c r="B1198" s="306">
        <v>303.49</v>
      </c>
      <c r="C1198" s="307">
        <f>C1197+B1201+100</f>
        <v>298.49</v>
      </c>
      <c r="D1198" s="306">
        <f>D1197+100</f>
        <v>300</v>
      </c>
      <c r="E1198" s="308">
        <f>E1197+C1201+100</f>
        <v>306.89</v>
      </c>
      <c r="F1198" s="361">
        <v>218.8</v>
      </c>
      <c r="G1198" s="361">
        <v>265</v>
      </c>
      <c r="H1198" s="130">
        <f>1.25*H1197</f>
        <v>268.75</v>
      </c>
    </row>
    <row r="1199" spans="1:8" ht="39.6" x14ac:dyDescent="0.25">
      <c r="A1199" s="6" t="s">
        <v>19</v>
      </c>
      <c r="B1199" s="104"/>
      <c r="C1199" s="104" t="s">
        <v>428</v>
      </c>
      <c r="D1199" s="104" t="s">
        <v>429</v>
      </c>
      <c r="E1199" s="104" t="s">
        <v>430</v>
      </c>
      <c r="F1199" s="378" t="s">
        <v>444</v>
      </c>
      <c r="G1199" s="378" t="s">
        <v>445</v>
      </c>
      <c r="H1199" s="374" t="s">
        <v>431</v>
      </c>
    </row>
    <row r="1200" spans="1:8" x14ac:dyDescent="0.25">
      <c r="A1200" s="6" t="s">
        <v>20</v>
      </c>
      <c r="B1200" s="306">
        <v>305</v>
      </c>
      <c r="C1200" s="307">
        <v>291.60000000000002</v>
      </c>
      <c r="D1200" s="306">
        <v>296.2</v>
      </c>
      <c r="E1200" s="306">
        <v>173.26</v>
      </c>
      <c r="F1200" s="308">
        <v>180.45</v>
      </c>
      <c r="G1200" s="306"/>
      <c r="H1200" s="130"/>
    </row>
    <row r="1201" spans="1:8" x14ac:dyDescent="0.25">
      <c r="A1201" s="6" t="s">
        <v>21</v>
      </c>
      <c r="B1201" s="306">
        <v>-1.5099999999999909</v>
      </c>
      <c r="C1201" s="306">
        <f>C1198-C1200</f>
        <v>6.8899999999999864</v>
      </c>
      <c r="D1201" s="306">
        <f t="shared" ref="D1201:E1201" si="37">D1198-D1200</f>
        <v>3.8000000000000114</v>
      </c>
      <c r="E1201" s="306">
        <f t="shared" si="37"/>
        <v>133.63</v>
      </c>
      <c r="F1201" s="369">
        <v>38.350000000000023</v>
      </c>
      <c r="G1201" s="306"/>
      <c r="H1201" s="130"/>
    </row>
    <row r="1202" spans="1:8" x14ac:dyDescent="0.25">
      <c r="A1202" s="8" t="s">
        <v>22</v>
      </c>
      <c r="B1202" s="57">
        <v>2016</v>
      </c>
      <c r="C1202" s="58">
        <v>2018</v>
      </c>
      <c r="D1202" s="57">
        <v>2019</v>
      </c>
      <c r="E1202" s="59">
        <v>2020</v>
      </c>
      <c r="F1202" s="59">
        <v>2021</v>
      </c>
      <c r="G1202" s="57">
        <v>2022</v>
      </c>
      <c r="H1202" s="316">
        <v>2023</v>
      </c>
    </row>
    <row r="1203" spans="1:8" x14ac:dyDescent="0.25">
      <c r="A1203" s="8" t="s">
        <v>23</v>
      </c>
      <c r="B1203" s="9"/>
      <c r="C1203" s="9"/>
      <c r="D1203" s="9"/>
      <c r="E1203" s="9"/>
      <c r="F1203" s="9"/>
      <c r="G1203" s="9"/>
      <c r="H1203" s="248"/>
    </row>
    <row r="1204" spans="1:8" x14ac:dyDescent="0.25">
      <c r="A1204" s="49" t="s">
        <v>432</v>
      </c>
      <c r="B1204" s="2"/>
      <c r="C1204" s="2"/>
      <c r="D1204" s="2"/>
      <c r="E1204" s="2"/>
      <c r="F1204" s="2"/>
      <c r="G1204" s="2"/>
      <c r="H1204" s="110"/>
    </row>
    <row r="1205" spans="1:8" ht="13.2" customHeight="1" x14ac:dyDescent="0.25">
      <c r="A1205" s="843" t="s">
        <v>446</v>
      </c>
      <c r="B1205" s="844"/>
      <c r="C1205" s="844"/>
      <c r="D1205" s="844"/>
      <c r="E1205" s="844"/>
      <c r="F1205" s="844"/>
      <c r="G1205" s="844"/>
      <c r="H1205" s="138"/>
    </row>
    <row r="1206" spans="1:8" x14ac:dyDescent="0.25">
      <c r="A1206" s="370"/>
      <c r="B1206" s="370"/>
      <c r="C1206" s="370"/>
      <c r="D1206" s="370"/>
      <c r="E1206" s="370"/>
      <c r="F1206" s="370"/>
      <c r="G1206" s="370"/>
    </row>
    <row r="1208" spans="1:8" x14ac:dyDescent="0.25">
      <c r="A1208" s="1" t="s">
        <v>11</v>
      </c>
      <c r="B1208" s="722" t="s">
        <v>238</v>
      </c>
      <c r="C1208" s="232"/>
      <c r="D1208" s="2"/>
      <c r="E1208" s="2"/>
      <c r="F1208" s="2"/>
    </row>
    <row r="1209" spans="1:8" x14ac:dyDescent="0.25">
      <c r="A1209" s="3" t="s">
        <v>1</v>
      </c>
      <c r="B1209" s="4" t="s">
        <v>220</v>
      </c>
      <c r="C1209" s="96" t="s">
        <v>2</v>
      </c>
      <c r="D1209" s="2"/>
      <c r="E1209" s="2"/>
      <c r="F1209" s="2"/>
    </row>
    <row r="1210" spans="1:8" x14ac:dyDescent="0.25">
      <c r="A1210" s="315" t="s">
        <v>3</v>
      </c>
      <c r="B1210" s="112"/>
      <c r="C1210" s="286">
        <v>2018</v>
      </c>
      <c r="D1210" s="537">
        <v>2019</v>
      </c>
      <c r="E1210" s="286">
        <v>2020</v>
      </c>
      <c r="F1210" s="286">
        <v>2021</v>
      </c>
    </row>
    <row r="1211" spans="1:8" x14ac:dyDescent="0.25">
      <c r="A1211" s="315" t="s">
        <v>4</v>
      </c>
      <c r="B1211" s="112"/>
      <c r="C1211" s="130">
        <v>250</v>
      </c>
      <c r="D1211" s="563">
        <v>250</v>
      </c>
      <c r="E1211" s="130">
        <v>250</v>
      </c>
      <c r="F1211" s="564">
        <v>250</v>
      </c>
    </row>
    <row r="1212" spans="1:8" x14ac:dyDescent="0.25">
      <c r="A1212" s="315" t="s">
        <v>5</v>
      </c>
      <c r="B1212" s="112"/>
      <c r="C1212" s="130">
        <v>200</v>
      </c>
      <c r="D1212" s="130">
        <v>225</v>
      </c>
      <c r="E1212" s="130">
        <f>E1213</f>
        <v>225</v>
      </c>
      <c r="F1212" s="564">
        <f>F1213</f>
        <v>200</v>
      </c>
    </row>
    <row r="1213" spans="1:8" x14ac:dyDescent="0.25">
      <c r="A1213" s="315" t="s">
        <v>6</v>
      </c>
      <c r="B1213" s="112"/>
      <c r="C1213" s="130">
        <v>200</v>
      </c>
      <c r="D1213" s="130">
        <v>225</v>
      </c>
      <c r="E1213" s="130">
        <f>1.4*E1211-125</f>
        <v>225</v>
      </c>
      <c r="F1213" s="564">
        <f>F1211+0.4*E1211-150</f>
        <v>200</v>
      </c>
    </row>
    <row r="1214" spans="1:8" x14ac:dyDescent="0.25">
      <c r="A1214" s="315" t="s">
        <v>7</v>
      </c>
      <c r="B1214" s="112"/>
      <c r="C1214" s="130">
        <v>43.54</v>
      </c>
      <c r="D1214" s="130">
        <v>13.63</v>
      </c>
      <c r="E1214" s="130">
        <v>10</v>
      </c>
      <c r="F1214" s="564"/>
    </row>
    <row r="1215" spans="1:8" x14ac:dyDescent="0.25">
      <c r="A1215" s="315" t="s">
        <v>8</v>
      </c>
      <c r="B1215" s="112"/>
      <c r="C1215" s="130">
        <v>156.46</v>
      </c>
      <c r="D1215" s="563">
        <v>211.37</v>
      </c>
      <c r="E1215" s="130">
        <f>E1212-E1214</f>
        <v>215</v>
      </c>
      <c r="F1215" s="564"/>
    </row>
    <row r="1216" spans="1:8" x14ac:dyDescent="0.25">
      <c r="A1216" s="543" t="s">
        <v>9</v>
      </c>
      <c r="B1216" s="163"/>
      <c r="C1216" s="316">
        <v>2019</v>
      </c>
      <c r="D1216" s="535">
        <v>2020</v>
      </c>
      <c r="E1216" s="316">
        <v>2021</v>
      </c>
      <c r="F1216" s="248">
        <v>2022</v>
      </c>
    </row>
    <row r="1217" spans="1:6" x14ac:dyDescent="0.25">
      <c r="A1217" s="543" t="s">
        <v>177</v>
      </c>
      <c r="B1217" s="132"/>
      <c r="C1217" s="132"/>
      <c r="D1217" s="132"/>
      <c r="E1217" s="132"/>
      <c r="F1217" s="248"/>
    </row>
    <row r="1218" spans="1:6" x14ac:dyDescent="0.25">
      <c r="A1218" s="109" t="s">
        <v>239</v>
      </c>
      <c r="B1218" s="108"/>
      <c r="C1218" s="108"/>
      <c r="D1218" s="108"/>
      <c r="E1218" s="108"/>
      <c r="F1218" s="110"/>
    </row>
    <row r="1219" spans="1:6" x14ac:dyDescent="0.25">
      <c r="A1219" s="603" t="s">
        <v>609</v>
      </c>
      <c r="B1219" s="569"/>
      <c r="C1219" s="569"/>
      <c r="D1219" s="569"/>
      <c r="E1219" s="569"/>
      <c r="F1219" s="590"/>
    </row>
    <row r="1220" spans="1:6" ht="13.2" customHeight="1" x14ac:dyDescent="0.25">
      <c r="A1220" s="903" t="s">
        <v>610</v>
      </c>
      <c r="B1220" s="904"/>
      <c r="C1220" s="904"/>
      <c r="D1220" s="904"/>
      <c r="E1220" s="904"/>
      <c r="F1220" s="905"/>
    </row>
    <row r="1221" spans="1:6" x14ac:dyDescent="0.25">
      <c r="A1221" s="439" t="s">
        <v>611</v>
      </c>
      <c r="B1221" s="604"/>
      <c r="C1221" s="604"/>
      <c r="D1221" s="604"/>
      <c r="E1221" s="604"/>
      <c r="F1221" s="605"/>
    </row>
    <row r="1222" spans="1:6" ht="13.2" customHeight="1" x14ac:dyDescent="0.25">
      <c r="A1222" s="845" t="s">
        <v>612</v>
      </c>
      <c r="B1222" s="846"/>
      <c r="C1222" s="846"/>
      <c r="D1222" s="846"/>
      <c r="E1222" s="846"/>
      <c r="F1222" s="847"/>
    </row>
    <row r="1224" spans="1:6" x14ac:dyDescent="0.25">
      <c r="A1224" s="3" t="s">
        <v>1</v>
      </c>
      <c r="B1224" s="4" t="s">
        <v>226</v>
      </c>
      <c r="C1224" s="96" t="s">
        <v>2</v>
      </c>
      <c r="D1224" s="2"/>
      <c r="E1224" s="2"/>
      <c r="F1224" s="2"/>
    </row>
    <row r="1225" spans="1:6" x14ac:dyDescent="0.25">
      <c r="A1225" s="6" t="s">
        <v>3</v>
      </c>
      <c r="B1225" s="7"/>
      <c r="C1225" s="303">
        <v>2018</v>
      </c>
      <c r="D1225" s="304">
        <v>2019</v>
      </c>
      <c r="E1225" s="303">
        <v>2020</v>
      </c>
      <c r="F1225" s="303">
        <v>2021</v>
      </c>
    </row>
    <row r="1226" spans="1:6" x14ac:dyDescent="0.25">
      <c r="A1226" s="6" t="s">
        <v>4</v>
      </c>
      <c r="B1226" s="7"/>
      <c r="C1226" s="94">
        <v>417</v>
      </c>
      <c r="D1226" s="94">
        <v>417</v>
      </c>
      <c r="E1226" s="94">
        <v>417</v>
      </c>
      <c r="F1226" s="94">
        <v>417</v>
      </c>
    </row>
    <row r="1227" spans="1:6" x14ac:dyDescent="0.25">
      <c r="A1227" s="6" t="s">
        <v>5</v>
      </c>
      <c r="B1227" s="7"/>
      <c r="C1227" s="94">
        <v>500.4</v>
      </c>
      <c r="D1227" s="94">
        <v>500.4</v>
      </c>
      <c r="E1227" s="94">
        <f>E1228</f>
        <v>500.4</v>
      </c>
      <c r="F1227" s="94">
        <v>500.4</v>
      </c>
    </row>
    <row r="1228" spans="1:6" x14ac:dyDescent="0.25">
      <c r="A1228" s="6" t="s">
        <v>6</v>
      </c>
      <c r="B1228" s="7"/>
      <c r="C1228" s="94">
        <v>500.4</v>
      </c>
      <c r="D1228" s="94">
        <v>500.4</v>
      </c>
      <c r="E1228" s="94">
        <f>1.2*E1226</f>
        <v>500.4</v>
      </c>
      <c r="F1228" s="94">
        <v>500.4</v>
      </c>
    </row>
    <row r="1229" spans="1:6" x14ac:dyDescent="0.25">
      <c r="A1229" s="6" t="s">
        <v>7</v>
      </c>
      <c r="B1229" s="7"/>
      <c r="C1229" s="94">
        <v>92.8</v>
      </c>
      <c r="D1229" s="94">
        <v>166.9</v>
      </c>
      <c r="E1229" s="94"/>
      <c r="F1229" s="94"/>
    </row>
    <row r="1230" spans="1:6" x14ac:dyDescent="0.25">
      <c r="A1230" s="6" t="s">
        <v>8</v>
      </c>
      <c r="B1230" s="7"/>
      <c r="C1230" s="94">
        <v>407.59999999999997</v>
      </c>
      <c r="D1230" s="94">
        <f>D1227-D1229</f>
        <v>333.5</v>
      </c>
      <c r="E1230" s="94"/>
      <c r="F1230" s="94"/>
    </row>
    <row r="1231" spans="1:6" x14ac:dyDescent="0.25">
      <c r="A1231" s="8" t="s">
        <v>9</v>
      </c>
      <c r="B1231" s="37"/>
      <c r="C1231" s="53">
        <v>2019</v>
      </c>
      <c r="D1231" s="58">
        <v>2020</v>
      </c>
      <c r="E1231" s="57">
        <v>2021</v>
      </c>
      <c r="F1231" s="59">
        <v>2022</v>
      </c>
    </row>
    <row r="1232" spans="1:6" x14ac:dyDescent="0.25">
      <c r="A1232" s="8" t="s">
        <v>177</v>
      </c>
      <c r="B1232" s="9"/>
      <c r="C1232" s="9"/>
      <c r="D1232" s="9"/>
      <c r="E1232" s="9"/>
      <c r="F1232" s="10"/>
    </row>
    <row r="1233" spans="1:8" x14ac:dyDescent="0.25">
      <c r="A1233" s="49" t="s">
        <v>239</v>
      </c>
      <c r="B1233" s="47"/>
      <c r="C1233" s="47"/>
      <c r="D1233" s="47"/>
      <c r="E1233" s="47"/>
      <c r="F1233" s="50"/>
    </row>
    <row r="1234" spans="1:8" s="260" customFormat="1" ht="30" customHeight="1" x14ac:dyDescent="0.25">
      <c r="A1234" s="858" t="s">
        <v>240</v>
      </c>
      <c r="B1234" s="859"/>
      <c r="C1234" s="859"/>
      <c r="D1234" s="859"/>
      <c r="E1234" s="859"/>
      <c r="F1234" s="860"/>
    </row>
    <row r="1235" spans="1:8" s="260" customFormat="1" ht="30" customHeight="1" x14ac:dyDescent="0.25">
      <c r="A1235" s="858" t="s">
        <v>349</v>
      </c>
      <c r="B1235" s="859"/>
      <c r="C1235" s="859"/>
      <c r="D1235" s="859"/>
      <c r="E1235" s="859"/>
      <c r="F1235" s="860"/>
    </row>
    <row r="1236" spans="1:8" s="260" customFormat="1" ht="28.8" customHeight="1" x14ac:dyDescent="0.25">
      <c r="A1236" s="832" t="s">
        <v>613</v>
      </c>
      <c r="B1236" s="833"/>
      <c r="C1236" s="833"/>
      <c r="D1236" s="833"/>
      <c r="E1236" s="833"/>
      <c r="F1236" s="834"/>
    </row>
    <row r="1237" spans="1:8" x14ac:dyDescent="0.25">
      <c r="A1237" s="2"/>
      <c r="B1237" s="2"/>
      <c r="C1237" s="2"/>
      <c r="D1237" s="2"/>
      <c r="E1237" s="2"/>
      <c r="F1237" s="2"/>
      <c r="G1237" s="2"/>
    </row>
    <row r="1238" spans="1:8" x14ac:dyDescent="0.25">
      <c r="A1238" s="736" t="s">
        <v>14</v>
      </c>
      <c r="B1238" s="735" t="s">
        <v>76</v>
      </c>
      <c r="C1238" s="737" t="s">
        <v>15</v>
      </c>
      <c r="D1238" s="26"/>
      <c r="E1238" s="26"/>
      <c r="F1238" s="26"/>
      <c r="G1238" s="2"/>
    </row>
    <row r="1239" spans="1:8" x14ac:dyDescent="0.25">
      <c r="A1239" s="738" t="s">
        <v>16</v>
      </c>
      <c r="B1239" s="739"/>
      <c r="C1239" s="270">
        <v>2020</v>
      </c>
    </row>
    <row r="1240" spans="1:8" x14ac:dyDescent="0.25">
      <c r="A1240" s="738" t="s">
        <v>17</v>
      </c>
      <c r="B1240" s="740"/>
      <c r="C1240" s="242">
        <v>1322.73</v>
      </c>
    </row>
    <row r="1241" spans="1:8" x14ac:dyDescent="0.25">
      <c r="A1241" s="738" t="s">
        <v>18</v>
      </c>
      <c r="B1241" s="740"/>
      <c r="C1241" s="242"/>
    </row>
    <row r="1242" spans="1:8" x14ac:dyDescent="0.25">
      <c r="A1242" s="738" t="s">
        <v>19</v>
      </c>
      <c r="B1242" s="740"/>
      <c r="C1242" s="242"/>
    </row>
    <row r="1243" spans="1:8" x14ac:dyDescent="0.25">
      <c r="A1243" s="738" t="s">
        <v>20</v>
      </c>
      <c r="B1243" s="740"/>
      <c r="C1243" s="242">
        <v>2700.5</v>
      </c>
    </row>
    <row r="1244" spans="1:8" x14ac:dyDescent="0.25">
      <c r="A1244" s="738" t="s">
        <v>21</v>
      </c>
      <c r="B1244" s="741"/>
      <c r="C1244" s="242">
        <f>C1240-C1243</f>
        <v>-1377.77</v>
      </c>
    </row>
    <row r="1245" spans="1:8" x14ac:dyDescent="0.25">
      <c r="A1245" s="742" t="s">
        <v>22</v>
      </c>
      <c r="B1245" s="743"/>
      <c r="C1245" s="404"/>
    </row>
    <row r="1246" spans="1:8" x14ac:dyDescent="0.25">
      <c r="A1246" s="861" t="s">
        <v>664</v>
      </c>
      <c r="B1246" s="862"/>
      <c r="C1246" s="863"/>
      <c r="D1246" s="734"/>
      <c r="E1246" s="734"/>
      <c r="F1246" s="734"/>
      <c r="G1246" s="734"/>
      <c r="H1246" s="734"/>
    </row>
    <row r="1247" spans="1:8" x14ac:dyDescent="0.25">
      <c r="A1247" s="2"/>
      <c r="B1247" s="2"/>
      <c r="C1247" s="427"/>
      <c r="D1247" s="2"/>
      <c r="E1247" s="2"/>
      <c r="F1247" s="2"/>
      <c r="G1247" s="2"/>
    </row>
    <row r="1249" spans="1:8" x14ac:dyDescent="0.25">
      <c r="A1249" s="1" t="s">
        <v>222</v>
      </c>
      <c r="B1249" s="722" t="s">
        <v>223</v>
      </c>
      <c r="C1249" s="164"/>
      <c r="D1249" s="2"/>
      <c r="E1249" s="2"/>
      <c r="F1249" s="2"/>
    </row>
    <row r="1250" spans="1:8" x14ac:dyDescent="0.25">
      <c r="A1250" s="93" t="s">
        <v>221</v>
      </c>
      <c r="B1250" s="271" t="s">
        <v>225</v>
      </c>
      <c r="C1250" s="61" t="s">
        <v>15</v>
      </c>
      <c r="D1250" s="164"/>
      <c r="E1250" s="164"/>
      <c r="F1250" s="164"/>
    </row>
    <row r="1251" spans="1:8" x14ac:dyDescent="0.25">
      <c r="A1251" s="92" t="s">
        <v>16</v>
      </c>
      <c r="B1251" s="92"/>
      <c r="C1251" s="92"/>
      <c r="D1251" s="60">
        <v>2018</v>
      </c>
      <c r="E1251" s="60">
        <v>2019</v>
      </c>
      <c r="F1251" s="60">
        <v>2020</v>
      </c>
      <c r="G1251" s="60">
        <v>2021</v>
      </c>
      <c r="H1251" s="816">
        <v>2022</v>
      </c>
    </row>
    <row r="1252" spans="1:8" x14ac:dyDescent="0.25">
      <c r="A1252" s="92" t="s">
        <v>17</v>
      </c>
      <c r="B1252" s="65"/>
      <c r="C1252" s="65"/>
      <c r="D1252" s="65">
        <v>4400</v>
      </c>
      <c r="E1252" s="65">
        <v>4400</v>
      </c>
      <c r="F1252" s="65">
        <v>4400</v>
      </c>
      <c r="G1252" s="65">
        <v>4400</v>
      </c>
      <c r="H1252" s="258">
        <v>4400</v>
      </c>
    </row>
    <row r="1253" spans="1:8" x14ac:dyDescent="0.25">
      <c r="A1253" s="92" t="s">
        <v>18</v>
      </c>
      <c r="B1253" s="65"/>
      <c r="C1253" s="65"/>
      <c r="D1253" s="65">
        <v>5500</v>
      </c>
      <c r="E1253" s="65">
        <f>E1252*1.25-900</f>
        <v>4600</v>
      </c>
      <c r="F1253" s="65">
        <f>F1252*1.25-600</f>
        <v>4900</v>
      </c>
      <c r="G1253" s="65">
        <f>G1252+E1256</f>
        <v>4597.134</v>
      </c>
      <c r="H1253" s="258">
        <f>H1252+F1256</f>
        <v>5274.0761000000002</v>
      </c>
    </row>
    <row r="1254" spans="1:8" x14ac:dyDescent="0.25">
      <c r="A1254" s="91" t="s">
        <v>19</v>
      </c>
      <c r="B1254" s="278"/>
      <c r="C1254" s="65"/>
      <c r="D1254" s="65"/>
      <c r="E1254" s="65"/>
      <c r="F1254" s="65"/>
      <c r="G1254" s="65"/>
      <c r="H1254" s="258"/>
    </row>
    <row r="1255" spans="1:8" x14ac:dyDescent="0.25">
      <c r="A1255" s="91" t="s">
        <v>20</v>
      </c>
      <c r="B1255" s="65"/>
      <c r="C1255" s="65"/>
      <c r="D1255" s="65">
        <v>2572.5</v>
      </c>
      <c r="E1255" s="65">
        <v>4402.866</v>
      </c>
      <c r="F1255" s="65">
        <v>4025.9238999999998</v>
      </c>
      <c r="G1255" s="65"/>
      <c r="H1255" s="258"/>
    </row>
    <row r="1256" spans="1:8" x14ac:dyDescent="0.25">
      <c r="A1256" s="91" t="s">
        <v>21</v>
      </c>
      <c r="B1256" s="65"/>
      <c r="C1256" s="65"/>
      <c r="D1256" s="65">
        <f>D1253-D1255</f>
        <v>2927.5</v>
      </c>
      <c r="E1256" s="65">
        <f>E1253-E1255</f>
        <v>197.13400000000001</v>
      </c>
      <c r="F1256" s="65">
        <f>F1253-F1255</f>
        <v>874.07610000000022</v>
      </c>
      <c r="G1256" s="65"/>
      <c r="H1256" s="258"/>
    </row>
    <row r="1257" spans="1:8" x14ac:dyDescent="0.25">
      <c r="A1257" s="272" t="s">
        <v>22</v>
      </c>
      <c r="B1257" s="273"/>
      <c r="C1257" s="273"/>
      <c r="D1257" s="391">
        <v>2020</v>
      </c>
      <c r="E1257" s="340">
        <v>2021</v>
      </c>
      <c r="F1257" s="340">
        <v>2022</v>
      </c>
      <c r="G1257" s="340">
        <v>2023</v>
      </c>
      <c r="H1257" s="817">
        <v>2024</v>
      </c>
    </row>
    <row r="1258" spans="1:8" x14ac:dyDescent="0.25">
      <c r="A1258" s="272" t="s">
        <v>23</v>
      </c>
      <c r="B1258" s="97"/>
      <c r="C1258" s="97"/>
      <c r="D1258" s="495"/>
      <c r="E1258" s="496"/>
      <c r="F1258" s="496"/>
      <c r="G1258" s="497"/>
      <c r="H1258" s="818"/>
    </row>
    <row r="1259" spans="1:8" x14ac:dyDescent="0.25">
      <c r="A1259" s="272" t="s">
        <v>126</v>
      </c>
      <c r="B1259" s="97"/>
      <c r="C1259" s="97"/>
      <c r="D1259" s="97"/>
      <c r="E1259" s="97"/>
      <c r="F1259" s="97"/>
      <c r="G1259" s="132"/>
      <c r="H1259" s="248"/>
    </row>
    <row r="1260" spans="1:8" x14ac:dyDescent="0.25">
      <c r="A1260" s="300" t="s">
        <v>362</v>
      </c>
      <c r="B1260" s="70"/>
      <c r="C1260" s="70"/>
      <c r="D1260" s="70"/>
      <c r="E1260" s="70"/>
      <c r="F1260" s="70"/>
      <c r="G1260" s="108"/>
      <c r="H1260" s="110"/>
    </row>
    <row r="1261" spans="1:8" x14ac:dyDescent="0.25">
      <c r="A1261" s="300" t="s">
        <v>363</v>
      </c>
      <c r="B1261" s="70"/>
      <c r="C1261" s="70"/>
      <c r="D1261" s="70"/>
      <c r="E1261" s="70"/>
      <c r="F1261" s="70"/>
      <c r="G1261" s="108"/>
      <c r="H1261" s="110"/>
    </row>
    <row r="1262" spans="1:8" x14ac:dyDescent="0.25">
      <c r="A1262" s="300" t="s">
        <v>541</v>
      </c>
      <c r="B1262" s="70"/>
      <c r="C1262" s="70"/>
      <c r="D1262" s="70"/>
      <c r="E1262" s="70"/>
      <c r="F1262" s="70"/>
      <c r="G1262" s="108"/>
      <c r="H1262" s="110"/>
    </row>
    <row r="1263" spans="1:8" x14ac:dyDescent="0.25">
      <c r="A1263" s="819" t="s">
        <v>690</v>
      </c>
      <c r="B1263" s="276"/>
      <c r="C1263" s="276"/>
      <c r="D1263" s="276"/>
      <c r="E1263" s="276"/>
      <c r="F1263" s="276"/>
      <c r="G1263" s="137"/>
      <c r="H1263" s="138"/>
    </row>
    <row r="1264" spans="1:8" x14ac:dyDescent="0.25">
      <c r="A1264" s="70"/>
      <c r="B1264" s="70"/>
      <c r="C1264" s="70"/>
      <c r="D1264" s="70"/>
      <c r="E1264" s="70"/>
      <c r="F1264" s="70"/>
      <c r="G1264" s="108"/>
    </row>
    <row r="1265" spans="1:8" x14ac:dyDescent="0.25">
      <c r="A1265" s="93" t="s">
        <v>221</v>
      </c>
      <c r="B1265" s="498" t="s">
        <v>226</v>
      </c>
      <c r="C1265" s="61" t="s">
        <v>15</v>
      </c>
      <c r="D1265" s="164"/>
      <c r="E1265" s="164"/>
      <c r="F1265" s="164"/>
    </row>
    <row r="1266" spans="1:8" x14ac:dyDescent="0.25">
      <c r="A1266" s="92" t="s">
        <v>16</v>
      </c>
      <c r="B1266" s="92"/>
      <c r="C1266" s="60">
        <v>2016</v>
      </c>
      <c r="D1266" s="60">
        <v>2017</v>
      </c>
      <c r="E1266" s="60">
        <v>2018</v>
      </c>
      <c r="F1266" s="60">
        <v>2019</v>
      </c>
      <c r="G1266" s="60">
        <v>2020</v>
      </c>
      <c r="H1266" s="60">
        <v>2021</v>
      </c>
    </row>
    <row r="1267" spans="1:8" x14ac:dyDescent="0.25">
      <c r="A1267" s="92" t="s">
        <v>17</v>
      </c>
      <c r="B1267" s="65"/>
      <c r="C1267" s="65">
        <v>1001</v>
      </c>
      <c r="D1267" s="65">
        <v>1001</v>
      </c>
      <c r="E1267" s="65">
        <v>1001</v>
      </c>
      <c r="F1267" s="65">
        <v>1001</v>
      </c>
      <c r="G1267" s="65">
        <v>1001</v>
      </c>
      <c r="H1267" s="65">
        <v>1001</v>
      </c>
    </row>
    <row r="1268" spans="1:8" x14ac:dyDescent="0.25">
      <c r="A1268" s="92" t="s">
        <v>18</v>
      </c>
      <c r="B1268" s="65"/>
      <c r="C1268" s="65">
        <f>C1267*1.3-50</f>
        <v>1251.3</v>
      </c>
      <c r="D1268" s="65">
        <f>D1267*1.3-50</f>
        <v>1251.3</v>
      </c>
      <c r="E1268" s="65">
        <f>E1267*1.2-50</f>
        <v>1151.2</v>
      </c>
      <c r="F1268" s="65">
        <f t="shared" ref="F1268:H1268" si="38">F1267*1.2-50</f>
        <v>1151.2</v>
      </c>
      <c r="G1268" s="65">
        <f t="shared" si="38"/>
        <v>1151.2</v>
      </c>
      <c r="H1268" s="65">
        <f t="shared" si="38"/>
        <v>1151.2</v>
      </c>
    </row>
    <row r="1269" spans="1:8" x14ac:dyDescent="0.25">
      <c r="A1269" s="91" t="s">
        <v>19</v>
      </c>
      <c r="B1269" s="278"/>
      <c r="C1269" s="466" t="s">
        <v>542</v>
      </c>
      <c r="D1269" s="466" t="s">
        <v>542</v>
      </c>
      <c r="E1269" s="466" t="s">
        <v>543</v>
      </c>
      <c r="F1269" s="466" t="s">
        <v>543</v>
      </c>
      <c r="G1269" s="466" t="s">
        <v>543</v>
      </c>
      <c r="H1269" s="466" t="s">
        <v>543</v>
      </c>
    </row>
    <row r="1270" spans="1:8" x14ac:dyDescent="0.25">
      <c r="A1270" s="91" t="s">
        <v>20</v>
      </c>
      <c r="B1270" s="65"/>
      <c r="C1270" s="65">
        <v>124.4</v>
      </c>
      <c r="D1270" s="65">
        <v>159</v>
      </c>
      <c r="E1270" s="65">
        <v>188.7</v>
      </c>
      <c r="F1270" s="65">
        <v>288.56359999999995</v>
      </c>
      <c r="G1270" s="65">
        <v>149.46553</v>
      </c>
      <c r="H1270" s="65"/>
    </row>
    <row r="1271" spans="1:8" x14ac:dyDescent="0.25">
      <c r="A1271" s="91" t="s">
        <v>21</v>
      </c>
      <c r="B1271" s="65"/>
      <c r="C1271" s="65">
        <f>C1268-C1270</f>
        <v>1126.8999999999999</v>
      </c>
      <c r="D1271" s="65">
        <f t="shared" ref="D1271:G1271" si="39">D1268-D1270</f>
        <v>1092.3</v>
      </c>
      <c r="E1271" s="65">
        <f t="shared" si="39"/>
        <v>962.5</v>
      </c>
      <c r="F1271" s="65">
        <f t="shared" si="39"/>
        <v>862.63640000000009</v>
      </c>
      <c r="G1271" s="65">
        <f t="shared" si="39"/>
        <v>1001.7344700000001</v>
      </c>
      <c r="H1271" s="65"/>
    </row>
    <row r="1272" spans="1:8" x14ac:dyDescent="0.25">
      <c r="A1272" s="272" t="s">
        <v>22</v>
      </c>
      <c r="B1272" s="273"/>
      <c r="C1272" s="391">
        <v>2018</v>
      </c>
      <c r="D1272" s="391">
        <v>2019</v>
      </c>
      <c r="E1272" s="391">
        <v>2020</v>
      </c>
      <c r="F1272" s="391">
        <v>2021</v>
      </c>
      <c r="G1272" s="391">
        <v>2022</v>
      </c>
      <c r="H1272" s="391">
        <v>2023</v>
      </c>
    </row>
    <row r="1273" spans="1:8" x14ac:dyDescent="0.25">
      <c r="A1273" s="500" t="s">
        <v>23</v>
      </c>
      <c r="B1273" s="501"/>
      <c r="C1273" s="502"/>
      <c r="D1273" s="502"/>
      <c r="E1273" s="502"/>
      <c r="F1273" s="502"/>
      <c r="G1273" s="502"/>
      <c r="H1273" s="503"/>
    </row>
    <row r="1274" spans="1:8" x14ac:dyDescent="0.25">
      <c r="A1274" s="464" t="s">
        <v>527</v>
      </c>
      <c r="B1274" s="465"/>
      <c r="C1274" s="465"/>
      <c r="D1274" s="465"/>
      <c r="E1274" s="465"/>
      <c r="F1274" s="237"/>
      <c r="G1274" s="237"/>
      <c r="H1274" s="10"/>
    </row>
    <row r="1275" spans="1:8" x14ac:dyDescent="0.25">
      <c r="A1275" s="310" t="s">
        <v>526</v>
      </c>
      <c r="B1275" s="309"/>
      <c r="C1275" s="309"/>
      <c r="D1275" s="309"/>
      <c r="E1275" s="309"/>
      <c r="F1275" s="309"/>
      <c r="G1275" s="309"/>
      <c r="H1275" s="50"/>
    </row>
    <row r="1276" spans="1:8" x14ac:dyDescent="0.25">
      <c r="A1276" s="11" t="s">
        <v>544</v>
      </c>
      <c r="B1276" s="12"/>
      <c r="C1276" s="12"/>
      <c r="D1276" s="12"/>
      <c r="E1276" s="12"/>
      <c r="F1276" s="12"/>
      <c r="G1276" s="12"/>
      <c r="H1276" s="13"/>
    </row>
    <row r="1277" spans="1:8" x14ac:dyDescent="0.25">
      <c r="A1277" s="70"/>
      <c r="B1277" s="70"/>
      <c r="C1277" s="70"/>
      <c r="D1277" s="70"/>
      <c r="E1277" s="70"/>
      <c r="F1277" s="70"/>
      <c r="G1277" s="108"/>
    </row>
    <row r="1279" spans="1:8" x14ac:dyDescent="0.25">
      <c r="A1279" s="1" t="s">
        <v>12</v>
      </c>
      <c r="B1279" s="722" t="s">
        <v>13</v>
      </c>
      <c r="C1279" s="164"/>
      <c r="D1279" s="2"/>
      <c r="E1279" s="2"/>
      <c r="F1279" s="2"/>
    </row>
    <row r="1280" spans="1:8" x14ac:dyDescent="0.25">
      <c r="A1280" s="3" t="s">
        <v>14</v>
      </c>
      <c r="B1280" s="4" t="s">
        <v>276</v>
      </c>
      <c r="C1280" s="5" t="s">
        <v>15</v>
      </c>
      <c r="D1280" s="2"/>
      <c r="E1280" s="2"/>
      <c r="F1280" s="2"/>
    </row>
    <row r="1281" spans="1:9" x14ac:dyDescent="0.25">
      <c r="A1281" s="6" t="s">
        <v>16</v>
      </c>
      <c r="B1281" s="7"/>
      <c r="C1281" s="398">
        <v>2016</v>
      </c>
      <c r="D1281" s="399">
        <v>2017</v>
      </c>
      <c r="E1281" s="398">
        <v>2018</v>
      </c>
      <c r="F1281" s="400">
        <v>2019</v>
      </c>
      <c r="G1281" s="400">
        <v>2020</v>
      </c>
      <c r="H1281" s="400">
        <v>2020</v>
      </c>
    </row>
    <row r="1282" spans="1:9" x14ac:dyDescent="0.25">
      <c r="A1282" s="6" t="s">
        <v>17</v>
      </c>
      <c r="B1282" s="7"/>
      <c r="C1282" s="94">
        <v>47.4</v>
      </c>
      <c r="D1282" s="259">
        <v>56.91</v>
      </c>
      <c r="E1282" s="94">
        <v>66</v>
      </c>
      <c r="F1282" s="261">
        <v>73</v>
      </c>
      <c r="G1282" s="261">
        <v>80</v>
      </c>
      <c r="H1282" s="261">
        <v>80</v>
      </c>
    </row>
    <row r="1283" spans="1:9" x14ac:dyDescent="0.25">
      <c r="A1283" s="6" t="s">
        <v>18</v>
      </c>
      <c r="B1283" s="7"/>
      <c r="C1283" s="94">
        <v>47.4</v>
      </c>
      <c r="D1283" s="259">
        <v>56.91</v>
      </c>
      <c r="E1283" s="94">
        <v>66</v>
      </c>
      <c r="F1283" s="261">
        <v>73</v>
      </c>
      <c r="G1283" s="261">
        <v>80</v>
      </c>
      <c r="H1283" s="261">
        <v>0.8</v>
      </c>
    </row>
    <row r="1284" spans="1:9" x14ac:dyDescent="0.25">
      <c r="A1284" s="6" t="s">
        <v>19</v>
      </c>
      <c r="B1284" s="7"/>
      <c r="C1284" s="94"/>
      <c r="D1284" s="259"/>
      <c r="E1284" s="94"/>
      <c r="F1284" s="261"/>
      <c r="G1284" s="261"/>
      <c r="H1284" s="647" t="s">
        <v>631</v>
      </c>
    </row>
    <row r="1285" spans="1:9" x14ac:dyDescent="0.25">
      <c r="A1285" s="6" t="s">
        <v>20</v>
      </c>
      <c r="B1285" s="7"/>
      <c r="C1285" s="94">
        <v>47.393000000000001</v>
      </c>
      <c r="D1285" s="259">
        <v>56.905999999999999</v>
      </c>
      <c r="E1285" s="94">
        <v>66</v>
      </c>
      <c r="F1285" s="261">
        <v>71.97</v>
      </c>
      <c r="G1285" s="261">
        <v>79.2</v>
      </c>
      <c r="H1285" s="261"/>
    </row>
    <row r="1286" spans="1:9" x14ac:dyDescent="0.25">
      <c r="A1286" s="6" t="s">
        <v>21</v>
      </c>
      <c r="B1286" s="7"/>
      <c r="C1286" s="94">
        <f>C1283-C1285</f>
        <v>6.9999999999978968E-3</v>
      </c>
      <c r="D1286" s="94">
        <f t="shared" ref="D1286:F1286" si="40">D1283-D1285</f>
        <v>3.9999999999977831E-3</v>
      </c>
      <c r="E1286" s="94">
        <f t="shared" si="40"/>
        <v>0</v>
      </c>
      <c r="F1286" s="94">
        <f t="shared" si="40"/>
        <v>1.0300000000000011</v>
      </c>
      <c r="G1286" s="261">
        <f>G1283-G1285</f>
        <v>0.79999999999999716</v>
      </c>
      <c r="H1286" s="261"/>
    </row>
    <row r="1287" spans="1:9" x14ac:dyDescent="0.25">
      <c r="A1287" s="8" t="s">
        <v>22</v>
      </c>
      <c r="B1287" s="37"/>
      <c r="C1287" s="37"/>
      <c r="D1287" s="9"/>
      <c r="E1287" s="37"/>
      <c r="F1287" s="10"/>
      <c r="G1287" s="163"/>
      <c r="H1287" s="163"/>
    </row>
    <row r="1288" spans="1:9" x14ac:dyDescent="0.25">
      <c r="A1288" s="6" t="s">
        <v>23</v>
      </c>
      <c r="B1288" s="54"/>
      <c r="C1288" s="54"/>
      <c r="D1288" s="54"/>
      <c r="E1288" s="54"/>
      <c r="F1288" s="54"/>
      <c r="G1288" s="317"/>
      <c r="H1288" s="311"/>
    </row>
    <row r="1289" spans="1:9" x14ac:dyDescent="0.25">
      <c r="A1289" s="6" t="s">
        <v>630</v>
      </c>
      <c r="B1289" s="54"/>
      <c r="C1289" s="54"/>
      <c r="D1289" s="54"/>
      <c r="E1289" s="54"/>
      <c r="F1289" s="54"/>
      <c r="G1289" s="317"/>
      <c r="H1289" s="311"/>
    </row>
    <row r="1290" spans="1:9" x14ac:dyDescent="0.25">
      <c r="A1290" s="47"/>
      <c r="B1290" s="47"/>
      <c r="C1290" s="47"/>
      <c r="D1290" s="47"/>
      <c r="E1290" s="47"/>
      <c r="F1290" s="47"/>
    </row>
    <row r="1291" spans="1:9" x14ac:dyDescent="0.25">
      <c r="A1291" s="47"/>
      <c r="B1291" s="47"/>
      <c r="C1291" s="47"/>
      <c r="D1291" s="47"/>
      <c r="E1291" s="47"/>
      <c r="F1291" s="47"/>
    </row>
    <row r="1292" spans="1:9" x14ac:dyDescent="0.25">
      <c r="A1292" s="1" t="s">
        <v>12</v>
      </c>
      <c r="B1292" s="722" t="s">
        <v>189</v>
      </c>
      <c r="C1292" s="164"/>
      <c r="D1292" s="2"/>
      <c r="E1292" s="2"/>
      <c r="F1292" s="2"/>
    </row>
    <row r="1293" spans="1:9" x14ac:dyDescent="0.25">
      <c r="A1293" s="3" t="s">
        <v>14</v>
      </c>
      <c r="B1293" s="618" t="s">
        <v>220</v>
      </c>
      <c r="C1293" s="162" t="s">
        <v>15</v>
      </c>
      <c r="D1293" s="2"/>
      <c r="E1293" s="2"/>
      <c r="F1293" s="2"/>
    </row>
    <row r="1294" spans="1:9" x14ac:dyDescent="0.25">
      <c r="A1294" s="6" t="s">
        <v>16</v>
      </c>
      <c r="B1294" s="7"/>
      <c r="C1294" s="112"/>
      <c r="D1294" s="112"/>
      <c r="E1294" s="112"/>
      <c r="F1294" s="303">
        <v>2018</v>
      </c>
      <c r="G1294" s="303">
        <v>2019</v>
      </c>
      <c r="H1294" s="303">
        <v>2020</v>
      </c>
      <c r="I1294" s="303">
        <v>2021</v>
      </c>
    </row>
    <row r="1295" spans="1:9" x14ac:dyDescent="0.25">
      <c r="A1295" s="6" t="s">
        <v>17</v>
      </c>
      <c r="B1295" s="7"/>
      <c r="C1295" s="130"/>
      <c r="D1295" s="130"/>
      <c r="E1295" s="130"/>
      <c r="F1295" s="94">
        <v>125</v>
      </c>
      <c r="G1295" s="94">
        <v>125</v>
      </c>
      <c r="H1295" s="94">
        <v>125</v>
      </c>
      <c r="I1295" s="94">
        <v>125</v>
      </c>
    </row>
    <row r="1296" spans="1:9" x14ac:dyDescent="0.25">
      <c r="A1296" s="91" t="s">
        <v>18</v>
      </c>
      <c r="B1296" s="92"/>
      <c r="C1296" s="65"/>
      <c r="D1296" s="65"/>
      <c r="E1296" s="65"/>
      <c r="F1296" s="65">
        <v>100</v>
      </c>
      <c r="G1296" s="65">
        <v>100</v>
      </c>
      <c r="H1296" s="65">
        <f>H1295*1.4-100</f>
        <v>75</v>
      </c>
      <c r="I1296" s="65">
        <v>75</v>
      </c>
    </row>
    <row r="1297" spans="1:9" x14ac:dyDescent="0.25">
      <c r="A1297" s="91" t="s">
        <v>19</v>
      </c>
      <c r="B1297" s="92"/>
      <c r="C1297" s="65"/>
      <c r="D1297" s="65"/>
      <c r="E1297" s="65"/>
      <c r="F1297" s="65">
        <f>F1295*1.4-(75)</f>
        <v>100</v>
      </c>
      <c r="G1297" s="65">
        <f>G1295*1.4-(75)</f>
        <v>100</v>
      </c>
      <c r="H1297" s="65">
        <v>75</v>
      </c>
      <c r="I1297" s="65">
        <v>75</v>
      </c>
    </row>
    <row r="1298" spans="1:9" x14ac:dyDescent="0.25">
      <c r="A1298" s="91" t="s">
        <v>20</v>
      </c>
      <c r="B1298" s="92"/>
      <c r="C1298" s="65"/>
      <c r="D1298" s="65"/>
      <c r="E1298" s="65"/>
      <c r="F1298" s="65">
        <v>3</v>
      </c>
      <c r="G1298" s="65">
        <v>5.91</v>
      </c>
      <c r="H1298" s="65">
        <v>7.76</v>
      </c>
      <c r="I1298" s="65"/>
    </row>
    <row r="1299" spans="1:9" x14ac:dyDescent="0.25">
      <c r="A1299" s="91" t="s">
        <v>21</v>
      </c>
      <c r="B1299" s="92"/>
      <c r="C1299" s="65"/>
      <c r="D1299" s="65"/>
      <c r="E1299" s="65"/>
      <c r="F1299" s="65">
        <f>F1296-F1298</f>
        <v>97</v>
      </c>
      <c r="G1299" s="65">
        <f>G1296-G1298</f>
        <v>94.09</v>
      </c>
      <c r="H1299" s="65">
        <v>67.239999999999995</v>
      </c>
      <c r="I1299" s="65"/>
    </row>
    <row r="1300" spans="1:9" x14ac:dyDescent="0.25">
      <c r="A1300" s="272" t="s">
        <v>22</v>
      </c>
      <c r="B1300" s="273"/>
      <c r="C1300" s="273"/>
      <c r="D1300" s="273"/>
      <c r="E1300" s="273"/>
      <c r="F1300" s="391">
        <v>2019</v>
      </c>
      <c r="G1300" s="391">
        <v>2020</v>
      </c>
      <c r="H1300" s="391">
        <v>2021</v>
      </c>
      <c r="I1300" s="391">
        <v>2022</v>
      </c>
    </row>
    <row r="1301" spans="1:9" ht="25.8" customHeight="1" x14ac:dyDescent="0.25">
      <c r="A1301" s="900" t="s">
        <v>287</v>
      </c>
      <c r="B1301" s="901"/>
      <c r="C1301" s="901"/>
      <c r="D1301" s="901"/>
      <c r="E1301" s="901"/>
      <c r="F1301" s="901"/>
      <c r="G1301" s="901"/>
      <c r="H1301" s="901"/>
      <c r="I1301" s="902"/>
    </row>
    <row r="1302" spans="1:9" ht="34.200000000000003" customHeight="1" x14ac:dyDescent="0.25">
      <c r="A1302" s="848" t="s">
        <v>288</v>
      </c>
      <c r="B1302" s="849"/>
      <c r="C1302" s="849"/>
      <c r="D1302" s="849"/>
      <c r="E1302" s="849"/>
      <c r="F1302" s="849"/>
      <c r="G1302" s="849"/>
      <c r="H1302" s="849"/>
      <c r="I1302" s="850"/>
    </row>
    <row r="1303" spans="1:9" ht="27.6" customHeight="1" x14ac:dyDescent="0.25">
      <c r="A1303" s="848" t="s">
        <v>618</v>
      </c>
      <c r="B1303" s="849"/>
      <c r="C1303" s="849"/>
      <c r="D1303" s="849"/>
      <c r="E1303" s="849"/>
      <c r="F1303" s="849"/>
      <c r="G1303" s="849"/>
      <c r="H1303" s="849"/>
      <c r="I1303" s="850"/>
    </row>
    <row r="1304" spans="1:9" ht="30" customHeight="1" x14ac:dyDescent="0.25">
      <c r="A1304" s="829" t="s">
        <v>619</v>
      </c>
      <c r="B1304" s="830"/>
      <c r="C1304" s="830"/>
      <c r="D1304" s="830"/>
      <c r="E1304" s="830"/>
      <c r="F1304" s="830"/>
      <c r="G1304" s="830"/>
      <c r="H1304" s="830"/>
      <c r="I1304" s="831"/>
    </row>
    <row r="1305" spans="1:9" x14ac:dyDescent="0.25">
      <c r="A1305" s="70"/>
      <c r="B1305" s="70"/>
      <c r="C1305" s="70"/>
      <c r="D1305" s="70"/>
      <c r="E1305" s="70"/>
      <c r="F1305" s="70"/>
      <c r="G1305" s="164"/>
      <c r="H1305" s="164"/>
    </row>
    <row r="1306" spans="1:9" x14ac:dyDescent="0.25">
      <c r="A1306" s="93" t="s">
        <v>14</v>
      </c>
      <c r="B1306" s="646" t="s">
        <v>85</v>
      </c>
      <c r="C1306" s="271" t="s">
        <v>15</v>
      </c>
      <c r="D1306" s="164"/>
      <c r="E1306" s="164"/>
      <c r="F1306" s="164"/>
      <c r="G1306" s="164"/>
      <c r="H1306" s="164"/>
    </row>
    <row r="1307" spans="1:9" x14ac:dyDescent="0.25">
      <c r="A1307" s="275" t="s">
        <v>16</v>
      </c>
      <c r="B1307" s="645"/>
      <c r="C1307" s="60">
        <v>2015</v>
      </c>
      <c r="D1307" s="60">
        <v>2016</v>
      </c>
      <c r="E1307" s="60">
        <v>2017</v>
      </c>
      <c r="F1307" s="60">
        <v>2018</v>
      </c>
      <c r="G1307" s="60">
        <v>2019</v>
      </c>
      <c r="H1307" s="60">
        <v>2020</v>
      </c>
      <c r="I1307" s="303">
        <v>2021</v>
      </c>
    </row>
    <row r="1308" spans="1:9" x14ac:dyDescent="0.25">
      <c r="A1308" s="91" t="s">
        <v>17</v>
      </c>
      <c r="B1308" s="62"/>
      <c r="C1308" s="62">
        <v>20</v>
      </c>
      <c r="D1308" s="62">
        <v>20</v>
      </c>
      <c r="E1308" s="62">
        <v>20</v>
      </c>
      <c r="F1308" s="62">
        <v>20</v>
      </c>
      <c r="G1308" s="62">
        <v>20</v>
      </c>
      <c r="H1308" s="67">
        <v>16.8</v>
      </c>
      <c r="I1308" s="7">
        <v>16.8</v>
      </c>
    </row>
    <row r="1309" spans="1:9" x14ac:dyDescent="0.25">
      <c r="A1309" s="91" t="s">
        <v>18</v>
      </c>
      <c r="B1309" s="62"/>
      <c r="C1309" s="62"/>
      <c r="D1309" s="62">
        <v>-64.900000000000006</v>
      </c>
      <c r="E1309" s="62">
        <v>-63.600000000000009</v>
      </c>
      <c r="F1309" s="62">
        <v>-43.600000000000009</v>
      </c>
      <c r="G1309" s="62">
        <v>-23.600000000000009</v>
      </c>
      <c r="H1309" s="62">
        <f>G1312+H1308+2</f>
        <v>-4.8000000000000078</v>
      </c>
      <c r="I1309" s="94">
        <f>I1308+H1312+2</f>
        <v>13.999999999999993</v>
      </c>
    </row>
    <row r="1310" spans="1:9" x14ac:dyDescent="0.25">
      <c r="A1310" s="91" t="s">
        <v>19</v>
      </c>
      <c r="B1310" s="63"/>
      <c r="C1310" s="63"/>
      <c r="D1310" s="64">
        <v>1</v>
      </c>
      <c r="E1310" s="64">
        <v>2</v>
      </c>
      <c r="F1310" s="64">
        <v>3</v>
      </c>
      <c r="G1310" s="64">
        <v>4</v>
      </c>
      <c r="H1310" s="64">
        <v>5</v>
      </c>
      <c r="I1310" s="53">
        <v>6</v>
      </c>
    </row>
    <row r="1311" spans="1:9" x14ac:dyDescent="0.25">
      <c r="A1311" s="91" t="s">
        <v>20</v>
      </c>
      <c r="B1311" s="65"/>
      <c r="C1311" s="65">
        <v>34.9</v>
      </c>
      <c r="D1311" s="65">
        <v>18.7</v>
      </c>
      <c r="E1311" s="65">
        <v>0</v>
      </c>
      <c r="F1311" s="65">
        <v>0</v>
      </c>
      <c r="G1311" s="65">
        <v>0</v>
      </c>
      <c r="H1311" s="65">
        <v>0</v>
      </c>
      <c r="I1311" s="7"/>
    </row>
    <row r="1312" spans="1:9" x14ac:dyDescent="0.25">
      <c r="A1312" s="91" t="s">
        <v>21</v>
      </c>
      <c r="B1312" s="65"/>
      <c r="C1312" s="65">
        <v>-84.9</v>
      </c>
      <c r="D1312" s="65">
        <v>-83.600000000000009</v>
      </c>
      <c r="E1312" s="65">
        <v>-63.600000000000009</v>
      </c>
      <c r="F1312" s="65">
        <v>-43.600000000000009</v>
      </c>
      <c r="G1312" s="65">
        <f>G1309-G1311</f>
        <v>-23.600000000000009</v>
      </c>
      <c r="H1312" s="65">
        <f>H1309-H1311</f>
        <v>-4.8000000000000078</v>
      </c>
      <c r="I1312" s="7"/>
    </row>
    <row r="1313" spans="1:9" x14ac:dyDescent="0.25">
      <c r="A1313" s="272" t="s">
        <v>22</v>
      </c>
      <c r="B1313" s="609"/>
      <c r="C1313" s="609"/>
      <c r="D1313" s="391">
        <v>2015</v>
      </c>
      <c r="E1313" s="391">
        <v>2016</v>
      </c>
      <c r="F1313" s="391">
        <v>2017</v>
      </c>
      <c r="G1313" s="391">
        <v>2018</v>
      </c>
      <c r="H1313" s="391">
        <v>2019</v>
      </c>
      <c r="I1313" s="391">
        <v>2020</v>
      </c>
    </row>
    <row r="1314" spans="1:9" x14ac:dyDescent="0.25">
      <c r="A1314" s="272" t="s">
        <v>620</v>
      </c>
      <c r="B1314" s="518"/>
      <c r="C1314" s="518"/>
      <c r="D1314" s="518"/>
      <c r="E1314" s="518"/>
      <c r="F1314" s="611"/>
      <c r="G1314" s="611"/>
      <c r="H1314" s="611"/>
      <c r="I1314" s="10"/>
    </row>
    <row r="1315" spans="1:9" x14ac:dyDescent="0.25">
      <c r="A1315" s="300" t="s">
        <v>621</v>
      </c>
      <c r="B1315" s="401"/>
      <c r="C1315" s="401"/>
      <c r="D1315" s="401"/>
      <c r="E1315" s="401"/>
      <c r="F1315" s="610"/>
      <c r="G1315" s="610"/>
      <c r="H1315" s="610"/>
      <c r="I1315" s="50"/>
    </row>
    <row r="1316" spans="1:9" x14ac:dyDescent="0.25">
      <c r="A1316" s="300" t="s">
        <v>622</v>
      </c>
      <c r="B1316" s="401"/>
      <c r="C1316" s="401"/>
      <c r="D1316" s="401"/>
      <c r="E1316" s="401"/>
      <c r="F1316" s="610"/>
      <c r="G1316" s="610"/>
      <c r="H1316" s="610"/>
      <c r="I1316" s="50"/>
    </row>
    <row r="1317" spans="1:9" x14ac:dyDescent="0.25">
      <c r="A1317" s="300" t="s">
        <v>623</v>
      </c>
      <c r="B1317" s="401"/>
      <c r="C1317" s="401"/>
      <c r="D1317" s="401"/>
      <c r="E1317" s="401"/>
      <c r="F1317" s="610"/>
      <c r="G1317" s="610"/>
      <c r="H1317" s="610"/>
      <c r="I1317" s="50"/>
    </row>
    <row r="1318" spans="1:9" x14ac:dyDescent="0.25">
      <c r="A1318" s="300" t="s">
        <v>624</v>
      </c>
      <c r="B1318" s="401"/>
      <c r="C1318" s="401"/>
      <c r="D1318" s="401"/>
      <c r="E1318" s="401"/>
      <c r="F1318" s="610"/>
      <c r="G1318" s="610"/>
      <c r="H1318" s="610"/>
      <c r="I1318" s="50"/>
    </row>
    <row r="1319" spans="1:9" x14ac:dyDescent="0.25">
      <c r="A1319" s="275" t="s">
        <v>625</v>
      </c>
      <c r="B1319" s="612"/>
      <c r="C1319" s="612"/>
      <c r="D1319" s="612"/>
      <c r="E1319" s="612"/>
      <c r="F1319" s="613"/>
      <c r="G1319" s="613"/>
      <c r="H1319" s="613"/>
      <c r="I1319" s="13"/>
    </row>
    <row r="1320" spans="1:9" x14ac:dyDescent="0.25">
      <c r="A1320" s="70"/>
      <c r="B1320" s="70"/>
      <c r="C1320" s="70"/>
      <c r="D1320" s="70"/>
      <c r="E1320" s="70"/>
      <c r="F1320" s="70"/>
      <c r="G1320" s="164"/>
      <c r="H1320" s="164"/>
    </row>
    <row r="1321" spans="1:9" x14ac:dyDescent="0.25">
      <c r="A1321" s="93" t="s">
        <v>14</v>
      </c>
      <c r="B1321" s="646" t="s">
        <v>90</v>
      </c>
      <c r="C1321" s="271" t="s">
        <v>15</v>
      </c>
      <c r="D1321" s="164"/>
      <c r="E1321" s="164"/>
      <c r="F1321" s="164"/>
      <c r="G1321" s="164"/>
      <c r="H1321" s="164"/>
    </row>
    <row r="1322" spans="1:9" x14ac:dyDescent="0.25">
      <c r="A1322" s="275" t="s">
        <v>16</v>
      </c>
      <c r="B1322" s="645"/>
      <c r="C1322" s="61">
        <v>2015</v>
      </c>
      <c r="D1322" s="61">
        <v>2016</v>
      </c>
      <c r="E1322" s="61">
        <v>2017</v>
      </c>
      <c r="F1322" s="61">
        <v>2018</v>
      </c>
      <c r="G1322" s="61">
        <v>2019</v>
      </c>
      <c r="H1322" s="61">
        <v>2020</v>
      </c>
      <c r="I1322" s="303">
        <v>2021</v>
      </c>
    </row>
    <row r="1323" spans="1:9" x14ac:dyDescent="0.25">
      <c r="A1323" s="91" t="s">
        <v>17</v>
      </c>
      <c r="B1323" s="62"/>
      <c r="C1323" s="62">
        <v>15</v>
      </c>
      <c r="D1323" s="62">
        <v>15</v>
      </c>
      <c r="E1323" s="62">
        <v>15</v>
      </c>
      <c r="F1323" s="62">
        <v>15</v>
      </c>
      <c r="G1323" s="62">
        <v>15</v>
      </c>
      <c r="H1323" s="67">
        <v>15</v>
      </c>
      <c r="I1323" s="94">
        <v>15</v>
      </c>
    </row>
    <row r="1324" spans="1:9" x14ac:dyDescent="0.25">
      <c r="A1324" s="91" t="s">
        <v>18</v>
      </c>
      <c r="B1324" s="62"/>
      <c r="C1324" s="62"/>
      <c r="D1324" s="62">
        <v>-59.3</v>
      </c>
      <c r="E1324" s="62">
        <v>-64.199999999999989</v>
      </c>
      <c r="F1324" s="62">
        <v>-49.199999999999989</v>
      </c>
      <c r="G1324" s="62">
        <v>-34.199999999999989</v>
      </c>
      <c r="H1324" s="62">
        <f>G1327+H1323</f>
        <v>-19.199999999999989</v>
      </c>
      <c r="I1324" s="94">
        <f>I1323+H1327</f>
        <v>-4.1999999999999886</v>
      </c>
    </row>
    <row r="1325" spans="1:9" x14ac:dyDescent="0.25">
      <c r="A1325" s="91" t="s">
        <v>19</v>
      </c>
      <c r="B1325" s="63"/>
      <c r="C1325" s="63"/>
      <c r="D1325" s="64">
        <v>1</v>
      </c>
      <c r="E1325" s="64">
        <v>2</v>
      </c>
      <c r="F1325" s="64">
        <v>3</v>
      </c>
      <c r="G1325" s="64">
        <v>4</v>
      </c>
      <c r="H1325" s="64">
        <v>5</v>
      </c>
      <c r="I1325" s="53">
        <v>6</v>
      </c>
    </row>
    <row r="1326" spans="1:9" x14ac:dyDescent="0.25">
      <c r="A1326" s="91" t="s">
        <v>20</v>
      </c>
      <c r="B1326" s="65"/>
      <c r="C1326" s="65">
        <v>31.9</v>
      </c>
      <c r="D1326" s="65">
        <v>19.899999999999999</v>
      </c>
      <c r="E1326" s="65">
        <v>0</v>
      </c>
      <c r="F1326" s="65">
        <v>0</v>
      </c>
      <c r="G1326" s="65">
        <v>0</v>
      </c>
      <c r="H1326" s="65">
        <v>0</v>
      </c>
      <c r="I1326" s="94"/>
    </row>
    <row r="1327" spans="1:9" x14ac:dyDescent="0.25">
      <c r="A1327" s="91" t="s">
        <v>21</v>
      </c>
      <c r="B1327" s="65"/>
      <c r="C1327" s="65">
        <v>-74.3</v>
      </c>
      <c r="D1327" s="65">
        <v>-79.199999999999989</v>
      </c>
      <c r="E1327" s="65">
        <v>-64.199999999999989</v>
      </c>
      <c r="F1327" s="65">
        <v>-49.199999999999989</v>
      </c>
      <c r="G1327" s="65">
        <f>G1324-G1326</f>
        <v>-34.199999999999989</v>
      </c>
      <c r="H1327" s="130">
        <f>H1324-H1326</f>
        <v>-19.199999999999989</v>
      </c>
      <c r="I1327" s="94"/>
    </row>
    <row r="1328" spans="1:9" x14ac:dyDescent="0.25">
      <c r="A1328" s="8" t="s">
        <v>22</v>
      </c>
      <c r="B1328" s="162"/>
      <c r="C1328" s="162"/>
      <c r="D1328" s="57">
        <v>2015</v>
      </c>
      <c r="E1328" s="57">
        <v>2016</v>
      </c>
      <c r="F1328" s="57">
        <v>2017</v>
      </c>
      <c r="G1328" s="57">
        <v>2018</v>
      </c>
      <c r="H1328" s="57">
        <v>2019</v>
      </c>
      <c r="I1328" s="57">
        <v>2020</v>
      </c>
    </row>
    <row r="1329" spans="1:9" x14ac:dyDescent="0.25">
      <c r="A1329" s="8" t="s">
        <v>620</v>
      </c>
      <c r="B1329" s="615"/>
      <c r="C1329" s="615"/>
      <c r="D1329" s="58"/>
      <c r="E1329" s="58"/>
      <c r="F1329" s="58"/>
      <c r="G1329" s="58"/>
      <c r="H1329" s="58"/>
      <c r="I1329" s="59"/>
    </row>
    <row r="1330" spans="1:9" x14ac:dyDescent="0.25">
      <c r="A1330" s="49" t="s">
        <v>621</v>
      </c>
      <c r="B1330" s="614"/>
      <c r="C1330" s="614"/>
      <c r="D1330" s="576"/>
      <c r="E1330" s="576"/>
      <c r="F1330" s="576"/>
      <c r="G1330" s="576"/>
      <c r="H1330" s="576"/>
      <c r="I1330" s="616"/>
    </row>
    <row r="1331" spans="1:9" x14ac:dyDescent="0.25">
      <c r="A1331" s="49" t="s">
        <v>622</v>
      </c>
      <c r="B1331" s="614"/>
      <c r="C1331" s="614"/>
      <c r="D1331" s="576"/>
      <c r="E1331" s="576"/>
      <c r="F1331" s="576"/>
      <c r="G1331" s="576"/>
      <c r="H1331" s="576"/>
      <c r="I1331" s="616"/>
    </row>
    <row r="1332" spans="1:9" x14ac:dyDescent="0.25">
      <c r="A1332" s="49" t="s">
        <v>623</v>
      </c>
      <c r="B1332" s="614"/>
      <c r="C1332" s="614"/>
      <c r="D1332" s="576"/>
      <c r="E1332" s="576"/>
      <c r="F1332" s="576"/>
      <c r="G1332" s="576"/>
      <c r="H1332" s="576"/>
      <c r="I1332" s="616"/>
    </row>
    <row r="1333" spans="1:9" x14ac:dyDescent="0.25">
      <c r="A1333" s="49" t="s">
        <v>626</v>
      </c>
      <c r="B1333" s="614"/>
      <c r="C1333" s="614"/>
      <c r="D1333" s="576"/>
      <c r="E1333" s="576"/>
      <c r="F1333" s="576"/>
      <c r="G1333" s="576"/>
      <c r="H1333" s="576"/>
      <c r="I1333" s="616"/>
    </row>
    <row r="1334" spans="1:9" x14ac:dyDescent="0.25">
      <c r="A1334" s="11" t="s">
        <v>627</v>
      </c>
      <c r="B1334" s="96"/>
      <c r="C1334" s="96"/>
      <c r="D1334" s="601"/>
      <c r="E1334" s="601"/>
      <c r="F1334" s="601"/>
      <c r="G1334" s="601"/>
      <c r="H1334" s="601"/>
      <c r="I1334" s="602"/>
    </row>
    <row r="1335" spans="1:9" x14ac:dyDescent="0.25">
      <c r="A1335" s="47"/>
      <c r="B1335" s="47"/>
      <c r="C1335" s="47"/>
      <c r="D1335" s="47"/>
      <c r="E1335" s="47"/>
      <c r="F1335" s="47"/>
    </row>
    <row r="1337" spans="1:9" x14ac:dyDescent="0.25">
      <c r="A1337" s="1" t="s">
        <v>11</v>
      </c>
      <c r="B1337" s="722" t="s">
        <v>47</v>
      </c>
      <c r="C1337" s="164"/>
      <c r="D1337" s="2"/>
      <c r="E1337" s="2"/>
      <c r="F1337" s="2"/>
    </row>
    <row r="1338" spans="1:9" x14ac:dyDescent="0.25">
      <c r="A1338" s="3" t="s">
        <v>1</v>
      </c>
      <c r="B1338" s="619" t="s">
        <v>276</v>
      </c>
      <c r="C1338" s="5" t="s">
        <v>2</v>
      </c>
      <c r="D1338" s="2"/>
      <c r="E1338" s="2"/>
      <c r="F1338" s="2"/>
    </row>
    <row r="1339" spans="1:9" x14ac:dyDescent="0.25">
      <c r="A1339" s="7" t="s">
        <v>3</v>
      </c>
      <c r="B1339" s="617">
        <v>2016</v>
      </c>
      <c r="C1339" s="343">
        <v>2017</v>
      </c>
      <c r="D1339" s="343">
        <v>2018</v>
      </c>
      <c r="E1339" s="343">
        <v>2019</v>
      </c>
      <c r="F1339" s="303">
        <v>2020</v>
      </c>
      <c r="G1339" s="303">
        <v>2021</v>
      </c>
    </row>
    <row r="1340" spans="1:9" x14ac:dyDescent="0.25">
      <c r="A1340" s="6" t="s">
        <v>4</v>
      </c>
      <c r="B1340" s="385">
        <v>1491.71</v>
      </c>
      <c r="C1340" s="385">
        <v>1791</v>
      </c>
      <c r="D1340" s="386">
        <v>2115</v>
      </c>
      <c r="E1340" s="386">
        <v>2400</v>
      </c>
      <c r="F1340" s="261">
        <v>2655</v>
      </c>
      <c r="G1340" s="261">
        <v>2655</v>
      </c>
    </row>
    <row r="1341" spans="1:9" x14ac:dyDescent="0.25">
      <c r="A1341" s="6" t="s">
        <v>5</v>
      </c>
      <c r="B1341" s="385">
        <v>1491.71</v>
      </c>
      <c r="C1341" s="385">
        <v>1791</v>
      </c>
      <c r="D1341" s="386">
        <v>2115</v>
      </c>
      <c r="E1341" s="386">
        <v>2400</v>
      </c>
      <c r="F1341" s="372">
        <v>2677</v>
      </c>
      <c r="G1341" s="261">
        <v>2757.8229999999999</v>
      </c>
    </row>
    <row r="1342" spans="1:9" x14ac:dyDescent="0.25">
      <c r="A1342" s="6" t="s">
        <v>6</v>
      </c>
      <c r="B1342" s="94"/>
      <c r="C1342" s="259"/>
      <c r="D1342" s="94"/>
      <c r="E1342" s="261"/>
      <c r="F1342" s="261"/>
      <c r="G1342" s="261"/>
    </row>
    <row r="1343" spans="1:9" x14ac:dyDescent="0.25">
      <c r="A1343" s="6" t="s">
        <v>7</v>
      </c>
      <c r="B1343" s="387">
        <v>1490.58</v>
      </c>
      <c r="C1343" s="387">
        <v>1789.538</v>
      </c>
      <c r="D1343" s="387">
        <v>2102.0929999999998</v>
      </c>
      <c r="E1343" s="372">
        <v>2378</v>
      </c>
      <c r="F1343" s="372">
        <v>2653.377</v>
      </c>
      <c r="G1343" s="261"/>
    </row>
    <row r="1344" spans="1:9" x14ac:dyDescent="0.25">
      <c r="A1344" s="6" t="s">
        <v>8</v>
      </c>
      <c r="B1344" s="242">
        <v>1.1300000000001091</v>
      </c>
      <c r="C1344" s="242">
        <v>1.4619999999999891</v>
      </c>
      <c r="D1344" s="242">
        <v>12.907000000000153</v>
      </c>
      <c r="E1344" s="242">
        <v>22</v>
      </c>
      <c r="F1344" s="261">
        <v>23.623000000000047</v>
      </c>
      <c r="G1344" s="261"/>
    </row>
    <row r="1345" spans="1:8" x14ac:dyDescent="0.25">
      <c r="A1345" s="6" t="s">
        <v>9</v>
      </c>
      <c r="B1345" s="7"/>
      <c r="C1345" s="54"/>
      <c r="D1345" s="7"/>
      <c r="E1345" s="48"/>
      <c r="F1345" s="48"/>
      <c r="G1345" s="48"/>
    </row>
    <row r="1346" spans="1:8" x14ac:dyDescent="0.25">
      <c r="A1346" s="8" t="s">
        <v>10</v>
      </c>
      <c r="B1346" s="9"/>
      <c r="C1346" s="9"/>
      <c r="D1346" s="9"/>
      <c r="E1346" s="9"/>
      <c r="F1346" s="10"/>
      <c r="G1346" s="10"/>
    </row>
    <row r="1347" spans="1:8" x14ac:dyDescent="0.25">
      <c r="A1347" s="8" t="s">
        <v>628</v>
      </c>
      <c r="B1347" s="9"/>
      <c r="C1347" s="9"/>
      <c r="D1347" s="9"/>
      <c r="E1347" s="9"/>
      <c r="F1347" s="9"/>
      <c r="G1347" s="10"/>
    </row>
    <row r="1348" spans="1:8" x14ac:dyDescent="0.25">
      <c r="A1348" s="49" t="s">
        <v>274</v>
      </c>
      <c r="B1348" s="47"/>
      <c r="C1348" s="47"/>
      <c r="D1348" s="47"/>
      <c r="E1348" s="47"/>
      <c r="F1348" s="47"/>
      <c r="G1348" s="50"/>
    </row>
    <row r="1349" spans="1:8" ht="31.2" customHeight="1" x14ac:dyDescent="0.25">
      <c r="A1349" s="832" t="s">
        <v>629</v>
      </c>
      <c r="B1349" s="833"/>
      <c r="C1349" s="833"/>
      <c r="D1349" s="833"/>
      <c r="E1349" s="833"/>
      <c r="F1349" s="833"/>
      <c r="G1349" s="834"/>
    </row>
    <row r="1352" spans="1:8" x14ac:dyDescent="0.25">
      <c r="A1352" s="98" t="s">
        <v>12</v>
      </c>
      <c r="B1352" s="732" t="s">
        <v>125</v>
      </c>
      <c r="C1352" s="164"/>
      <c r="D1352" s="99"/>
      <c r="E1352" s="99"/>
      <c r="F1352" s="99"/>
      <c r="G1352" s="99"/>
      <c r="H1352" s="99"/>
    </row>
    <row r="1353" spans="1:8" x14ac:dyDescent="0.25">
      <c r="A1353" s="100" t="s">
        <v>14</v>
      </c>
      <c r="B1353" s="101" t="s">
        <v>224</v>
      </c>
      <c r="C1353" s="102" t="s">
        <v>15</v>
      </c>
      <c r="D1353" s="99"/>
      <c r="E1353" s="99"/>
      <c r="F1353" s="99"/>
      <c r="G1353" s="99"/>
      <c r="H1353" s="99"/>
    </row>
    <row r="1354" spans="1:8" x14ac:dyDescent="0.25">
      <c r="A1354" s="649" t="s">
        <v>16</v>
      </c>
      <c r="B1354" s="650"/>
      <c r="C1354" s="651">
        <v>2016</v>
      </c>
      <c r="D1354" s="652">
        <v>2017</v>
      </c>
      <c r="E1354" s="653">
        <v>2018</v>
      </c>
      <c r="F1354" s="654">
        <v>2019</v>
      </c>
      <c r="G1354" s="655">
        <v>2020</v>
      </c>
      <c r="H1354" s="648">
        <v>2021</v>
      </c>
    </row>
    <row r="1355" spans="1:8" x14ac:dyDescent="0.25">
      <c r="A1355" s="649" t="s">
        <v>17</v>
      </c>
      <c r="B1355" s="650"/>
      <c r="C1355" s="656">
        <v>527</v>
      </c>
      <c r="D1355" s="656">
        <v>527</v>
      </c>
      <c r="E1355" s="657">
        <v>632.4</v>
      </c>
      <c r="F1355" s="658">
        <v>632.4</v>
      </c>
      <c r="G1355" s="659">
        <v>632.4</v>
      </c>
      <c r="H1355" s="246">
        <v>711.5</v>
      </c>
    </row>
    <row r="1356" spans="1:8" x14ac:dyDescent="0.25">
      <c r="A1356" s="649" t="s">
        <v>18</v>
      </c>
      <c r="B1356" s="650"/>
      <c r="C1356" s="656">
        <v>658.75</v>
      </c>
      <c r="D1356" s="656">
        <v>658.75</v>
      </c>
      <c r="E1356" s="657">
        <v>764.15</v>
      </c>
      <c r="F1356" s="658">
        <v>790.5</v>
      </c>
      <c r="G1356" s="659">
        <v>790.5</v>
      </c>
      <c r="H1356" s="246">
        <f>H1355+0.25*G1355</f>
        <v>869.6</v>
      </c>
    </row>
    <row r="1357" spans="1:8" x14ac:dyDescent="0.25">
      <c r="A1357" s="649" t="s">
        <v>19</v>
      </c>
      <c r="B1357" s="650"/>
      <c r="C1357" s="657"/>
      <c r="D1357" s="660"/>
      <c r="E1357" s="661"/>
      <c r="F1357" s="662"/>
      <c r="G1357" s="659"/>
      <c r="H1357" s="246"/>
    </row>
    <row r="1358" spans="1:8" x14ac:dyDescent="0.25">
      <c r="A1358" s="649" t="s">
        <v>20</v>
      </c>
      <c r="B1358" s="650"/>
      <c r="C1358" s="656">
        <v>250.22</v>
      </c>
      <c r="D1358" s="660">
        <v>238.35</v>
      </c>
      <c r="E1358" s="657">
        <v>102.57</v>
      </c>
      <c r="F1358" s="694">
        <v>221.13</v>
      </c>
      <c r="G1358" s="659">
        <v>332.49</v>
      </c>
      <c r="H1358" s="246"/>
    </row>
    <row r="1359" spans="1:8" x14ac:dyDescent="0.25">
      <c r="A1359" s="649" t="s">
        <v>21</v>
      </c>
      <c r="B1359" s="650"/>
      <c r="C1359" s="656">
        <v>408.53</v>
      </c>
      <c r="D1359" s="660">
        <v>420.4</v>
      </c>
      <c r="E1359" s="657">
        <f>E1356-E1358</f>
        <v>661.57999999999993</v>
      </c>
      <c r="F1359" s="694">
        <f>F1356-F1358</f>
        <v>569.37</v>
      </c>
      <c r="G1359" s="659">
        <f>G1356-G1358</f>
        <v>458.01</v>
      </c>
      <c r="H1359" s="246"/>
    </row>
    <row r="1360" spans="1:8" x14ac:dyDescent="0.25">
      <c r="A1360" s="663" t="s">
        <v>22</v>
      </c>
      <c r="B1360" s="664"/>
      <c r="C1360" s="665">
        <v>2017</v>
      </c>
      <c r="D1360" s="666">
        <v>2018</v>
      </c>
      <c r="E1360" s="665">
        <v>2019</v>
      </c>
      <c r="F1360" s="667">
        <v>2020</v>
      </c>
      <c r="G1360" s="684">
        <v>2021</v>
      </c>
      <c r="H1360" s="344">
        <v>2022</v>
      </c>
    </row>
    <row r="1361" spans="1:8" x14ac:dyDescent="0.25">
      <c r="A1361" s="668" t="s">
        <v>126</v>
      </c>
      <c r="B1361" s="669"/>
      <c r="C1361" s="669"/>
      <c r="D1361" s="669"/>
      <c r="E1361" s="669"/>
      <c r="F1361" s="669"/>
      <c r="G1361" s="669"/>
      <c r="H1361" s="243"/>
    </row>
    <row r="1362" spans="1:8" x14ac:dyDescent="0.25">
      <c r="A1362" s="671" t="s">
        <v>127</v>
      </c>
      <c r="B1362" s="672"/>
      <c r="C1362" s="672"/>
      <c r="D1362" s="672"/>
      <c r="E1362" s="672"/>
      <c r="F1362" s="672"/>
      <c r="G1362" s="672"/>
      <c r="H1362" s="244"/>
    </row>
    <row r="1363" spans="1:8" x14ac:dyDescent="0.25">
      <c r="A1363" s="671" t="s">
        <v>128</v>
      </c>
      <c r="B1363" s="672"/>
      <c r="C1363" s="672"/>
      <c r="D1363" s="672"/>
      <c r="E1363" s="672"/>
      <c r="F1363" s="672"/>
      <c r="G1363" s="672"/>
      <c r="H1363" s="244"/>
    </row>
    <row r="1364" spans="1:8" x14ac:dyDescent="0.25">
      <c r="A1364" s="671" t="s">
        <v>129</v>
      </c>
      <c r="B1364" s="672"/>
      <c r="C1364" s="672"/>
      <c r="D1364" s="672"/>
      <c r="E1364" s="672"/>
      <c r="F1364" s="672"/>
      <c r="G1364" s="672"/>
      <c r="H1364" s="244"/>
    </row>
    <row r="1365" spans="1:8" x14ac:dyDescent="0.25">
      <c r="A1365" s="671" t="s">
        <v>130</v>
      </c>
      <c r="B1365" s="672"/>
      <c r="C1365" s="672"/>
      <c r="D1365" s="672"/>
      <c r="E1365" s="672"/>
      <c r="F1365" s="672"/>
      <c r="G1365" s="672"/>
      <c r="H1365" s="244"/>
    </row>
    <row r="1366" spans="1:8" x14ac:dyDescent="0.25">
      <c r="A1366" s="671" t="s">
        <v>334</v>
      </c>
      <c r="B1366" s="672"/>
      <c r="C1366" s="672"/>
      <c r="D1366" s="672"/>
      <c r="E1366" s="672"/>
      <c r="F1366" s="672"/>
      <c r="G1366" s="672"/>
      <c r="H1366" s="244"/>
    </row>
    <row r="1367" spans="1:8" x14ac:dyDescent="0.25">
      <c r="A1367" s="671" t="s">
        <v>632</v>
      </c>
      <c r="B1367" s="672"/>
      <c r="C1367" s="672"/>
      <c r="D1367" s="672"/>
      <c r="E1367" s="672"/>
      <c r="F1367" s="672"/>
      <c r="G1367" s="672"/>
      <c r="H1367" s="244"/>
    </row>
    <row r="1368" spans="1:8" x14ac:dyDescent="0.25">
      <c r="A1368" s="671" t="s">
        <v>633</v>
      </c>
      <c r="B1368" s="672"/>
      <c r="C1368" s="672"/>
      <c r="D1368" s="672"/>
      <c r="E1368" s="672"/>
      <c r="F1368" s="672"/>
      <c r="G1368" s="672"/>
      <c r="H1368" s="244"/>
    </row>
    <row r="1369" spans="1:8" x14ac:dyDescent="0.25">
      <c r="A1369" s="674" t="s">
        <v>634</v>
      </c>
      <c r="B1369" s="675"/>
      <c r="C1369" s="675"/>
      <c r="D1369" s="675"/>
      <c r="E1369" s="675"/>
      <c r="F1369" s="675"/>
      <c r="G1369" s="675"/>
      <c r="H1369" s="245"/>
    </row>
    <row r="1371" spans="1:8" x14ac:dyDescent="0.25">
      <c r="A1371" s="677" t="s">
        <v>14</v>
      </c>
      <c r="B1371" s="678" t="s">
        <v>220</v>
      </c>
      <c r="C1371" s="679" t="s">
        <v>15</v>
      </c>
      <c r="D1371" s="680"/>
      <c r="E1371" s="680"/>
      <c r="F1371" s="680"/>
      <c r="G1371" s="680"/>
      <c r="H1371" s="99"/>
    </row>
    <row r="1372" spans="1:8" x14ac:dyDescent="0.25">
      <c r="A1372" s="649" t="s">
        <v>16</v>
      </c>
      <c r="B1372" s="650"/>
      <c r="C1372" s="696">
        <v>2017</v>
      </c>
      <c r="D1372" s="697">
        <v>2018</v>
      </c>
      <c r="E1372" s="697">
        <v>2019</v>
      </c>
      <c r="F1372" s="698">
        <v>2020</v>
      </c>
      <c r="G1372" s="699">
        <v>2021</v>
      </c>
      <c r="H1372" s="99"/>
    </row>
    <row r="1373" spans="1:8" x14ac:dyDescent="0.25">
      <c r="A1373" s="649" t="s">
        <v>17</v>
      </c>
      <c r="B1373" s="650"/>
      <c r="C1373" s="656">
        <v>3907</v>
      </c>
      <c r="D1373" s="656">
        <v>3907</v>
      </c>
      <c r="E1373" s="657">
        <v>3907</v>
      </c>
      <c r="F1373" s="662">
        <v>3907</v>
      </c>
      <c r="G1373" s="659">
        <v>3907</v>
      </c>
      <c r="H1373" s="99"/>
    </row>
    <row r="1374" spans="1:8" x14ac:dyDescent="0.25">
      <c r="A1374" s="649" t="s">
        <v>18</v>
      </c>
      <c r="B1374" s="650"/>
      <c r="C1374" s="656">
        <v>4468.05</v>
      </c>
      <c r="D1374" s="656">
        <v>4493.05</v>
      </c>
      <c r="E1374" s="657">
        <v>4493.05</v>
      </c>
      <c r="F1374" s="662">
        <v>4493.05</v>
      </c>
      <c r="G1374" s="659">
        <v>4493.05</v>
      </c>
      <c r="H1374" s="99"/>
    </row>
    <row r="1375" spans="1:8" x14ac:dyDescent="0.25">
      <c r="A1375" s="649" t="s">
        <v>19</v>
      </c>
      <c r="B1375" s="650"/>
      <c r="C1375" s="681"/>
      <c r="D1375" s="657"/>
      <c r="E1375" s="661"/>
      <c r="F1375" s="662"/>
      <c r="G1375" s="659"/>
      <c r="H1375" s="99"/>
    </row>
    <row r="1376" spans="1:8" x14ac:dyDescent="0.25">
      <c r="A1376" s="649" t="s">
        <v>20</v>
      </c>
      <c r="B1376" s="650"/>
      <c r="C1376" s="682">
        <v>1404.81</v>
      </c>
      <c r="D1376" s="247">
        <v>1274.78</v>
      </c>
      <c r="E1376" s="379">
        <v>1736.49</v>
      </c>
      <c r="F1376" s="662">
        <v>1463.11</v>
      </c>
      <c r="G1376" s="659"/>
      <c r="H1376" s="99"/>
    </row>
    <row r="1377" spans="1:8" x14ac:dyDescent="0.25">
      <c r="A1377" s="649" t="s">
        <v>21</v>
      </c>
      <c r="B1377" s="650"/>
      <c r="C1377" s="656">
        <v>3063.24</v>
      </c>
      <c r="D1377" s="247">
        <f>D1374-D1376</f>
        <v>3218.2700000000004</v>
      </c>
      <c r="E1377" s="247">
        <f t="shared" ref="E1377:F1377" si="41">E1374-E1376</f>
        <v>2756.5600000000004</v>
      </c>
      <c r="F1377" s="657">
        <f t="shared" si="41"/>
        <v>3029.9400000000005</v>
      </c>
      <c r="G1377" s="659"/>
      <c r="H1377" s="99"/>
    </row>
    <row r="1378" spans="1:8" x14ac:dyDescent="0.25">
      <c r="A1378" s="663" t="s">
        <v>22</v>
      </c>
      <c r="B1378" s="664"/>
      <c r="C1378" s="683">
        <v>2018</v>
      </c>
      <c r="D1378" s="665">
        <v>2019</v>
      </c>
      <c r="E1378" s="665">
        <v>2020</v>
      </c>
      <c r="F1378" s="667">
        <v>2021</v>
      </c>
      <c r="G1378" s="684">
        <v>2022</v>
      </c>
      <c r="H1378" s="99"/>
    </row>
    <row r="1379" spans="1:8" x14ac:dyDescent="0.25">
      <c r="A1379" s="668" t="s">
        <v>131</v>
      </c>
      <c r="B1379" s="669"/>
      <c r="C1379" s="669"/>
      <c r="D1379" s="669"/>
      <c r="E1379" s="669"/>
      <c r="F1379" s="669"/>
      <c r="G1379" s="670"/>
      <c r="H1379" s="99"/>
    </row>
    <row r="1380" spans="1:8" x14ac:dyDescent="0.25">
      <c r="A1380" s="671" t="s">
        <v>132</v>
      </c>
      <c r="B1380" s="672"/>
      <c r="C1380" s="672"/>
      <c r="D1380" s="672"/>
      <c r="E1380" s="672"/>
      <c r="F1380" s="672"/>
      <c r="G1380" s="673"/>
      <c r="H1380" s="99"/>
    </row>
    <row r="1381" spans="1:8" x14ac:dyDescent="0.25">
      <c r="A1381" s="671" t="s">
        <v>133</v>
      </c>
      <c r="B1381" s="672"/>
      <c r="C1381" s="672"/>
      <c r="D1381" s="672"/>
      <c r="E1381" s="672"/>
      <c r="F1381" s="672"/>
      <c r="G1381" s="673"/>
      <c r="H1381" s="99"/>
    </row>
    <row r="1382" spans="1:8" x14ac:dyDescent="0.25">
      <c r="A1382" s="671" t="s">
        <v>134</v>
      </c>
      <c r="B1382" s="672"/>
      <c r="C1382" s="672"/>
      <c r="D1382" s="672"/>
      <c r="E1382" s="672"/>
      <c r="F1382" s="672"/>
      <c r="G1382" s="673"/>
      <c r="H1382" s="99"/>
    </row>
    <row r="1383" spans="1:8" x14ac:dyDescent="0.25">
      <c r="A1383" s="107" t="s">
        <v>335</v>
      </c>
      <c r="B1383" s="672"/>
      <c r="C1383" s="672"/>
      <c r="D1383" s="672"/>
      <c r="E1383" s="672"/>
      <c r="F1383" s="672"/>
      <c r="G1383" s="673"/>
      <c r="H1383" s="99"/>
    </row>
    <row r="1384" spans="1:8" x14ac:dyDescent="0.25">
      <c r="A1384" s="674" t="s">
        <v>635</v>
      </c>
      <c r="B1384" s="675"/>
      <c r="C1384" s="675"/>
      <c r="D1384" s="675"/>
      <c r="E1384" s="675"/>
      <c r="F1384" s="675"/>
      <c r="G1384" s="676"/>
      <c r="H1384" s="99"/>
    </row>
    <row r="1386" spans="1:8" x14ac:dyDescent="0.25">
      <c r="A1386" s="677" t="s">
        <v>14</v>
      </c>
      <c r="B1386" s="678" t="s">
        <v>226</v>
      </c>
      <c r="C1386" s="679" t="s">
        <v>15</v>
      </c>
      <c r="D1386" s="680"/>
      <c r="E1386" s="680"/>
      <c r="F1386" s="680"/>
      <c r="G1386" s="680"/>
      <c r="H1386" s="99"/>
    </row>
    <row r="1387" spans="1:8" x14ac:dyDescent="0.25">
      <c r="A1387" s="649" t="s">
        <v>16</v>
      </c>
      <c r="B1387" s="650"/>
      <c r="C1387" s="700">
        <v>2017</v>
      </c>
      <c r="D1387" s="701">
        <v>2018</v>
      </c>
      <c r="E1387" s="701">
        <v>2019</v>
      </c>
      <c r="F1387" s="702">
        <v>2020</v>
      </c>
      <c r="G1387" s="655">
        <v>2021</v>
      </c>
      <c r="H1387" s="791">
        <v>2022</v>
      </c>
    </row>
    <row r="1388" spans="1:8" x14ac:dyDescent="0.25">
      <c r="A1388" s="649" t="s">
        <v>17</v>
      </c>
      <c r="B1388" s="649"/>
      <c r="C1388" s="685">
        <v>100</v>
      </c>
      <c r="D1388" s="685">
        <v>100</v>
      </c>
      <c r="E1388" s="686">
        <v>100</v>
      </c>
      <c r="F1388" s="686">
        <v>100</v>
      </c>
      <c r="G1388" s="659">
        <v>100</v>
      </c>
      <c r="H1388" s="792">
        <v>100</v>
      </c>
    </row>
    <row r="1389" spans="1:8" x14ac:dyDescent="0.25">
      <c r="A1389" s="649" t="s">
        <v>18</v>
      </c>
      <c r="B1389" s="649"/>
      <c r="C1389" s="685">
        <v>99.94</v>
      </c>
      <c r="D1389" s="685">
        <v>99.94</v>
      </c>
      <c r="E1389" s="686">
        <v>99.94</v>
      </c>
      <c r="F1389" s="686">
        <v>99.94</v>
      </c>
      <c r="G1389" s="659">
        <v>99.94</v>
      </c>
      <c r="H1389" s="792">
        <f>H1388-50-25-24.94+G1392</f>
        <v>100</v>
      </c>
    </row>
    <row r="1390" spans="1:8" x14ac:dyDescent="0.25">
      <c r="A1390" s="649" t="s">
        <v>19</v>
      </c>
      <c r="B1390" s="649"/>
      <c r="C1390" s="686"/>
      <c r="D1390" s="686"/>
      <c r="E1390" s="659"/>
      <c r="F1390" s="659"/>
      <c r="G1390" s="659"/>
      <c r="H1390" s="792"/>
    </row>
    <row r="1391" spans="1:8" x14ac:dyDescent="0.25">
      <c r="A1391" s="649" t="s">
        <v>20</v>
      </c>
      <c r="B1391" s="649"/>
      <c r="C1391" s="685">
        <v>0</v>
      </c>
      <c r="D1391" s="685">
        <v>0</v>
      </c>
      <c r="E1391" s="685">
        <v>0</v>
      </c>
      <c r="F1391" s="659">
        <v>0</v>
      </c>
      <c r="G1391" s="795">
        <v>0</v>
      </c>
      <c r="H1391" s="792"/>
    </row>
    <row r="1392" spans="1:8" x14ac:dyDescent="0.25">
      <c r="A1392" s="649" t="s">
        <v>21</v>
      </c>
      <c r="B1392" s="650"/>
      <c r="C1392" s="687">
        <v>99.94</v>
      </c>
      <c r="D1392" s="687">
        <v>99.94</v>
      </c>
      <c r="E1392" s="687">
        <v>99.94</v>
      </c>
      <c r="F1392" s="688">
        <v>99.94</v>
      </c>
      <c r="G1392" s="795">
        <v>99.94</v>
      </c>
      <c r="H1392" s="792"/>
    </row>
    <row r="1393" spans="1:8" x14ac:dyDescent="0.25">
      <c r="A1393" s="663" t="s">
        <v>22</v>
      </c>
      <c r="B1393" s="664"/>
      <c r="C1393" s="683">
        <v>2018</v>
      </c>
      <c r="D1393" s="665">
        <v>2019</v>
      </c>
      <c r="E1393" s="665">
        <v>2020</v>
      </c>
      <c r="F1393" s="667">
        <v>2021</v>
      </c>
      <c r="G1393" s="684">
        <v>2022</v>
      </c>
      <c r="H1393" s="793">
        <v>2023</v>
      </c>
    </row>
    <row r="1394" spans="1:8" x14ac:dyDescent="0.25">
      <c r="A1394" s="668" t="s">
        <v>135</v>
      </c>
      <c r="B1394" s="669"/>
      <c r="C1394" s="669"/>
      <c r="D1394" s="669"/>
      <c r="E1394" s="669"/>
      <c r="F1394" s="669"/>
      <c r="G1394" s="669"/>
      <c r="H1394" s="243"/>
    </row>
    <row r="1395" spans="1:8" x14ac:dyDescent="0.25">
      <c r="A1395" s="671" t="s">
        <v>136</v>
      </c>
      <c r="B1395" s="672"/>
      <c r="C1395" s="672"/>
      <c r="D1395" s="672"/>
      <c r="E1395" s="672"/>
      <c r="F1395" s="672"/>
      <c r="G1395" s="672"/>
      <c r="H1395" s="244"/>
    </row>
    <row r="1396" spans="1:8" x14ac:dyDescent="0.25">
      <c r="A1396" s="671" t="s">
        <v>137</v>
      </c>
      <c r="B1396" s="672"/>
      <c r="C1396" s="672"/>
      <c r="D1396" s="672"/>
      <c r="E1396" s="672"/>
      <c r="F1396" s="672"/>
      <c r="G1396" s="672"/>
      <c r="H1396" s="244"/>
    </row>
    <row r="1397" spans="1:8" x14ac:dyDescent="0.25">
      <c r="A1397" s="671" t="s">
        <v>138</v>
      </c>
      <c r="B1397" s="672"/>
      <c r="C1397" s="672"/>
      <c r="D1397" s="672"/>
      <c r="E1397" s="672"/>
      <c r="F1397" s="672"/>
      <c r="G1397" s="672"/>
      <c r="H1397" s="244"/>
    </row>
    <row r="1398" spans="1:8" x14ac:dyDescent="0.25">
      <c r="A1398" s="671" t="s">
        <v>336</v>
      </c>
      <c r="B1398" s="672"/>
      <c r="C1398" s="672"/>
      <c r="D1398" s="672"/>
      <c r="E1398" s="672"/>
      <c r="F1398" s="672"/>
      <c r="G1398" s="672"/>
      <c r="H1398" s="244"/>
    </row>
    <row r="1399" spans="1:8" x14ac:dyDescent="0.25">
      <c r="A1399" s="671" t="s">
        <v>636</v>
      </c>
      <c r="B1399" s="672"/>
      <c r="C1399" s="672"/>
      <c r="D1399" s="672"/>
      <c r="E1399" s="672"/>
      <c r="F1399" s="672"/>
      <c r="G1399" s="672"/>
      <c r="H1399" s="244"/>
    </row>
    <row r="1400" spans="1:8" x14ac:dyDescent="0.25">
      <c r="A1400" s="794" t="s">
        <v>686</v>
      </c>
      <c r="B1400" s="675"/>
      <c r="C1400" s="675"/>
      <c r="D1400" s="675"/>
      <c r="E1400" s="675"/>
      <c r="F1400" s="675"/>
      <c r="G1400" s="675"/>
      <c r="H1400" s="245"/>
    </row>
    <row r="1402" spans="1:8" x14ac:dyDescent="0.25">
      <c r="A1402" s="677" t="s">
        <v>14</v>
      </c>
      <c r="B1402" s="678" t="s">
        <v>35</v>
      </c>
      <c r="C1402" s="679" t="s">
        <v>15</v>
      </c>
      <c r="D1402" s="680"/>
      <c r="E1402" s="680"/>
      <c r="F1402" s="680"/>
    </row>
    <row r="1403" spans="1:8" x14ac:dyDescent="0.25">
      <c r="A1403" s="649" t="s">
        <v>16</v>
      </c>
      <c r="B1403" s="650"/>
      <c r="C1403" s="651">
        <v>2016</v>
      </c>
      <c r="D1403" s="654">
        <v>2017</v>
      </c>
      <c r="E1403" s="653">
        <v>2018</v>
      </c>
      <c r="F1403" s="654">
        <v>2019</v>
      </c>
      <c r="G1403" s="286">
        <v>2020</v>
      </c>
      <c r="H1403" s="286">
        <v>2021</v>
      </c>
    </row>
    <row r="1404" spans="1:8" x14ac:dyDescent="0.25">
      <c r="A1404" s="649" t="s">
        <v>17</v>
      </c>
      <c r="B1404" s="650"/>
      <c r="C1404" s="689">
        <v>1083.79</v>
      </c>
      <c r="D1404" s="689">
        <v>1083.79</v>
      </c>
      <c r="E1404" s="690">
        <v>1272.8599999999999</v>
      </c>
      <c r="F1404" s="691">
        <v>1272.8599999999999</v>
      </c>
      <c r="G1404" s="112">
        <v>1272.8599999999999</v>
      </c>
      <c r="H1404" s="112">
        <v>1272.8599999999999</v>
      </c>
    </row>
    <row r="1405" spans="1:8" x14ac:dyDescent="0.25">
      <c r="A1405" s="649" t="s">
        <v>18</v>
      </c>
      <c r="B1405" s="650"/>
      <c r="C1405" s="689">
        <v>1192.17</v>
      </c>
      <c r="D1405" s="689">
        <v>1192.17</v>
      </c>
      <c r="E1405" s="692">
        <v>1381.24</v>
      </c>
      <c r="F1405" s="691">
        <v>1400.15</v>
      </c>
      <c r="G1405" s="112">
        <v>1400.15</v>
      </c>
      <c r="H1405" s="112">
        <v>1400.15</v>
      </c>
    </row>
    <row r="1406" spans="1:8" x14ac:dyDescent="0.25">
      <c r="A1406" s="649" t="s">
        <v>19</v>
      </c>
      <c r="B1406" s="650"/>
      <c r="C1406" s="692"/>
      <c r="D1406" s="693"/>
      <c r="E1406" s="650"/>
      <c r="F1406" s="693"/>
      <c r="G1406" s="112"/>
      <c r="H1406" s="112"/>
    </row>
    <row r="1407" spans="1:8" x14ac:dyDescent="0.25">
      <c r="A1407" s="649" t="s">
        <v>20</v>
      </c>
      <c r="B1407" s="650"/>
      <c r="C1407" s="689">
        <v>1025.0999999999999</v>
      </c>
      <c r="D1407" s="691">
        <v>996.8</v>
      </c>
      <c r="E1407" s="692">
        <v>1028.26</v>
      </c>
      <c r="F1407" s="693">
        <v>1190.78</v>
      </c>
      <c r="G1407" s="112">
        <v>1183.49</v>
      </c>
      <c r="H1407" s="112"/>
    </row>
    <row r="1408" spans="1:8" x14ac:dyDescent="0.25">
      <c r="A1408" s="649" t="s">
        <v>21</v>
      </c>
      <c r="B1408" s="650"/>
      <c r="C1408" s="689">
        <f>C1405-C1407</f>
        <v>167.07000000000016</v>
      </c>
      <c r="D1408" s="689">
        <f t="shared" ref="D1408:G1408" si="42">D1405-D1407</f>
        <v>195.37000000000012</v>
      </c>
      <c r="E1408" s="689">
        <f t="shared" si="42"/>
        <v>352.98</v>
      </c>
      <c r="F1408" s="689">
        <f t="shared" si="42"/>
        <v>209.37000000000012</v>
      </c>
      <c r="G1408" s="689">
        <f t="shared" si="42"/>
        <v>216.66000000000008</v>
      </c>
      <c r="H1408" s="112"/>
    </row>
    <row r="1409" spans="1:8" x14ac:dyDescent="0.25">
      <c r="A1409" s="663" t="s">
        <v>22</v>
      </c>
      <c r="B1409" s="664"/>
      <c r="C1409" s="665">
        <v>2017</v>
      </c>
      <c r="D1409" s="667">
        <v>2018</v>
      </c>
      <c r="E1409" s="665">
        <v>2019</v>
      </c>
      <c r="F1409" s="667">
        <v>2020</v>
      </c>
      <c r="G1409" s="316">
        <v>2021</v>
      </c>
      <c r="H1409" s="316">
        <v>2022</v>
      </c>
    </row>
    <row r="1410" spans="1:8" x14ac:dyDescent="0.25">
      <c r="A1410" s="703" t="s">
        <v>638</v>
      </c>
      <c r="B1410" s="669"/>
      <c r="C1410" s="704"/>
      <c r="D1410" s="704"/>
      <c r="E1410" s="704"/>
      <c r="F1410" s="704"/>
      <c r="G1410" s="535"/>
      <c r="H1410" s="536"/>
    </row>
    <row r="1411" spans="1:8" x14ac:dyDescent="0.25">
      <c r="A1411" s="671" t="s">
        <v>139</v>
      </c>
      <c r="B1411" s="695"/>
      <c r="C1411" s="695"/>
      <c r="D1411" s="695"/>
      <c r="E1411" s="695"/>
      <c r="F1411" s="695"/>
      <c r="G1411" s="108"/>
      <c r="H1411" s="110"/>
    </row>
    <row r="1412" spans="1:8" x14ac:dyDescent="0.25">
      <c r="A1412" s="671" t="s">
        <v>140</v>
      </c>
      <c r="B1412" s="695"/>
      <c r="C1412" s="695"/>
      <c r="D1412" s="695"/>
      <c r="E1412" s="695"/>
      <c r="F1412" s="695"/>
      <c r="G1412" s="108"/>
      <c r="H1412" s="110"/>
    </row>
    <row r="1413" spans="1:8" x14ac:dyDescent="0.25">
      <c r="A1413" s="671" t="s">
        <v>141</v>
      </c>
      <c r="B1413" s="695"/>
      <c r="C1413" s="695"/>
      <c r="D1413" s="695"/>
      <c r="E1413" s="695"/>
      <c r="F1413" s="695"/>
      <c r="G1413" s="108"/>
      <c r="H1413" s="110"/>
    </row>
    <row r="1414" spans="1:8" x14ac:dyDescent="0.25">
      <c r="A1414" s="671" t="s">
        <v>142</v>
      </c>
      <c r="B1414" s="695"/>
      <c r="C1414" s="695"/>
      <c r="D1414" s="695"/>
      <c r="E1414" s="695"/>
      <c r="F1414" s="695"/>
      <c r="G1414" s="108"/>
      <c r="H1414" s="110"/>
    </row>
    <row r="1415" spans="1:8" x14ac:dyDescent="0.25">
      <c r="A1415" s="671" t="s">
        <v>337</v>
      </c>
      <c r="B1415" s="695"/>
      <c r="C1415" s="695"/>
      <c r="D1415" s="695"/>
      <c r="E1415" s="695"/>
      <c r="F1415" s="695"/>
      <c r="G1415" s="108"/>
      <c r="H1415" s="110"/>
    </row>
    <row r="1416" spans="1:8" x14ac:dyDescent="0.25">
      <c r="A1416" s="671" t="s">
        <v>637</v>
      </c>
      <c r="B1416" s="695"/>
      <c r="C1416" s="695"/>
      <c r="D1416" s="695"/>
      <c r="E1416" s="695"/>
      <c r="F1416" s="695"/>
      <c r="G1416" s="108"/>
      <c r="H1416" s="110"/>
    </row>
    <row r="1417" spans="1:8" x14ac:dyDescent="0.25">
      <c r="A1417" s="109" t="s">
        <v>639</v>
      </c>
      <c r="B1417" s="108"/>
      <c r="C1417" s="108"/>
      <c r="D1417" s="108"/>
      <c r="E1417" s="108"/>
      <c r="F1417" s="108"/>
      <c r="G1417" s="108"/>
      <c r="H1417" s="110"/>
    </row>
    <row r="1418" spans="1:8" x14ac:dyDescent="0.25">
      <c r="A1418" s="241" t="s">
        <v>680</v>
      </c>
      <c r="B1418" s="137"/>
      <c r="C1418" s="137"/>
      <c r="D1418" s="137"/>
      <c r="E1418" s="137"/>
      <c r="F1418" s="137"/>
      <c r="G1418" s="137"/>
      <c r="H1418" s="138"/>
    </row>
    <row r="1421" spans="1:8" x14ac:dyDescent="0.25">
      <c r="A1421" s="636" t="s">
        <v>24</v>
      </c>
      <c r="B1421" s="733" t="s">
        <v>640</v>
      </c>
      <c r="C1421" s="164"/>
      <c r="D1421" s="2"/>
      <c r="E1421" s="2"/>
      <c r="F1421" s="2"/>
      <c r="G1421" s="2"/>
      <c r="H1421" s="2"/>
    </row>
    <row r="1422" spans="1:8" x14ac:dyDescent="0.25">
      <c r="A1422" s="550" t="s">
        <v>14</v>
      </c>
      <c r="B1422" s="314" t="s">
        <v>224</v>
      </c>
      <c r="C1422" s="705" t="s">
        <v>26</v>
      </c>
    </row>
    <row r="1423" spans="1:8" x14ac:dyDescent="0.25">
      <c r="A1423" s="291" t="s">
        <v>27</v>
      </c>
      <c r="B1423" s="628">
        <v>2016</v>
      </c>
      <c r="C1423" s="293">
        <v>2017</v>
      </c>
      <c r="D1423" s="339">
        <v>2018</v>
      </c>
      <c r="E1423" s="293">
        <v>2019</v>
      </c>
      <c r="F1423" s="293">
        <v>2020</v>
      </c>
      <c r="G1423" s="293">
        <v>2021</v>
      </c>
    </row>
    <row r="1424" spans="1:8" x14ac:dyDescent="0.25">
      <c r="A1424" s="111" t="s">
        <v>28</v>
      </c>
      <c r="B1424" s="235">
        <v>250</v>
      </c>
      <c r="C1424" s="235">
        <v>250</v>
      </c>
      <c r="D1424" s="235">
        <v>300</v>
      </c>
      <c r="E1424" s="235">
        <v>300</v>
      </c>
      <c r="F1424" s="113">
        <v>300</v>
      </c>
      <c r="G1424" s="111">
        <v>337.5</v>
      </c>
    </row>
    <row r="1425" spans="1:10" x14ac:dyDescent="0.25">
      <c r="A1425" s="111" t="s">
        <v>29</v>
      </c>
      <c r="B1425" s="235">
        <v>-415.21000000000004</v>
      </c>
      <c r="C1425" s="235">
        <f>B1428+C1424+60+150+114</f>
        <v>-128.19000000000005</v>
      </c>
      <c r="D1425" s="235">
        <f>C1428+D1424</f>
        <v>-129.54000000000008</v>
      </c>
      <c r="E1425" s="235">
        <f>E1424+D1428</f>
        <v>5.0099999999999341</v>
      </c>
      <c r="F1425" s="235">
        <f>E1428+F1424</f>
        <v>84.089999999999947</v>
      </c>
      <c r="G1425" s="235">
        <f>G1424+F1428</f>
        <v>175.66999999999996</v>
      </c>
    </row>
    <row r="1426" spans="1:10" x14ac:dyDescent="0.25">
      <c r="A1426" s="111" t="s">
        <v>30</v>
      </c>
      <c r="B1426" s="709"/>
      <c r="C1426" s="710" t="s">
        <v>643</v>
      </c>
      <c r="D1426" s="711" t="s">
        <v>644</v>
      </c>
      <c r="E1426" s="711" t="s">
        <v>645</v>
      </c>
      <c r="F1426" s="711" t="s">
        <v>648</v>
      </c>
      <c r="G1426" s="711" t="s">
        <v>650</v>
      </c>
    </row>
    <row r="1427" spans="1:10" x14ac:dyDescent="0.25">
      <c r="A1427" s="111" t="s">
        <v>31</v>
      </c>
      <c r="B1427" s="235">
        <v>286.98</v>
      </c>
      <c r="C1427" s="235">
        <v>301.35000000000002</v>
      </c>
      <c r="D1427" s="235">
        <v>165.45</v>
      </c>
      <c r="E1427" s="235">
        <v>220.92</v>
      </c>
      <c r="F1427" s="113">
        <v>245.92</v>
      </c>
      <c r="G1427" s="111"/>
    </row>
    <row r="1428" spans="1:10" x14ac:dyDescent="0.25">
      <c r="A1428" s="111" t="s">
        <v>32</v>
      </c>
      <c r="B1428" s="235">
        <f>B1425-B1427</f>
        <v>-702.19</v>
      </c>
      <c r="C1428" s="235">
        <f t="shared" ref="C1428:D1428" si="43">C1425-C1427</f>
        <v>-429.54000000000008</v>
      </c>
      <c r="D1428" s="235">
        <f t="shared" si="43"/>
        <v>-294.99000000000007</v>
      </c>
      <c r="E1428" s="235">
        <f>E1425-E1427</f>
        <v>-215.91000000000005</v>
      </c>
      <c r="F1428" s="235">
        <f>F1425-F1427</f>
        <v>-161.83000000000004</v>
      </c>
      <c r="G1428" s="111"/>
    </row>
    <row r="1429" spans="1:10" x14ac:dyDescent="0.25">
      <c r="A1429" s="253" t="s">
        <v>33</v>
      </c>
      <c r="B1429" s="340">
        <v>2018</v>
      </c>
      <c r="C1429" s="340">
        <v>2018</v>
      </c>
      <c r="D1429" s="340">
        <v>2019</v>
      </c>
      <c r="E1429" s="340">
        <v>2020</v>
      </c>
      <c r="F1429" s="340">
        <v>2021</v>
      </c>
      <c r="G1429" s="340">
        <v>2022</v>
      </c>
    </row>
    <row r="1430" spans="1:10" x14ac:dyDescent="0.25">
      <c r="A1430" s="253" t="s">
        <v>642</v>
      </c>
      <c r="B1430" s="496"/>
      <c r="C1430" s="496"/>
      <c r="D1430" s="496"/>
      <c r="E1430" s="496"/>
      <c r="F1430" s="496"/>
      <c r="G1430" s="134"/>
    </row>
    <row r="1431" spans="1:10" x14ac:dyDescent="0.25">
      <c r="A1431" s="256" t="s">
        <v>646</v>
      </c>
      <c r="B1431" s="712"/>
      <c r="C1431" s="712"/>
      <c r="D1431" s="712"/>
      <c r="E1431" s="712"/>
      <c r="F1431" s="712"/>
      <c r="G1431" s="135"/>
    </row>
    <row r="1432" spans="1:10" x14ac:dyDescent="0.25">
      <c r="A1432" s="256" t="s">
        <v>647</v>
      </c>
      <c r="B1432" s="712"/>
      <c r="C1432" s="712"/>
      <c r="D1432" s="712"/>
      <c r="E1432" s="712"/>
      <c r="F1432" s="712"/>
      <c r="G1432" s="135"/>
    </row>
    <row r="1433" spans="1:10" x14ac:dyDescent="0.25">
      <c r="A1433" s="256" t="s">
        <v>649</v>
      </c>
      <c r="B1433" s="712"/>
      <c r="C1433" s="712"/>
      <c r="D1433" s="712"/>
      <c r="E1433" s="712"/>
      <c r="F1433" s="712"/>
      <c r="G1433" s="135"/>
    </row>
    <row r="1434" spans="1:10" x14ac:dyDescent="0.25">
      <c r="A1434" s="256" t="s">
        <v>651</v>
      </c>
      <c r="B1434" s="712"/>
      <c r="C1434" s="712"/>
      <c r="D1434" s="712"/>
      <c r="E1434" s="712"/>
      <c r="F1434" s="712"/>
      <c r="G1434" s="135"/>
    </row>
    <row r="1435" spans="1:10" x14ac:dyDescent="0.25">
      <c r="A1435" s="257" t="s">
        <v>641</v>
      </c>
      <c r="B1435" s="713"/>
      <c r="C1435" s="713"/>
      <c r="D1435" s="713"/>
      <c r="E1435" s="713"/>
      <c r="F1435" s="713"/>
      <c r="G1435" s="225"/>
    </row>
    <row r="1436" spans="1:10" x14ac:dyDescent="0.25">
      <c r="A1436" s="707"/>
      <c r="B1436" s="707"/>
      <c r="C1436" s="178"/>
      <c r="D1436" s="178"/>
      <c r="E1436" s="178"/>
      <c r="F1436" s="178"/>
      <c r="G1436" s="178"/>
      <c r="H1436" s="178"/>
      <c r="I1436" s="178"/>
      <c r="J1436" s="178"/>
    </row>
    <row r="1437" spans="1:10" x14ac:dyDescent="0.25">
      <c r="A1437" s="550" t="s">
        <v>14</v>
      </c>
      <c r="B1437" s="314" t="s">
        <v>220</v>
      </c>
      <c r="C1437" s="705" t="s">
        <v>26</v>
      </c>
    </row>
    <row r="1438" spans="1:10" x14ac:dyDescent="0.25">
      <c r="A1438" s="291" t="s">
        <v>27</v>
      </c>
      <c r="B1438" s="293">
        <v>2016</v>
      </c>
      <c r="C1438" s="293">
        <v>2017</v>
      </c>
      <c r="D1438" s="339">
        <v>2018</v>
      </c>
      <c r="E1438" s="293">
        <v>2019</v>
      </c>
      <c r="F1438" s="293">
        <v>2020</v>
      </c>
      <c r="G1438" s="293">
        <v>2021</v>
      </c>
    </row>
    <row r="1439" spans="1:10" x14ac:dyDescent="0.25">
      <c r="A1439" s="111" t="s">
        <v>28</v>
      </c>
      <c r="B1439" s="235">
        <v>85</v>
      </c>
      <c r="C1439" s="235">
        <v>85</v>
      </c>
      <c r="D1439" s="235">
        <v>85</v>
      </c>
      <c r="E1439" s="235">
        <v>85</v>
      </c>
      <c r="F1439" s="113">
        <v>85</v>
      </c>
      <c r="G1439" s="113">
        <v>85</v>
      </c>
    </row>
    <row r="1440" spans="1:10" x14ac:dyDescent="0.25">
      <c r="A1440" s="111" t="s">
        <v>29</v>
      </c>
      <c r="B1440" s="235">
        <f>B1439*1.5</f>
        <v>127.5</v>
      </c>
      <c r="C1440" s="235">
        <f>C1439+0.5*B1439-12.75</f>
        <v>114.75</v>
      </c>
      <c r="D1440" s="235">
        <f>D1439+0.4*B1439-12.75</f>
        <v>106.25</v>
      </c>
      <c r="E1440" s="235">
        <f>E1439+0.4*C1439</f>
        <v>119</v>
      </c>
      <c r="F1440" s="235">
        <f>F1439+0.4*D1439</f>
        <v>119</v>
      </c>
      <c r="G1440" s="235">
        <f>G1439+0.4*E1439</f>
        <v>119</v>
      </c>
    </row>
    <row r="1441" spans="1:10" x14ac:dyDescent="0.25">
      <c r="A1441" s="111" t="s">
        <v>30</v>
      </c>
      <c r="B1441" s="238" t="s">
        <v>652</v>
      </c>
      <c r="C1441" s="238" t="s">
        <v>655</v>
      </c>
      <c r="D1441" s="238" t="s">
        <v>656</v>
      </c>
      <c r="E1441" s="238" t="s">
        <v>657</v>
      </c>
      <c r="F1441" s="238" t="s">
        <v>657</v>
      </c>
      <c r="G1441" s="238" t="s">
        <v>657</v>
      </c>
    </row>
    <row r="1442" spans="1:10" x14ac:dyDescent="0.25">
      <c r="A1442" s="111" t="s">
        <v>31</v>
      </c>
      <c r="B1442" s="235">
        <v>52.75</v>
      </c>
      <c r="C1442" s="235">
        <v>52.26</v>
      </c>
      <c r="D1442" s="235">
        <v>30.79</v>
      </c>
      <c r="E1442" s="235">
        <v>31.39</v>
      </c>
      <c r="F1442" s="113">
        <v>14.36</v>
      </c>
      <c r="G1442" s="113"/>
    </row>
    <row r="1443" spans="1:10" x14ac:dyDescent="0.25">
      <c r="A1443" s="111" t="s">
        <v>32</v>
      </c>
      <c r="B1443" s="235">
        <f t="shared" ref="B1443:D1443" si="44">B1440-B1442</f>
        <v>74.75</v>
      </c>
      <c r="C1443" s="235">
        <f t="shared" si="44"/>
        <v>62.49</v>
      </c>
      <c r="D1443" s="235">
        <f t="shared" si="44"/>
        <v>75.460000000000008</v>
      </c>
      <c r="E1443" s="235">
        <f>E1440-E1442</f>
        <v>87.61</v>
      </c>
      <c r="F1443" s="235">
        <f>F1440-F1442</f>
        <v>104.64</v>
      </c>
      <c r="G1443" s="113"/>
    </row>
    <row r="1444" spans="1:10" x14ac:dyDescent="0.25">
      <c r="A1444" s="253" t="s">
        <v>33</v>
      </c>
      <c r="B1444" s="340">
        <v>2018</v>
      </c>
      <c r="C1444" s="340">
        <v>2019</v>
      </c>
      <c r="D1444" s="715">
        <v>2020</v>
      </c>
      <c r="E1444" s="340">
        <v>2021</v>
      </c>
      <c r="F1444" s="340">
        <v>2022</v>
      </c>
      <c r="G1444" s="340">
        <v>2023</v>
      </c>
    </row>
    <row r="1445" spans="1:10" ht="13.2" customHeight="1" x14ac:dyDescent="0.25">
      <c r="A1445" s="716" t="s">
        <v>591</v>
      </c>
      <c r="B1445" s="717"/>
      <c r="C1445" s="717"/>
      <c r="D1445" s="717"/>
      <c r="E1445" s="717"/>
      <c r="F1445" s="717"/>
      <c r="G1445" s="718"/>
      <c r="H1445" s="706"/>
      <c r="I1445" s="706"/>
      <c r="J1445" s="706"/>
    </row>
    <row r="1446" spans="1:10" x14ac:dyDescent="0.25">
      <c r="A1446" s="719" t="s">
        <v>592</v>
      </c>
      <c r="B1446" s="714"/>
      <c r="C1446" s="714"/>
      <c r="D1446" s="714"/>
      <c r="E1446" s="714"/>
      <c r="F1446" s="714"/>
      <c r="G1446" s="720"/>
      <c r="H1446" s="714"/>
      <c r="I1446" s="714"/>
      <c r="J1446" s="714"/>
    </row>
    <row r="1447" spans="1:10" x14ac:dyDescent="0.25">
      <c r="A1447" s="109" t="s">
        <v>653</v>
      </c>
      <c r="B1447" s="108"/>
      <c r="C1447" s="108"/>
      <c r="D1447" s="108"/>
      <c r="E1447" s="108"/>
      <c r="F1447" s="108"/>
      <c r="G1447" s="110"/>
      <c r="H1447" s="108"/>
      <c r="I1447" s="108"/>
      <c r="J1447" s="108"/>
    </row>
    <row r="1448" spans="1:10" x14ac:dyDescent="0.25">
      <c r="A1448" s="136" t="s">
        <v>654</v>
      </c>
      <c r="B1448" s="137"/>
      <c r="C1448" s="137"/>
      <c r="D1448" s="137"/>
      <c r="E1448" s="137"/>
      <c r="F1448" s="137"/>
      <c r="G1448" s="138"/>
      <c r="H1448" s="108"/>
      <c r="I1448" s="108"/>
      <c r="J1448" s="108"/>
    </row>
    <row r="1449" spans="1:10" x14ac:dyDescent="0.25">
      <c r="A1449" s="108"/>
      <c r="B1449" s="108"/>
      <c r="C1449" s="108"/>
      <c r="D1449" s="108"/>
      <c r="E1449" s="108"/>
      <c r="F1449" s="108"/>
      <c r="G1449" s="108"/>
      <c r="H1449" s="108"/>
      <c r="I1449" s="108"/>
      <c r="J1449" s="108"/>
    </row>
    <row r="1450" spans="1:10" x14ac:dyDescent="0.25">
      <c r="A1450" s="550" t="s">
        <v>14</v>
      </c>
      <c r="B1450" s="314" t="s">
        <v>85</v>
      </c>
      <c r="C1450" s="705" t="s">
        <v>26</v>
      </c>
      <c r="H1450" s="108"/>
      <c r="I1450" s="108"/>
      <c r="J1450" s="108"/>
    </row>
    <row r="1451" spans="1:10" x14ac:dyDescent="0.25">
      <c r="A1451" s="291" t="s">
        <v>27</v>
      </c>
      <c r="B1451" s="293">
        <v>2016</v>
      </c>
      <c r="C1451" s="293">
        <v>2017</v>
      </c>
      <c r="D1451" s="339">
        <v>2018</v>
      </c>
      <c r="E1451" s="293">
        <v>2019</v>
      </c>
      <c r="F1451" s="293">
        <v>2020</v>
      </c>
      <c r="G1451" s="293">
        <v>2021</v>
      </c>
    </row>
    <row r="1452" spans="1:10" x14ac:dyDescent="0.25">
      <c r="A1452" s="111" t="s">
        <v>28</v>
      </c>
      <c r="B1452" s="235">
        <v>100</v>
      </c>
      <c r="C1452" s="235">
        <v>100</v>
      </c>
      <c r="D1452" s="235">
        <v>100</v>
      </c>
      <c r="E1452" s="235">
        <v>100</v>
      </c>
      <c r="F1452" s="113">
        <v>84.1</v>
      </c>
      <c r="G1452" s="113">
        <v>84.1</v>
      </c>
    </row>
    <row r="1453" spans="1:10" x14ac:dyDescent="0.25">
      <c r="A1453" s="111" t="s">
        <v>29</v>
      </c>
      <c r="B1453" s="235">
        <f>B1452*1.1</f>
        <v>110.00000000000001</v>
      </c>
      <c r="C1453" s="235">
        <f>C1452*1.1-30</f>
        <v>80.000000000000014</v>
      </c>
      <c r="D1453" s="235">
        <f>D1452+C1456+0.1*B1452</f>
        <v>92.590000000000018</v>
      </c>
      <c r="E1453" s="235">
        <v>100</v>
      </c>
      <c r="F1453" s="235">
        <f t="shared" ref="F1453:G1453" si="45">F1452+0.1*D1452</f>
        <v>94.1</v>
      </c>
      <c r="G1453" s="235">
        <f t="shared" si="45"/>
        <v>94.1</v>
      </c>
    </row>
    <row r="1454" spans="1:10" x14ac:dyDescent="0.25">
      <c r="A1454" s="111" t="s">
        <v>30</v>
      </c>
      <c r="B1454" s="238" t="s">
        <v>659</v>
      </c>
      <c r="C1454" s="238" t="s">
        <v>660</v>
      </c>
      <c r="D1454" s="708" t="s">
        <v>643</v>
      </c>
      <c r="E1454" s="238"/>
      <c r="F1454" s="238" t="s">
        <v>662</v>
      </c>
      <c r="G1454" s="238" t="s">
        <v>662</v>
      </c>
    </row>
    <row r="1455" spans="1:10" x14ac:dyDescent="0.25">
      <c r="A1455" s="111" t="s">
        <v>31</v>
      </c>
      <c r="B1455" s="235">
        <v>82.51</v>
      </c>
      <c r="C1455" s="235">
        <v>97.41</v>
      </c>
      <c r="D1455" s="235">
        <v>61.54</v>
      </c>
      <c r="E1455" s="235">
        <v>60.49</v>
      </c>
      <c r="F1455" s="113">
        <v>42.46</v>
      </c>
      <c r="G1455" s="113"/>
    </row>
    <row r="1456" spans="1:10" x14ac:dyDescent="0.25">
      <c r="A1456" s="111" t="s">
        <v>32</v>
      </c>
      <c r="B1456" s="235">
        <f t="shared" ref="B1456:D1456" si="46">B1453-B1455</f>
        <v>27.490000000000009</v>
      </c>
      <c r="C1456" s="235">
        <f t="shared" si="46"/>
        <v>-17.409999999999982</v>
      </c>
      <c r="D1456" s="235">
        <f t="shared" si="46"/>
        <v>31.050000000000018</v>
      </c>
      <c r="E1456" s="235">
        <f>E1453-E1455</f>
        <v>39.51</v>
      </c>
      <c r="F1456" s="235">
        <f>F1453-F1455</f>
        <v>51.639999999999993</v>
      </c>
      <c r="G1456" s="113"/>
    </row>
    <row r="1457" spans="1:7" x14ac:dyDescent="0.25">
      <c r="A1457" s="253" t="s">
        <v>33</v>
      </c>
      <c r="B1457" s="340">
        <v>2018</v>
      </c>
      <c r="C1457" s="340">
        <v>2018</v>
      </c>
      <c r="D1457" s="715">
        <v>2020</v>
      </c>
      <c r="E1457" s="340">
        <v>2021</v>
      </c>
      <c r="F1457" s="340"/>
      <c r="G1457" s="340"/>
    </row>
    <row r="1458" spans="1:7" x14ac:dyDescent="0.25">
      <c r="A1458" s="716" t="s">
        <v>658</v>
      </c>
      <c r="B1458" s="717"/>
      <c r="C1458" s="717"/>
      <c r="D1458" s="717"/>
      <c r="E1458" s="717"/>
      <c r="F1458" s="717"/>
      <c r="G1458" s="718"/>
    </row>
    <row r="1459" spans="1:7" x14ac:dyDescent="0.25">
      <c r="A1459" s="256" t="s">
        <v>663</v>
      </c>
      <c r="B1459" s="706"/>
      <c r="C1459" s="706"/>
      <c r="D1459" s="706"/>
      <c r="E1459" s="706"/>
      <c r="F1459" s="706"/>
      <c r="G1459" s="721"/>
    </row>
    <row r="1460" spans="1:7" x14ac:dyDescent="0.25">
      <c r="A1460" s="136" t="s">
        <v>661</v>
      </c>
      <c r="B1460" s="137"/>
      <c r="C1460" s="137"/>
      <c r="D1460" s="137"/>
      <c r="E1460" s="137"/>
      <c r="F1460" s="137"/>
      <c r="G1460" s="138"/>
    </row>
  </sheetData>
  <mergeCells count="61">
    <mergeCell ref="A1301:I1301"/>
    <mergeCell ref="A1234:F1234"/>
    <mergeCell ref="A1220:F1220"/>
    <mergeCell ref="A186:F186"/>
    <mergeCell ref="A453:H453"/>
    <mergeCell ref="A187:H187"/>
    <mergeCell ref="A686:D686"/>
    <mergeCell ref="A676:G676"/>
    <mergeCell ref="A1092:J1092"/>
    <mergeCell ref="A741:N741"/>
    <mergeCell ref="A1029:G1029"/>
    <mergeCell ref="A1030:G1030"/>
    <mergeCell ref="A1031:G1031"/>
    <mergeCell ref="A611:F611"/>
    <mergeCell ref="A613:F613"/>
    <mergeCell ref="A614:F614"/>
    <mergeCell ref="A60:F60"/>
    <mergeCell ref="A61:F61"/>
    <mergeCell ref="A166:C166"/>
    <mergeCell ref="E56:H56"/>
    <mergeCell ref="E72:H72"/>
    <mergeCell ref="A131:G131"/>
    <mergeCell ref="A144:G144"/>
    <mergeCell ref="A155:G155"/>
    <mergeCell ref="A176:H176"/>
    <mergeCell ref="A121:H121"/>
    <mergeCell ref="A439:F439"/>
    <mergeCell ref="A384:F384"/>
    <mergeCell ref="A426:F426"/>
    <mergeCell ref="A253:M253"/>
    <mergeCell ref="A342:G342"/>
    <mergeCell ref="A338:G338"/>
    <mergeCell ref="A353:F353"/>
    <mergeCell ref="A367:F367"/>
    <mergeCell ref="A264:M264"/>
    <mergeCell ref="A533:J533"/>
    <mergeCell ref="A1046:G1046"/>
    <mergeCell ref="A1044:G1044"/>
    <mergeCell ref="A1045:G1045"/>
    <mergeCell ref="A696:G696"/>
    <mergeCell ref="A615:G615"/>
    <mergeCell ref="A616:G616"/>
    <mergeCell ref="A664:C664"/>
    <mergeCell ref="A617:G617"/>
    <mergeCell ref="A618:G618"/>
    <mergeCell ref="A1304:I1304"/>
    <mergeCell ref="A1349:G1349"/>
    <mergeCell ref="A463:H463"/>
    <mergeCell ref="A478:D478"/>
    <mergeCell ref="A1160:E1160"/>
    <mergeCell ref="A1205:G1205"/>
    <mergeCell ref="A1236:F1236"/>
    <mergeCell ref="A1222:F1222"/>
    <mergeCell ref="A1303:I1303"/>
    <mergeCell ref="A1302:I1302"/>
    <mergeCell ref="A1082:G1082"/>
    <mergeCell ref="A1178:F1178"/>
    <mergeCell ref="A1179:F1179"/>
    <mergeCell ref="A1177:F1177"/>
    <mergeCell ref="A1235:F1235"/>
    <mergeCell ref="A1246:C1246"/>
  </mergeCells>
  <phoneticPr fontId="20" type="noConversion"/>
  <pageMargins left="0.7" right="0.7" top="0.75" bottom="0.75" header="0.3" footer="0.3"/>
  <pageSetup paperSize="9" scale="10" orientation="landscape" r:id="rId1"/>
  <ignoredErrors>
    <ignoredError sqref="F1136 D1098 K748 E1425:F1425" formula="1"/>
    <ignoredError sqref="H1324 I498:J498 J510 I526:J526 H551 C538 H510:I510 H130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2021-11-22T15:54:09Z</dcterms:modified>
</cp:coreProperties>
</file>