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V:\2020_SharedDocs\ComplianceTables\"/>
    </mc:Choice>
  </mc:AlternateContent>
  <xr:revisionPtr revIDLastSave="0" documentId="13_ncr:1_{685C700E-D26E-49B4-86BE-97C4081109E6}" xr6:coauthVersionLast="45" xr6:coauthVersionMax="45"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data'!$A$1:$Q$999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98" i="1" l="1"/>
  <c r="B878" i="1"/>
  <c r="B863" i="1"/>
  <c r="B844" i="1"/>
  <c r="B834" i="1"/>
  <c r="B212" i="1"/>
  <c r="B135" i="1"/>
  <c r="B113" i="1"/>
  <c r="B34" i="1"/>
  <c r="B23" i="1"/>
  <c r="H732" i="1" l="1"/>
  <c r="F384" i="1" l="1"/>
  <c r="G381" i="1"/>
  <c r="G369" i="1"/>
  <c r="F372" i="1"/>
  <c r="F360" i="1"/>
  <c r="G357" i="1"/>
  <c r="F348" i="1" l="1"/>
  <c r="G345" i="1"/>
  <c r="F334" i="1"/>
  <c r="G331" i="1"/>
  <c r="F320" i="1"/>
  <c r="G317" i="1"/>
  <c r="G305" i="1"/>
  <c r="F305" i="1"/>
  <c r="F308" i="1" s="1"/>
  <c r="G291" i="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H702" i="1" l="1"/>
  <c r="G702" i="1"/>
  <c r="G100" i="1"/>
  <c r="G103" i="1" s="1"/>
  <c r="C9" i="1"/>
  <c r="L196" i="1" l="1"/>
  <c r="K196" i="1"/>
  <c r="K199" i="1" s="1"/>
  <c r="F937" i="1" l="1"/>
  <c r="D940" i="1"/>
  <c r="E937" i="1"/>
  <c r="E940" i="1" s="1"/>
  <c r="G132" i="1" l="1"/>
  <c r="G135" i="1" s="1"/>
  <c r="C132" i="1"/>
  <c r="C135" i="1" s="1"/>
  <c r="D132" i="1"/>
  <c r="D135" i="1" s="1"/>
  <c r="E132" i="1"/>
  <c r="E135" i="1" s="1"/>
  <c r="B132" i="1"/>
  <c r="F132" i="1"/>
  <c r="F135" i="1" s="1"/>
  <c r="C124" i="1" l="1"/>
  <c r="D124" i="1"/>
  <c r="B124" i="1"/>
  <c r="G121" i="1"/>
  <c r="G124" i="1" s="1"/>
  <c r="F121" i="1"/>
  <c r="F124" i="1" s="1"/>
  <c r="E121" i="1"/>
  <c r="E124" i="1" s="1"/>
  <c r="G113" i="1"/>
  <c r="F113" i="1"/>
  <c r="E113" i="1"/>
  <c r="D113" i="1"/>
  <c r="C113" i="1"/>
  <c r="D925" i="1" l="1"/>
  <c r="E923" i="1"/>
  <c r="E922" i="1" s="1"/>
  <c r="E909" i="1"/>
  <c r="E908" i="1" s="1"/>
  <c r="D909" i="1"/>
  <c r="D911" i="1"/>
  <c r="H878" i="1" l="1"/>
  <c r="H834" i="1" l="1"/>
  <c r="F1057" i="1" l="1"/>
  <c r="E1057" i="1"/>
  <c r="D1057" i="1"/>
  <c r="C1057" i="1"/>
  <c r="E1027" i="1"/>
  <c r="D1027" i="1"/>
  <c r="F1012" i="1"/>
  <c r="E1012" i="1"/>
  <c r="C12" i="1" l="1"/>
  <c r="C31" i="1"/>
  <c r="C34" i="1" s="1"/>
  <c r="B31" i="1"/>
  <c r="C23" i="1"/>
  <c r="G772" i="1" l="1"/>
  <c r="H755" i="1"/>
  <c r="G758" i="1"/>
  <c r="G735" i="1"/>
  <c r="F735" i="1"/>
  <c r="G725" i="1"/>
  <c r="G715" i="1"/>
  <c r="G705" i="1"/>
  <c r="L543" i="1" l="1"/>
  <c r="L524" i="1"/>
  <c r="E183" i="1" l="1"/>
  <c r="D183" i="1"/>
  <c r="C183" i="1"/>
  <c r="F180" i="1"/>
  <c r="F183" i="1" s="1"/>
  <c r="G180" i="1" s="1"/>
  <c r="F169" i="1"/>
  <c r="G166" i="1"/>
  <c r="G495" i="1" l="1"/>
  <c r="F495" i="1"/>
  <c r="E495" i="1"/>
  <c r="D485" i="1"/>
  <c r="G485" i="1"/>
  <c r="E485" i="1"/>
  <c r="H472" i="1"/>
  <c r="G475" i="1"/>
  <c r="I472" i="1" s="1"/>
  <c r="G465" i="1"/>
  <c r="I462" i="1" s="1"/>
  <c r="I452" i="1"/>
  <c r="H452" i="1"/>
  <c r="G455" i="1"/>
  <c r="G445" i="1"/>
  <c r="I442" i="1"/>
  <c r="G435" i="1"/>
  <c r="D898" i="1" l="1"/>
  <c r="E895" i="1"/>
  <c r="G986" i="1" l="1"/>
  <c r="H983" i="1" s="1"/>
  <c r="G976" i="1"/>
  <c r="H973" i="1" s="1"/>
  <c r="G965" i="1"/>
  <c r="G963" i="1"/>
  <c r="F965" i="1"/>
  <c r="F963" i="1"/>
  <c r="F953" i="1" l="1"/>
  <c r="F82" i="1" l="1"/>
  <c r="E82" i="1"/>
  <c r="E85" i="1" s="1"/>
  <c r="D85" i="1"/>
  <c r="C85" i="1"/>
  <c r="F69" i="1"/>
  <c r="E69" i="1"/>
  <c r="E72" i="1" s="1"/>
  <c r="D72" i="1"/>
  <c r="C72" i="1"/>
  <c r="D60" i="1"/>
  <c r="F57" i="1" s="1"/>
  <c r="E60" i="1"/>
  <c r="C60" i="1"/>
  <c r="F44" i="1"/>
  <c r="D47" i="1"/>
  <c r="C47" i="1"/>
  <c r="E44" i="1" s="1"/>
  <c r="E47" i="1" s="1"/>
  <c r="D794" i="1" l="1"/>
  <c r="E997" i="1" l="1"/>
  <c r="D997" i="1"/>
  <c r="C997" i="1"/>
  <c r="B997" i="1"/>
  <c r="F995" i="1"/>
  <c r="F504" i="1" l="1"/>
  <c r="F507" i="1" s="1"/>
  <c r="C504" i="1"/>
  <c r="C507" i="1" s="1"/>
  <c r="D504" i="1" s="1"/>
  <c r="D507" i="1" s="1"/>
  <c r="E504" i="1" l="1"/>
  <c r="E507" i="1" s="1"/>
  <c r="G834" i="1" l="1"/>
  <c r="F834" i="1"/>
  <c r="E834" i="1"/>
  <c r="D834" i="1"/>
  <c r="F398" i="1"/>
  <c r="H395" i="1" s="1"/>
  <c r="E398" i="1"/>
  <c r="D398" i="1"/>
  <c r="D878" i="1" l="1"/>
  <c r="D877" i="1" s="1"/>
  <c r="D880" i="1" s="1"/>
  <c r="E878" i="1" s="1"/>
  <c r="E877" i="1" s="1"/>
  <c r="E880" i="1" s="1"/>
  <c r="G878" i="1" s="1"/>
  <c r="G877" i="1" s="1"/>
  <c r="G880" i="1" s="1"/>
  <c r="B877" i="1"/>
  <c r="H877" i="1"/>
  <c r="H880" i="1" s="1"/>
  <c r="F877" i="1"/>
  <c r="F880" i="1" s="1"/>
  <c r="D865" i="1"/>
  <c r="C863" i="1"/>
  <c r="C865" i="1" s="1"/>
  <c r="B865" i="1"/>
  <c r="D863" i="1" s="1"/>
  <c r="E863" i="1" l="1"/>
  <c r="E862" i="1" s="1"/>
  <c r="E865" i="1" s="1"/>
  <c r="F863" i="1" s="1"/>
  <c r="F862" i="1" s="1"/>
  <c r="F865" i="1" s="1"/>
  <c r="G863" i="1" s="1"/>
  <c r="G862" i="1" s="1"/>
  <c r="G865" i="1" s="1"/>
  <c r="H863" i="1" s="1"/>
  <c r="H862" i="1" s="1"/>
  <c r="H865" i="1" s="1"/>
  <c r="B862" i="1"/>
  <c r="C862" i="1"/>
  <c r="D357" i="1" l="1"/>
  <c r="B842" i="1"/>
  <c r="B841" i="1" s="1"/>
  <c r="C842" i="1" s="1"/>
  <c r="C841" i="1" s="1"/>
  <c r="C844" i="1" s="1"/>
  <c r="D842" i="1" s="1"/>
  <c r="D841" i="1" s="1"/>
  <c r="D844" i="1" s="1"/>
  <c r="E842" i="1" s="1"/>
  <c r="E841" i="1" s="1"/>
  <c r="E844" i="1" s="1"/>
  <c r="F842" i="1" s="1"/>
  <c r="F841" i="1" s="1"/>
  <c r="F844" i="1" s="1"/>
  <c r="G842" i="1" s="1"/>
  <c r="G841" i="1" s="1"/>
  <c r="G844" i="1" s="1"/>
  <c r="H842" i="1" s="1"/>
  <c r="H841" i="1" s="1"/>
  <c r="H844" i="1" s="1"/>
  <c r="I842" i="1" s="1"/>
  <c r="I841" i="1" s="1"/>
  <c r="I844" i="1" s="1"/>
  <c r="J842" i="1" s="1"/>
  <c r="J841" i="1" s="1"/>
  <c r="J844" i="1" s="1"/>
  <c r="K842" i="1" s="1"/>
  <c r="K841" i="1" s="1"/>
  <c r="K844" i="1" s="1"/>
  <c r="L842" i="1" s="1"/>
  <c r="L841" i="1" s="1"/>
  <c r="C832" i="1"/>
  <c r="C831" i="1" s="1"/>
  <c r="C834" i="1" s="1"/>
  <c r="B832" i="1"/>
  <c r="B831" i="1" s="1"/>
  <c r="E998" i="1"/>
  <c r="D998" i="1"/>
  <c r="C998" i="1"/>
  <c r="C953" i="1"/>
  <c r="D953" i="1"/>
  <c r="E953" i="1"/>
</calcChain>
</file>

<file path=xl/sharedStrings.xml><?xml version="1.0" encoding="utf-8"?>
<sst xmlns="http://schemas.openxmlformats.org/spreadsheetml/2006/main" count="1376" uniqueCount="495">
  <si>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</si>
  <si>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</si>
  <si>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</si>
  <si>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</si>
  <si>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</si>
  <si>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</si>
  <si>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</si>
  <si>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</si>
  <si>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</si>
  <si>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</si>
  <si>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</si>
  <si>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</si>
  <si>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</si>
  <si>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</si>
  <si>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</si>
  <si>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</si>
  <si>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</si>
  <si>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</si>
  <si>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</si>
  <si>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</si>
  <si>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</si>
  <si>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</si>
  <si>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</si>
  <si>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</si>
  <si>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</si>
  <si>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</si>
  <si>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</si>
  <si>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</si>
  <si>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</si>
  <si>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</si>
  <si>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</si>
  <si>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</si>
  <si>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</si>
  <si>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</si>
  <si>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</si>
  <si>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</si>
  <si>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</si>
  <si>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</si>
  <si>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</si>
  <si>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</si>
  <si>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</si>
  <si>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</si>
  <si>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</si>
  <si>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</si>
  <si>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</si>
  <si>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</si>
  <si>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</si>
  <si>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</si>
  <si>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</si>
  <si>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</si>
  <si>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</si>
  <si>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</si>
  <si>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</si>
  <si>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</si>
  <si>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</si>
  <si>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</si>
  <si>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</si>
  <si>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</si>
  <si>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</si>
  <si>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</si>
  <si>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</si>
  <si>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</si>
  <si>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</si>
  <si>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</si>
  <si>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</si>
  <si>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</si>
  <si>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</si>
  <si>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</si>
  <si>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</si>
  <si>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</si>
  <si>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</si>
  <si>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</si>
  <si>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</si>
  <si>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</si>
  <si>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</si>
  <si>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</si>
  <si>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</si>
  <si>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</si>
  <si>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</si>
  <si>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</si>
  <si>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</si>
  <si>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</si>
  <si>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</si>
  <si>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</si>
  <si>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</si>
  <si>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</si>
  <si>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</si>
  <si>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</si>
  <si>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</si>
  <si>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</si>
  <si>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</si>
  <si>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</si>
  <si>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</si>
  <si>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</si>
  <si>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</si>
  <si>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</si>
  <si>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</si>
  <si>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</si>
  <si>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</si>
  <si>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</si>
  <si>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</si>
  <si>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</si>
  <si>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</si>
  <si>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</si>
  <si>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</si>
  <si>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</si>
  <si>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</si>
  <si>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=3926*(1+0.25)-100-200</t>
    <phoneticPr fontId="2" type="noConversion"/>
  </si>
  <si>
    <t>Regarding Rec.17-04 amends para.4 of Rec.16-06, Chinese Taipei is allocated 3926 t as its 2019 initial catch quota.</t>
    <phoneticPr fontId="2" type="noConversion"/>
  </si>
  <si>
    <t>2019 adjusted quota is 4607.5 t (=3926*(1+02.5)-100-200)  due to the inclusion of 2017 underage and 2019 initial catch quota and the respective transfers of 100 t to St.V&amp;G and 200 t to Belize.</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</si>
  <si>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</si>
  <si>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</si>
  <si>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</si>
  <si>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</si>
  <si>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</si>
  <si>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</si>
  <si>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</si>
  <si>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</si>
  <si>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</si>
  <si>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</si>
  <si>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</si>
  <si>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</si>
  <si>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=459+100.9</t>
    <phoneticPr fontId="2" type="noConversion"/>
  </si>
  <si>
    <t>=459*(1+20%)</t>
    <phoneticPr fontId="2" type="noConversion"/>
  </si>
  <si>
    <t>Regarding Rec.17-03 replaceing Rec.16-04, Chinese Taipei may carryover to the maximum of 20% of its 2018 underage in 2019.</t>
    <phoneticPr fontId="2" type="noConversion"/>
  </si>
  <si>
    <t>2019 adjusted quota is 550.8 t (=459*(1+20%)) due to the inclusion of 2018 underage.</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</si>
  <si>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</si>
  <si>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</si>
  <si>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</si>
  <si>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</si>
  <si>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</si>
  <si>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</si>
  <si>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</si>
  <si>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</si>
  <si>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</si>
  <si>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</si>
  <si>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</si>
  <si>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</si>
  <si>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</si>
  <si>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</si>
  <si>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</si>
  <si>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</si>
  <si>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</si>
  <si>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</si>
  <si>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</si>
  <si>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</si>
  <si>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</si>
  <si>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</si>
  <si>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</si>
  <si>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</si>
  <si>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</si>
  <si>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</si>
  <si>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</si>
  <si>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</si>
  <si>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</si>
  <si>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</si>
  <si>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</si>
  <si>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</si>
  <si>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</si>
  <si>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</si>
  <si>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</si>
  <si>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</si>
  <si>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</si>
  <si>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</si>
  <si>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</si>
  <si>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</si>
  <si>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</si>
  <si>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</si>
  <si>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</si>
  <si>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</si>
  <si>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</si>
  <si>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</si>
  <si>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</si>
  <si>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</si>
  <si>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</si>
  <si>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</si>
  <si>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</si>
  <si>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</si>
  <si>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</si>
  <si>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</si>
  <si>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</si>
  <si>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</si>
  <si>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</si>
  <si>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</si>
  <si>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</si>
  <si>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</si>
  <si>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</si>
  <si>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</si>
  <si>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</si>
  <si>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</si>
  <si>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</si>
  <si>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</si>
  <si>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</si>
  <si>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N.SWO</t>
  </si>
  <si>
    <t>Adjusted Lmit=initial limt +available balance(not to exceed 50% of initial quota)</t>
  </si>
  <si>
    <t>NOTE:pay back plan for the over-harvest of 2015: pay back 12t in 2017, pay back 12t in 2018, pay back 12.726t in 2019</t>
    <phoneticPr fontId="2" type="noConversion"/>
  </si>
  <si>
    <t>S.SWO</t>
  </si>
  <si>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</si>
  <si>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</si>
  <si>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</si>
  <si>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</si>
  <si>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</si>
  <si>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</si>
  <si>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</si>
  <si>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</si>
  <si>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</si>
  <si>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</si>
  <si>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</si>
  <si>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</si>
  <si>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</si>
  <si>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</si>
  <si>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</si>
  <si>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</si>
  <si>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</si>
  <si>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</si>
  <si>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2019 = Initial allocation + transfers (from Senegal 150t, Japan 35t, Chinese Taipe 35t, and the EU 300t) + underage from 2017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</si>
  <si>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</si>
  <si>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</si>
  <si>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</si>
  <si>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</si>
  <si>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</si>
  <si>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</si>
  <si>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</si>
  <si>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</si>
  <si>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</si>
  <si>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</si>
  <si>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</si>
  <si>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</si>
  <si>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</si>
  <si>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</si>
  <si>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</si>
  <si>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</si>
  <si>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</si>
  <si>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</si>
  <si>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</si>
  <si>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</si>
  <si>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</si>
  <si>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</si>
  <si>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</si>
  <si>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</si>
  <si>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</si>
  <si>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</si>
  <si>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</si>
  <si>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</si>
  <si>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</si>
  <si>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</si>
  <si>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</si>
  <si>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</si>
  <si>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</si>
  <si>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</si>
  <si>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</si>
  <si>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</si>
  <si>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</si>
  <si>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</si>
  <si>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</si>
  <si>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</si>
  <si>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</si>
  <si>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</si>
  <si>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</si>
  <si>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</si>
  <si>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</si>
  <si>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</si>
  <si>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</si>
  <si>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</si>
  <si>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</si>
  <si>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</si>
  <si>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</si>
  <si>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</si>
  <si>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</si>
  <si>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</si>
  <si>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</si>
  <si>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</si>
  <si>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</si>
  <si>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</si>
  <si>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</si>
  <si>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</si>
  <si>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</si>
  <si>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</si>
  <si>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</si>
  <si>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</si>
  <si>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</si>
  <si>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</si>
  <si>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</si>
  <si>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</si>
  <si>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</si>
  <si>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</si>
  <si>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</si>
  <si>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</si>
  <si>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</si>
  <si>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</si>
  <si>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</si>
  <si>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</si>
  <si>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</si>
  <si>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2018 adjusted limit = 842t(Limit)+3229.33t(2016 carry over(Para4 of Rec17-02)-100t(transfer to Morocco(Para2 of Rec.17-02))-35t(transfer to Canada(Para2 of Rec.17-02))</t>
    <phoneticPr fontId="17"/>
  </si>
  <si>
    <t>Japan's 2019 adjusted limit = 842t(Limit)+3505.33t(2017 carry over(Para4 of Rec17-02))-100t(transfer to Morocco( Para2 of Rec.17-02))-35t(transfer to Canada(Para2 of Rec.17-02))-25t(transfer to Mauritania(Para2 of Rec.17-02))</t>
    <phoneticPr fontId="17"/>
  </si>
  <si>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</si>
  <si>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</si>
  <si>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</si>
  <si>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</si>
  <si>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</si>
  <si>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</si>
  <si>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</si>
  <si>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</si>
  <si>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</si>
  <si>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</si>
  <si>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</si>
  <si>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</si>
  <si>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</si>
  <si>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</si>
  <si>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</si>
  <si>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</si>
  <si>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</si>
  <si>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</si>
  <si>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</si>
  <si>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</si>
  <si>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</si>
  <si>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</si>
  <si>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</si>
  <si>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</si>
  <si>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</si>
  <si>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</si>
  <si>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</si>
  <si>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</si>
  <si>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</si>
  <si>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</si>
  <si>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</si>
  <si>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</si>
  <si>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</si>
  <si>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</si>
  <si>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</si>
  <si>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</si>
  <si>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25% of its initial catch limit (53.75t) from its balance of 64.86t in 2018 to be used in 2020.</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</si>
  <si>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</si>
  <si>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</si>
  <si>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</si>
  <si>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</si>
  <si>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</si>
  <si>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</si>
  <si>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</si>
  <si>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</si>
  <si>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</si>
  <si>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</si>
  <si>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</si>
  <si>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</si>
  <si>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</si>
  <si>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</si>
  <si>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</si>
  <si>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</si>
  <si>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</si>
  <si>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</si>
  <si>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</si>
  <si>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</si>
  <si>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</si>
  <si>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</si>
  <si>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</si>
  <si>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</si>
  <si>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</si>
  <si>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</si>
  <si>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</si>
  <si>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</si>
  <si>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</si>
  <si>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</si>
  <si>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 transfers (Japan 35t, Chinese Taipe 35t) + underage from 2018 (202.2t - max. carry forward)</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</si>
  <si>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</si>
  <si>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</si>
  <si>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</si>
  <si>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</si>
  <si>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JAPAN-N-SWO: 2020 adjusted limit = 842 t(Limit)+544.00 t(2018 carry over(para 4 of Rec. 17-02))-150 t(transfer to Morocco(para 1-a) of Rec. 19-03))-35 t(transfer to Canada(para 2 of Rec. 17-02))-25 t(transfer to Mauritania(para 2 of Rec. 17-02)).</t>
  </si>
  <si>
    <t>JAPAN-N-SWO: 2021 adjusted limit = 842 t(Limit)+883.38 t(2019 carry over(para 4 of Rec. 17-02))-100 t(transfer to Morocco(para 1-a) of Rec. 19-03))-35 t(transfer to Canada(para 2 of Rec. 17-02))-25 t(transfer to Mauritania(para 2 of Rec. 17-02)).</t>
  </si>
  <si>
    <t>JAPAN-S-SWO: adjusted limit in 2011, 2012,2013,2014,2015,2016,2017,2018, 2019, 2020 and 2021 excluded 50 t transfered to Namibia. [Rec.09-03][Rec.12-01][Rec.13-03][Rec.15-03][Rec.16-04][Rec.17-03]</t>
  </si>
  <si>
    <t>JAPAN-S-SWO:Japan's 2021 adjusted limit  = 901t(Limit)+600t(2019 carry over(Para1(3) of Rec17-03))-50t(transfer to Namibia(Para5 of 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</si>
  <si>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</si>
  <si>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</si>
  <si>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</si>
  <si>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</si>
  <si>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</si>
  <si>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</si>
  <si>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JAPAN-BIGEYE:Japan's 2020 adjusted limit = 17,696(Para.3 of Rec.16-01)*(1-0.21) (Para4-(a) of Rec 19-02)-600(transfer to China (Footnote2 of Para.8  of Rec.19-02))-300(transfer to Europian Union (Footnote 2 of Para.8 of Rec.19-02))</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</si>
  <si>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</si>
  <si>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</si>
  <si>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</si>
  <si>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</si>
  <si>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</si>
  <si>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</si>
  <si>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</si>
  <si>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</si>
  <si>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</si>
  <si>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</si>
  <si>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</si>
  <si>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1486*0.15+1000 - 223</t>
  </si>
  <si>
    <t>Until 2016, underage up to 30% of the initial catch quota was carried over to the following year.</t>
  </si>
  <si>
    <t>Since 2017, underage up to 15% of the initial catch quota was carried over to the following year.</t>
  </si>
  <si>
    <t>Since 2018, Korea transferred 223t of its quota to Chinese Taipei every year.</t>
  </si>
  <si>
    <t>For 2020, Korea voluntarily set its catch limit at 1,000t.</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</si>
  <si>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</si>
  <si>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</si>
  <si>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</si>
  <si>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</si>
  <si>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</si>
  <si>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</si>
  <si>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</si>
  <si>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</si>
  <si>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</si>
  <si>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</si>
  <si>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</si>
  <si>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</si>
  <si>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</si>
  <si>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</si>
  <si>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</si>
  <si>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</si>
  <si>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</si>
  <si>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</si>
  <si>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</si>
  <si>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</si>
  <si>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</si>
  <si>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</si>
  <si>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</si>
  <si>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</si>
  <si>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</si>
  <si>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</si>
  <si>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</si>
  <si>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</si>
  <si>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</si>
  <si>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</si>
  <si>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</si>
  <si>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</si>
  <si>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</si>
  <si>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Limite ajustee 2019 = Limite 2019 + max. Solde (Limite 2019*0.4)= 250 + (250 * 0.4)= 350 t</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</si>
  <si>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</si>
  <si>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</si>
  <si>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</si>
  <si>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</si>
  <si>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</si>
  <si>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</si>
  <si>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</si>
  <si>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</si>
  <si>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</si>
  <si>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</si>
  <si>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</si>
  <si>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</si>
  <si>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</si>
  <si>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</si>
  <si>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</si>
  <si>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</si>
  <si>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</si>
  <si>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</si>
  <si>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</si>
  <si>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</si>
  <si>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limited for 2019=215(initial quota)+215*25%(carryover 2017)=268.75</t>
  </si>
  <si>
    <t>Adjusted limited for 2020=215(initial quota)+215*25%(carryover 2018)=268.75</t>
  </si>
  <si>
    <t>*Adjusted Limit=initial limt +available balance(not to exceed 25% of initial quota)</t>
  </si>
  <si>
    <t>Quota2019+25%Q2019=215+0.25*215</t>
  </si>
  <si>
    <t>215+(0.25*215)</t>
  </si>
  <si>
    <t>(215*0.25)+215</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</si>
  <si>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</si>
  <si>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</si>
  <si>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</si>
  <si>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</si>
  <si>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</si>
  <si>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</si>
  <si>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</si>
  <si>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</si>
  <si>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</si>
  <si>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</si>
  <si>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</si>
  <si>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</si>
  <si>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</si>
  <si>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</si>
  <si>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</si>
  <si>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</si>
  <si>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</si>
  <si>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</si>
  <si>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4607.5 t (=3926*(1+0.25)-100-200)  due to the inclusion of 2018 underage and 2020 initial catch quota and the deduction of transfers of 100 t to St.V&amp;G and 200 t to Belize.</t>
  </si>
  <si>
    <t>=3926*(1+0.25)-100-200</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</si>
  <si>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</si>
  <si>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</si>
  <si>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</si>
  <si>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</si>
  <si>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</si>
  <si>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</si>
  <si>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</si>
  <si>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</si>
  <si>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</si>
  <si>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</si>
  <si>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</si>
  <si>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</si>
  <si>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</si>
  <si>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</si>
  <si>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</si>
  <si>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</si>
  <si>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</si>
  <si>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t>Limite ajustee 2020 = Limite 2020 + max. Solde (Limite 2020*0.4) -transfert Canada (250 t) = 250 + (250 * 0.4) -125= 225 t</t>
  </si>
  <si>
    <t xml:space="preserve">COC-304/20 Annex 1 - APPLICATION OF OVER/UNDERHARVEST </t>
  </si>
  <si>
    <t xml:space="preserve">COC-304/20  Annexe 1: APPLICATION DE SUR/SOUS-CONSOMMATION </t>
  </si>
  <si>
    <t xml:space="preserve">COC-304/20 Anexo 1: APLICACIÓN DE EXCESO/REMANENTE DE CAPTURA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</si>
</sst>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3">
    <fill>
      <patternFill patternType="none"/>
    </fill>
    <fill>
      <patternFill patternType="gray125"/>
    </fill>
    <fill>
      <patternFill patternType="solid">
        <fgColor theme="2"/>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621">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0" fontId="6" fillId="0" borderId="0" xfId="0" applyFont="1" applyBorder="1" applyAlignment="1">
      <alignment horizontal="left" vertical="center"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166" fontId="6" fillId="0" borderId="2" xfId="0" applyNumberFormat="1" applyFont="1" applyFill="1" applyBorder="1"/>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14" xfId="0" applyNumberFormat="1" applyFont="1" applyFill="1" applyBorder="1" applyAlignment="1"/>
    <xf numFmtId="166" fontId="6" fillId="0" borderId="4" xfId="0" applyNumberFormat="1" applyFont="1" applyBorder="1"/>
    <xf numFmtId="0" fontId="18" fillId="0" borderId="0" xfId="0" applyFont="1" applyBorder="1"/>
    <xf numFmtId="0" fontId="5" fillId="0" borderId="5"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167" fontId="6" fillId="0" borderId="4" xfId="2" applyNumberFormat="1" applyFont="1" applyFill="1" applyBorder="1" applyAlignment="1">
      <alignment horizontal="center"/>
    </xf>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0" fontId="8" fillId="0" borderId="12" xfId="0" applyFont="1" applyFill="1" applyBorder="1" applyAlignment="1">
      <alignment horizontal="left"/>
    </xf>
    <xf numFmtId="0" fontId="8" fillId="0" borderId="11" xfId="0" applyFont="1" applyFill="1" applyBorder="1" applyAlignment="1">
      <alignment horizontal="left"/>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49" fontId="6" fillId="0" borderId="2" xfId="0" applyNumberFormat="1" applyFont="1" applyFill="1" applyBorder="1" applyAlignment="1">
      <alignment wrapText="1"/>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2" fontId="6" fillId="0" borderId="2" xfId="0" applyNumberFormat="1" applyFont="1" applyFill="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xf numFmtId="0" fontId="6" fillId="0" borderId="12" xfId="0" applyFont="1" applyFill="1" applyBorder="1" applyAlignment="1">
      <alignment horizontal="left" wrapText="1"/>
    </xf>
    <xf numFmtId="0" fontId="6" fillId="0" borderId="0" xfId="0" applyFont="1" applyFill="1" applyBorder="1" applyAlignment="1">
      <alignment horizontal="left" wrapText="1"/>
    </xf>
    <xf numFmtId="0" fontId="6" fillId="0" borderId="10" xfId="0" applyFont="1" applyFill="1" applyBorder="1" applyAlignment="1">
      <alignment horizontal="left" wrapText="1"/>
    </xf>
    <xf numFmtId="0" fontId="6" fillId="0" borderId="4" xfId="1" applyFont="1" applyBorder="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9" fillId="0" borderId="4" xfId="1" applyFont="1" applyBorder="1" applyAlignment="1">
      <alignment horizontal="left"/>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8" fillId="0" borderId="12" xfId="0" applyFont="1" applyFill="1" applyBorder="1" applyAlignment="1">
      <alignment horizontal="left"/>
    </xf>
    <xf numFmtId="0" fontId="18" fillId="0" borderId="0" xfId="0" applyFont="1" applyFill="1" applyBorder="1" applyAlignment="1">
      <alignment horizontal="left"/>
    </xf>
    <xf numFmtId="0" fontId="18" fillId="0" borderId="10" xfId="0" applyFont="1" applyFill="1" applyBorder="1" applyAlignment="1">
      <alignment horizontal="left"/>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4" applyFont="1" applyBorder="1" applyAlignment="1"/>
    <xf numFmtId="0" fontId="14" fillId="0" borderId="0" xfId="4" applyFont="1" applyBorder="1" applyAlignment="1"/>
    <xf numFmtId="0" fontId="6" fillId="0" borderId="0" xfId="4" applyFont="1" applyBorder="1"/>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11" xfId="2" applyFont="1" applyFill="1" applyBorder="1" applyAlignment="1">
      <alignment horizontal="left" wrapText="1"/>
    </xf>
    <xf numFmtId="0" fontId="6" fillId="0" borderId="6" xfId="2" applyFont="1" applyFill="1" applyBorder="1" applyAlignment="1">
      <alignment horizontal="left" wrapText="1"/>
    </xf>
    <xf numFmtId="0" fontId="6" fillId="0" borderId="3" xfId="2" applyFont="1" applyFill="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9" fillId="0" borderId="1"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63"/>
  <sheetViews>
    <sheetView tabSelected="1" zoomScale="90" zoomScaleNormal="90" workbookViewId="0">
      <selection activeCell="D12" sqref="D12"/>
    </sheetView>
  </sheetViews>
  <sheetFormatPr defaultColWidth="9.109375" defaultRowHeight="13.2" x14ac:dyDescent="0.25"/>
  <cols>
    <col min="1" max="1" width="16.33203125" style="137" customWidth="1"/>
    <col min="2" max="2" width="23.109375" style="137" customWidth="1"/>
    <col min="3" max="3" width="21.109375" style="137" customWidth="1"/>
    <col min="4" max="7" width="17.5546875" style="137" customWidth="1"/>
    <col min="8" max="8" width="11" style="137" customWidth="1"/>
    <col min="9" max="9" width="13" style="137" customWidth="1"/>
    <col min="10" max="16384" width="9.109375" style="137"/>
  </cols>
  <sheetData>
    <row r="1" spans="1:7" ht="13.8" x14ac:dyDescent="0.3">
      <c r="A1" s="148" t="s">
        <v>492</v>
      </c>
      <c r="B1" s="136"/>
      <c r="C1" s="136"/>
      <c r="D1" s="136"/>
      <c r="E1" s="136"/>
      <c r="F1" s="148"/>
      <c r="G1" s="136"/>
    </row>
    <row r="2" spans="1:7" ht="13.8" x14ac:dyDescent="0.3">
      <c r="A2" s="149" t="s">
        <v>493</v>
      </c>
      <c r="B2" s="136"/>
      <c r="C2" s="136"/>
      <c r="D2" s="136"/>
      <c r="E2" s="136"/>
      <c r="F2" s="148"/>
      <c r="G2" s="136"/>
    </row>
    <row r="3" spans="1:7" ht="13.8" x14ac:dyDescent="0.3">
      <c r="A3" s="148" t="s">
        <v>494</v>
      </c>
      <c r="B3" s="136"/>
      <c r="C3" s="136"/>
      <c r="D3" s="136"/>
      <c r="E3" s="136"/>
      <c r="F3" s="148"/>
      <c r="G3" s="136"/>
    </row>
    <row r="4" spans="1:7" ht="13.8" x14ac:dyDescent="0.3">
      <c r="F4" s="148"/>
    </row>
    <row r="5" spans="1:7" x14ac:dyDescent="0.25">
      <c r="A5" s="1" t="s">
        <v>13</v>
      </c>
      <c r="B5" s="41" t="s">
        <v>261</v>
      </c>
      <c r="C5" s="176"/>
      <c r="D5" s="2"/>
      <c r="E5" s="2"/>
      <c r="F5" s="2"/>
      <c r="G5" s="2"/>
    </row>
    <row r="6" spans="1:7" x14ac:dyDescent="0.25">
      <c r="A6" s="3" t="s">
        <v>15</v>
      </c>
      <c r="B6" s="4" t="s">
        <v>268</v>
      </c>
      <c r="C6" s="5" t="s">
        <v>17</v>
      </c>
      <c r="D6" s="2"/>
    </row>
    <row r="7" spans="1:7" x14ac:dyDescent="0.25">
      <c r="A7" s="6" t="s">
        <v>18</v>
      </c>
      <c r="B7" s="7"/>
      <c r="C7" s="7">
        <v>2019</v>
      </c>
      <c r="D7" s="2"/>
    </row>
    <row r="8" spans="1:7" x14ac:dyDescent="0.25">
      <c r="A8" s="6" t="s">
        <v>19</v>
      </c>
      <c r="B8" s="113"/>
      <c r="C8" s="304">
        <v>215</v>
      </c>
    </row>
    <row r="9" spans="1:7" x14ac:dyDescent="0.25">
      <c r="A9" s="6" t="s">
        <v>20</v>
      </c>
      <c r="B9" s="304"/>
      <c r="C9" s="304">
        <f>C8*1.25</f>
        <v>268.75</v>
      </c>
    </row>
    <row r="10" spans="1:7" ht="26.4" x14ac:dyDescent="0.25">
      <c r="A10" s="6" t="s">
        <v>21</v>
      </c>
      <c r="B10" s="14"/>
      <c r="C10" s="394" t="s">
        <v>451</v>
      </c>
    </row>
    <row r="11" spans="1:7" x14ac:dyDescent="0.25">
      <c r="A11" s="6" t="s">
        <v>22</v>
      </c>
      <c r="B11" s="304"/>
      <c r="C11" s="113">
        <v>7.12</v>
      </c>
    </row>
    <row r="12" spans="1:7" x14ac:dyDescent="0.25">
      <c r="A12" s="6" t="s">
        <v>23</v>
      </c>
      <c r="B12" s="304"/>
      <c r="C12" s="113">
        <f>C9-C11</f>
        <v>261.63</v>
      </c>
    </row>
    <row r="13" spans="1:7" x14ac:dyDescent="0.25">
      <c r="A13" s="6" t="s">
        <v>24</v>
      </c>
      <c r="B13" s="7"/>
      <c r="C13" s="373">
        <v>2021</v>
      </c>
    </row>
    <row r="14" spans="1:7" x14ac:dyDescent="0.25">
      <c r="A14" s="8" t="s">
        <v>25</v>
      </c>
      <c r="B14" s="9"/>
      <c r="C14" s="10"/>
    </row>
    <row r="15" spans="1:7" x14ac:dyDescent="0.25">
      <c r="A15" s="11" t="s">
        <v>409</v>
      </c>
      <c r="B15" s="12"/>
      <c r="C15" s="13"/>
    </row>
    <row r="16" spans="1:7" x14ac:dyDescent="0.25">
      <c r="A16" s="11"/>
      <c r="B16" s="12"/>
      <c r="C16" s="12"/>
      <c r="D16" s="138"/>
    </row>
    <row r="17" spans="1:7" x14ac:dyDescent="0.25">
      <c r="A17" s="3" t="s">
        <v>15</v>
      </c>
      <c r="B17" s="4" t="s">
        <v>262</v>
      </c>
      <c r="C17" s="5" t="s">
        <v>17</v>
      </c>
      <c r="D17" s="2"/>
      <c r="E17" s="2"/>
      <c r="F17" s="2"/>
      <c r="G17" s="2"/>
    </row>
    <row r="18" spans="1:7" x14ac:dyDescent="0.25">
      <c r="A18" s="6" t="s">
        <v>18</v>
      </c>
      <c r="B18" s="7">
        <v>2018</v>
      </c>
      <c r="C18" s="7">
        <v>2019</v>
      </c>
      <c r="D18" s="2"/>
    </row>
    <row r="19" spans="1:7" x14ac:dyDescent="0.25">
      <c r="A19" s="6" t="s">
        <v>19</v>
      </c>
      <c r="B19" s="113">
        <v>45</v>
      </c>
      <c r="C19" s="113">
        <v>45</v>
      </c>
    </row>
    <row r="20" spans="1:7" x14ac:dyDescent="0.25">
      <c r="A20" s="6" t="s">
        <v>20</v>
      </c>
      <c r="B20" s="304">
        <v>63</v>
      </c>
      <c r="C20" s="113">
        <v>63</v>
      </c>
    </row>
    <row r="21" spans="1:7" x14ac:dyDescent="0.25">
      <c r="A21" s="6" t="s">
        <v>21</v>
      </c>
      <c r="B21" s="7" t="s">
        <v>404</v>
      </c>
      <c r="C21" s="7" t="s">
        <v>404</v>
      </c>
    </row>
    <row r="22" spans="1:7" x14ac:dyDescent="0.25">
      <c r="A22" s="6" t="s">
        <v>22</v>
      </c>
      <c r="B22" s="304">
        <v>18.100000000000001</v>
      </c>
      <c r="C22" s="113">
        <v>9.9499999999999993</v>
      </c>
    </row>
    <row r="23" spans="1:7" x14ac:dyDescent="0.25">
      <c r="A23" s="6" t="s">
        <v>23</v>
      </c>
      <c r="B23" s="304">
        <f>B20-B22</f>
        <v>44.9</v>
      </c>
      <c r="C23" s="113">
        <f>C20-C22</f>
        <v>53.05</v>
      </c>
    </row>
    <row r="24" spans="1:7" x14ac:dyDescent="0.25">
      <c r="A24" s="6" t="s">
        <v>24</v>
      </c>
      <c r="B24" s="373">
        <v>2020</v>
      </c>
      <c r="C24" s="373">
        <v>2021</v>
      </c>
    </row>
    <row r="25" spans="1:7" x14ac:dyDescent="0.25">
      <c r="A25" s="8" t="s">
        <v>190</v>
      </c>
      <c r="B25" s="9"/>
      <c r="C25" s="10"/>
    </row>
    <row r="26" spans="1:7" x14ac:dyDescent="0.25">
      <c r="A26" s="303" t="s">
        <v>405</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3">
        <v>10</v>
      </c>
      <c r="C30" s="113">
        <v>10</v>
      </c>
    </row>
    <row r="31" spans="1:7" x14ac:dyDescent="0.25">
      <c r="A31" s="6" t="s">
        <v>20</v>
      </c>
      <c r="B31" s="304">
        <f>10-2.23</f>
        <v>7.77</v>
      </c>
      <c r="C31" s="113">
        <f>C30-7.1</f>
        <v>2.9000000000000004</v>
      </c>
    </row>
    <row r="32" spans="1:7" x14ac:dyDescent="0.25">
      <c r="A32" s="6" t="s">
        <v>21</v>
      </c>
      <c r="B32" s="14" t="s">
        <v>407</v>
      </c>
      <c r="C32" s="14" t="s">
        <v>408</v>
      </c>
    </row>
    <row r="33" spans="1:7" x14ac:dyDescent="0.25">
      <c r="A33" s="6" t="s">
        <v>22</v>
      </c>
      <c r="B33" s="304">
        <v>17.5</v>
      </c>
      <c r="C33" s="113">
        <v>11.5</v>
      </c>
    </row>
    <row r="34" spans="1:7" x14ac:dyDescent="0.25">
      <c r="A34" s="6" t="s">
        <v>23</v>
      </c>
      <c r="B34" s="304">
        <f>B31-B33</f>
        <v>-9.73</v>
      </c>
      <c r="C34" s="113">
        <f>C31-C33</f>
        <v>-8.6</v>
      </c>
    </row>
    <row r="35" spans="1:7" x14ac:dyDescent="0.25">
      <c r="A35" s="6" t="s">
        <v>24</v>
      </c>
      <c r="B35" s="373">
        <v>2020</v>
      </c>
      <c r="C35" s="373">
        <v>2021</v>
      </c>
    </row>
    <row r="36" spans="1:7" x14ac:dyDescent="0.25">
      <c r="A36" s="8" t="s">
        <v>25</v>
      </c>
      <c r="B36" s="9"/>
      <c r="C36" s="10"/>
    </row>
    <row r="37" spans="1:7" x14ac:dyDescent="0.25">
      <c r="A37" s="11" t="s">
        <v>406</v>
      </c>
      <c r="B37" s="12"/>
      <c r="C37" s="13"/>
    </row>
    <row r="40" spans="1:7" x14ac:dyDescent="0.25">
      <c r="A40" s="15" t="s">
        <v>13</v>
      </c>
      <c r="B40" s="16" t="s">
        <v>210</v>
      </c>
      <c r="C40" s="176"/>
      <c r="D40" s="17"/>
      <c r="E40" s="17"/>
      <c r="F40" s="17"/>
      <c r="G40" s="138"/>
    </row>
    <row r="41" spans="1:7" x14ac:dyDescent="0.25">
      <c r="A41" s="179" t="s">
        <v>15</v>
      </c>
      <c r="B41" s="180" t="s">
        <v>52</v>
      </c>
      <c r="C41" s="203" t="s">
        <v>17</v>
      </c>
      <c r="D41" s="176"/>
      <c r="E41" s="176"/>
      <c r="F41" s="176"/>
      <c r="G41" s="138"/>
    </row>
    <row r="42" spans="1:7" x14ac:dyDescent="0.25">
      <c r="A42" s="182" t="s">
        <v>18</v>
      </c>
      <c r="B42" s="37"/>
      <c r="C42" s="177">
        <v>2017</v>
      </c>
      <c r="D42" s="37">
        <v>2018</v>
      </c>
      <c r="E42" s="37">
        <v>2019</v>
      </c>
      <c r="F42" s="37">
        <v>2020</v>
      </c>
    </row>
    <row r="43" spans="1:7" x14ac:dyDescent="0.25">
      <c r="A43" s="182" t="s">
        <v>19</v>
      </c>
      <c r="B43" s="37"/>
      <c r="C43" s="198">
        <v>200</v>
      </c>
      <c r="D43" s="395">
        <v>200</v>
      </c>
      <c r="E43" s="181">
        <v>215</v>
      </c>
      <c r="F43" s="181">
        <v>215</v>
      </c>
    </row>
    <row r="44" spans="1:7" x14ac:dyDescent="0.25">
      <c r="A44" s="182" t="s">
        <v>20</v>
      </c>
      <c r="B44" s="37"/>
      <c r="C44" s="198">
        <v>450</v>
      </c>
      <c r="D44" s="181">
        <v>450</v>
      </c>
      <c r="E44" s="181">
        <f>E43+C47+200</f>
        <v>416.56</v>
      </c>
      <c r="F44" s="181">
        <f>1.25*F43+200</f>
        <v>468.75</v>
      </c>
    </row>
    <row r="45" spans="1:7" x14ac:dyDescent="0.25">
      <c r="A45" s="182" t="s">
        <v>21</v>
      </c>
      <c r="B45" s="37"/>
      <c r="C45" s="198"/>
      <c r="D45" s="181"/>
      <c r="E45" s="519" t="s">
        <v>211</v>
      </c>
      <c r="F45" s="520"/>
    </row>
    <row r="46" spans="1:7" x14ac:dyDescent="0.25">
      <c r="A46" s="182" t="s">
        <v>22</v>
      </c>
      <c r="B46" s="37"/>
      <c r="C46" s="181">
        <v>448.44</v>
      </c>
      <c r="D46" s="181">
        <v>385.14</v>
      </c>
      <c r="E46" s="181">
        <v>216.09</v>
      </c>
      <c r="F46" s="181"/>
    </row>
    <row r="47" spans="1:7" x14ac:dyDescent="0.25">
      <c r="A47" s="182" t="s">
        <v>23</v>
      </c>
      <c r="B47" s="37"/>
      <c r="C47" s="181">
        <f>C44-C46</f>
        <v>1.5600000000000023</v>
      </c>
      <c r="D47" s="181">
        <f>D44-D46</f>
        <v>64.860000000000014</v>
      </c>
      <c r="E47" s="181">
        <f>E44-E46</f>
        <v>200.47</v>
      </c>
      <c r="F47" s="181"/>
    </row>
    <row r="48" spans="1:7" x14ac:dyDescent="0.25">
      <c r="A48" s="183" t="s">
        <v>24</v>
      </c>
      <c r="B48" s="184"/>
      <c r="C48" s="178">
        <v>2019</v>
      </c>
      <c r="D48" s="184">
        <v>2020</v>
      </c>
      <c r="E48" s="184">
        <v>2021</v>
      </c>
      <c r="F48" s="184">
        <v>2022</v>
      </c>
    </row>
    <row r="49" spans="1:7" x14ac:dyDescent="0.25">
      <c r="A49" s="527" t="s">
        <v>271</v>
      </c>
      <c r="B49" s="528"/>
      <c r="C49" s="528"/>
      <c r="D49" s="528"/>
      <c r="E49" s="528"/>
      <c r="F49" s="529"/>
    </row>
    <row r="50" spans="1:7" x14ac:dyDescent="0.25">
      <c r="A50" s="530" t="s">
        <v>331</v>
      </c>
      <c r="B50" s="531"/>
      <c r="C50" s="531"/>
      <c r="D50" s="531"/>
      <c r="E50" s="531"/>
      <c r="F50" s="532"/>
    </row>
    <row r="51" spans="1:7" x14ac:dyDescent="0.25">
      <c r="A51" s="185" t="s">
        <v>322</v>
      </c>
      <c r="B51" s="186"/>
      <c r="C51" s="186"/>
      <c r="D51" s="187"/>
      <c r="E51" s="187"/>
      <c r="F51" s="188"/>
    </row>
    <row r="52" spans="1:7" x14ac:dyDescent="0.25">
      <c r="A52" s="176"/>
      <c r="B52" s="176"/>
      <c r="C52" s="176"/>
      <c r="D52" s="176"/>
      <c r="E52" s="176"/>
      <c r="F52" s="176"/>
    </row>
    <row r="54" spans="1:7" x14ac:dyDescent="0.25">
      <c r="A54" s="18" t="s">
        <v>15</v>
      </c>
      <c r="B54" s="19" t="s">
        <v>60</v>
      </c>
      <c r="C54" s="29" t="s">
        <v>17</v>
      </c>
      <c r="D54" s="17"/>
      <c r="E54" s="17"/>
      <c r="F54" s="17"/>
      <c r="G54" s="138"/>
    </row>
    <row r="55" spans="1:7" x14ac:dyDescent="0.25">
      <c r="A55" s="20" t="s">
        <v>18</v>
      </c>
      <c r="B55" s="21"/>
      <c r="C55" s="21">
        <v>2017</v>
      </c>
      <c r="D55" s="21">
        <v>2018</v>
      </c>
      <c r="E55" s="21">
        <v>2019</v>
      </c>
      <c r="F55" s="21">
        <v>2020</v>
      </c>
    </row>
    <row r="56" spans="1:7" x14ac:dyDescent="0.25">
      <c r="A56" s="20" t="s">
        <v>19</v>
      </c>
      <c r="B56" s="21"/>
      <c r="C56" s="189">
        <v>250</v>
      </c>
      <c r="D56" s="189">
        <v>250</v>
      </c>
      <c r="E56" s="189">
        <v>250</v>
      </c>
      <c r="F56" s="189">
        <v>250</v>
      </c>
    </row>
    <row r="57" spans="1:7" x14ac:dyDescent="0.25">
      <c r="A57" s="20" t="s">
        <v>20</v>
      </c>
      <c r="B57" s="21"/>
      <c r="C57" s="189">
        <v>312.5</v>
      </c>
      <c r="D57" s="189">
        <v>312.5</v>
      </c>
      <c r="E57" s="189">
        <v>312.5</v>
      </c>
      <c r="F57" s="189">
        <f>F56+D60</f>
        <v>251.98000000000002</v>
      </c>
    </row>
    <row r="58" spans="1:7" x14ac:dyDescent="0.25">
      <c r="A58" s="20" t="s">
        <v>21</v>
      </c>
      <c r="B58" s="21"/>
      <c r="C58" s="197"/>
      <c r="D58" s="197"/>
      <c r="E58" s="521" t="s">
        <v>211</v>
      </c>
      <c r="F58" s="522"/>
    </row>
    <row r="59" spans="1:7" x14ac:dyDescent="0.25">
      <c r="A59" s="20" t="s">
        <v>22</v>
      </c>
      <c r="B59" s="21"/>
      <c r="C59" s="189">
        <v>219.03</v>
      </c>
      <c r="D59" s="189">
        <v>310.52</v>
      </c>
      <c r="E59" s="189">
        <v>158.13999999999999</v>
      </c>
      <c r="F59" s="189"/>
    </row>
    <row r="60" spans="1:7" x14ac:dyDescent="0.25">
      <c r="A60" s="20" t="s">
        <v>23</v>
      </c>
      <c r="B60" s="21"/>
      <c r="C60" s="189">
        <f>C57-C59</f>
        <v>93.47</v>
      </c>
      <c r="D60" s="189">
        <f t="shared" ref="D60:E60" si="0">D57-D59</f>
        <v>1.9800000000000182</v>
      </c>
      <c r="E60" s="189">
        <f t="shared" si="0"/>
        <v>154.36000000000001</v>
      </c>
      <c r="F60" s="189"/>
    </row>
    <row r="61" spans="1:7" x14ac:dyDescent="0.25">
      <c r="A61" s="23" t="s">
        <v>24</v>
      </c>
      <c r="B61" s="199"/>
      <c r="C61" s="199">
        <v>2019</v>
      </c>
      <c r="D61" s="199">
        <v>2020</v>
      </c>
      <c r="E61" s="199">
        <v>2021</v>
      </c>
      <c r="F61" s="199">
        <v>2022</v>
      </c>
    </row>
    <row r="62" spans="1:7" x14ac:dyDescent="0.25">
      <c r="A62" s="190" t="s">
        <v>272</v>
      </c>
      <c r="B62" s="24"/>
      <c r="C62" s="24"/>
      <c r="D62" s="24"/>
      <c r="E62" s="24"/>
      <c r="F62" s="191"/>
    </row>
    <row r="63" spans="1:7" x14ac:dyDescent="0.25">
      <c r="A63" s="194" t="s">
        <v>332</v>
      </c>
      <c r="B63" s="17"/>
      <c r="C63" s="17"/>
      <c r="D63" s="17"/>
      <c r="E63" s="17"/>
      <c r="F63" s="195"/>
    </row>
    <row r="64" spans="1:7" x14ac:dyDescent="0.25">
      <c r="A64" s="192"/>
      <c r="B64" s="25"/>
      <c r="C64" s="25"/>
      <c r="D64" s="25"/>
      <c r="E64" s="25"/>
      <c r="F64" s="193"/>
    </row>
    <row r="66" spans="1:7" x14ac:dyDescent="0.25">
      <c r="A66" s="18" t="s">
        <v>15</v>
      </c>
      <c r="B66" s="19" t="s">
        <v>67</v>
      </c>
      <c r="C66" s="29" t="s">
        <v>17</v>
      </c>
      <c r="D66" s="17"/>
      <c r="E66" s="17"/>
      <c r="F66" s="17"/>
      <c r="G66" s="138"/>
    </row>
    <row r="67" spans="1:7" x14ac:dyDescent="0.25">
      <c r="A67" s="20" t="s">
        <v>18</v>
      </c>
      <c r="B67" s="21"/>
      <c r="C67" s="21">
        <v>2017</v>
      </c>
      <c r="D67" s="21">
        <v>2018</v>
      </c>
      <c r="E67" s="21">
        <v>2019</v>
      </c>
      <c r="F67" s="21">
        <v>2020</v>
      </c>
    </row>
    <row r="68" spans="1:7" x14ac:dyDescent="0.25">
      <c r="A68" s="20" t="s">
        <v>19</v>
      </c>
      <c r="B68" s="21"/>
      <c r="C68" s="189">
        <v>130</v>
      </c>
      <c r="D68" s="189">
        <v>130</v>
      </c>
      <c r="E68" s="189">
        <v>130</v>
      </c>
      <c r="F68" s="189">
        <v>130</v>
      </c>
    </row>
    <row r="69" spans="1:7" x14ac:dyDescent="0.25">
      <c r="A69" s="20" t="s">
        <v>20</v>
      </c>
      <c r="B69" s="21"/>
      <c r="C69" s="189">
        <v>257</v>
      </c>
      <c r="D69" s="189">
        <v>257</v>
      </c>
      <c r="E69" s="189">
        <f>E68*1.4+75</f>
        <v>257</v>
      </c>
      <c r="F69" s="189">
        <f>F68*1.4+75</f>
        <v>257</v>
      </c>
    </row>
    <row r="70" spans="1:7" ht="14.4" customHeight="1" x14ac:dyDescent="0.25">
      <c r="A70" s="20" t="s">
        <v>21</v>
      </c>
      <c r="B70" s="21"/>
      <c r="C70" s="196"/>
      <c r="D70" s="189"/>
      <c r="E70" s="523" t="s">
        <v>211</v>
      </c>
      <c r="F70" s="523"/>
    </row>
    <row r="71" spans="1:7" x14ac:dyDescent="0.25">
      <c r="A71" s="20" t="s">
        <v>22</v>
      </c>
      <c r="B71" s="21"/>
      <c r="C71" s="189">
        <v>59.08</v>
      </c>
      <c r="D71" s="189">
        <v>145.32</v>
      </c>
      <c r="E71" s="189">
        <v>116.8</v>
      </c>
      <c r="F71" s="189"/>
    </row>
    <row r="72" spans="1:7" x14ac:dyDescent="0.25">
      <c r="A72" s="20" t="s">
        <v>23</v>
      </c>
      <c r="B72" s="21"/>
      <c r="C72" s="189">
        <f>C69-C71</f>
        <v>197.92000000000002</v>
      </c>
      <c r="D72" s="189">
        <f t="shared" ref="D72:E72" si="1">D69-D71</f>
        <v>111.68</v>
      </c>
      <c r="E72" s="189">
        <f t="shared" si="1"/>
        <v>140.19999999999999</v>
      </c>
      <c r="F72" s="189"/>
    </row>
    <row r="73" spans="1:7" x14ac:dyDescent="0.25">
      <c r="A73" s="20" t="s">
        <v>24</v>
      </c>
      <c r="B73" s="21"/>
      <c r="C73" s="21">
        <v>2019</v>
      </c>
      <c r="D73" s="21">
        <v>2020</v>
      </c>
      <c r="E73" s="21">
        <v>2021</v>
      </c>
      <c r="F73" s="21">
        <v>2022</v>
      </c>
    </row>
    <row r="74" spans="1:7" x14ac:dyDescent="0.25">
      <c r="A74" s="190" t="s">
        <v>333</v>
      </c>
      <c r="B74" s="24"/>
      <c r="C74" s="24"/>
      <c r="D74" s="24"/>
      <c r="E74" s="24"/>
      <c r="F74" s="191"/>
    </row>
    <row r="75" spans="1:7" x14ac:dyDescent="0.25">
      <c r="A75" s="194" t="s">
        <v>273</v>
      </c>
      <c r="B75" s="17"/>
      <c r="C75" s="17"/>
      <c r="D75" s="17"/>
      <c r="E75" s="17"/>
      <c r="F75" s="195"/>
    </row>
    <row r="76" spans="1:7" x14ac:dyDescent="0.25">
      <c r="A76" s="194" t="s">
        <v>334</v>
      </c>
      <c r="B76" s="17"/>
      <c r="C76" s="17"/>
      <c r="D76" s="17"/>
      <c r="E76" s="17"/>
      <c r="F76" s="195"/>
    </row>
    <row r="77" spans="1:7" x14ac:dyDescent="0.25">
      <c r="A77" s="192"/>
      <c r="B77" s="25"/>
      <c r="C77" s="25"/>
      <c r="D77" s="25"/>
      <c r="E77" s="25"/>
      <c r="F77" s="193"/>
    </row>
    <row r="79" spans="1:7" x14ac:dyDescent="0.25">
      <c r="A79" s="18" t="s">
        <v>15</v>
      </c>
      <c r="B79" s="19" t="s">
        <v>75</v>
      </c>
      <c r="C79" s="29" t="s">
        <v>17</v>
      </c>
      <c r="D79" s="17"/>
      <c r="E79" s="17"/>
      <c r="F79" s="17"/>
      <c r="G79" s="138"/>
    </row>
    <row r="80" spans="1:7" x14ac:dyDescent="0.25">
      <c r="A80" s="21" t="s">
        <v>18</v>
      </c>
      <c r="B80" s="21"/>
      <c r="C80" s="21">
        <v>2017</v>
      </c>
      <c r="D80" s="21">
        <v>2018</v>
      </c>
      <c r="E80" s="21">
        <v>2019</v>
      </c>
      <c r="F80" s="21">
        <v>2020</v>
      </c>
    </row>
    <row r="81" spans="1:7" x14ac:dyDescent="0.25">
      <c r="A81" s="21" t="s">
        <v>19</v>
      </c>
      <c r="B81" s="21"/>
      <c r="C81" s="189">
        <v>125</v>
      </c>
      <c r="D81" s="189">
        <v>125</v>
      </c>
      <c r="E81" s="189">
        <v>125</v>
      </c>
      <c r="F81" s="189">
        <v>125</v>
      </c>
    </row>
    <row r="82" spans="1:7" x14ac:dyDescent="0.25">
      <c r="A82" s="21" t="s">
        <v>20</v>
      </c>
      <c r="B82" s="21"/>
      <c r="C82" s="189">
        <v>275</v>
      </c>
      <c r="D82" s="189">
        <v>287.5</v>
      </c>
      <c r="E82" s="189">
        <f>E81*1.2+25+50+50</f>
        <v>275</v>
      </c>
      <c r="F82" s="189">
        <f>F81*1.2+25+50+50</f>
        <v>275</v>
      </c>
    </row>
    <row r="83" spans="1:7" ht="14.4" customHeight="1" x14ac:dyDescent="0.25">
      <c r="A83" s="21" t="s">
        <v>21</v>
      </c>
      <c r="B83" s="21"/>
      <c r="C83" s="196"/>
      <c r="D83" s="189"/>
      <c r="E83" s="521" t="s">
        <v>211</v>
      </c>
      <c r="F83" s="522"/>
    </row>
    <row r="84" spans="1:7" x14ac:dyDescent="0.25">
      <c r="A84" s="21" t="s">
        <v>22</v>
      </c>
      <c r="B84" s="21"/>
      <c r="C84" s="189">
        <v>166.01</v>
      </c>
      <c r="D84" s="189">
        <v>115.22</v>
      </c>
      <c r="E84" s="189">
        <v>55.33</v>
      </c>
      <c r="F84" s="189"/>
    </row>
    <row r="85" spans="1:7" x14ac:dyDescent="0.25">
      <c r="A85" s="21" t="s">
        <v>23</v>
      </c>
      <c r="B85" s="21"/>
      <c r="C85" s="189">
        <f>C82-C84</f>
        <v>108.99000000000001</v>
      </c>
      <c r="D85" s="189">
        <f t="shared" ref="D85:E85" si="2">D82-D84</f>
        <v>172.28</v>
      </c>
      <c r="E85" s="189">
        <f t="shared" si="2"/>
        <v>219.67000000000002</v>
      </c>
      <c r="F85" s="189"/>
    </row>
    <row r="86" spans="1:7" x14ac:dyDescent="0.25">
      <c r="A86" s="21" t="s">
        <v>24</v>
      </c>
      <c r="B86" s="21"/>
      <c r="C86" s="21">
        <v>2019</v>
      </c>
      <c r="D86" s="21">
        <v>2020</v>
      </c>
      <c r="E86" s="21">
        <v>2021</v>
      </c>
      <c r="F86" s="21">
        <v>2022</v>
      </c>
    </row>
    <row r="87" spans="1:7" x14ac:dyDescent="0.25">
      <c r="A87" s="190" t="s">
        <v>336</v>
      </c>
      <c r="B87" s="24"/>
      <c r="C87" s="24"/>
      <c r="D87" s="24"/>
      <c r="E87" s="24"/>
      <c r="F87" s="191"/>
    </row>
    <row r="88" spans="1:7" x14ac:dyDescent="0.25">
      <c r="A88" s="194" t="s">
        <v>337</v>
      </c>
      <c r="B88" s="17"/>
      <c r="C88" s="17"/>
      <c r="D88" s="17"/>
      <c r="E88" s="17"/>
      <c r="F88" s="195"/>
    </row>
    <row r="89" spans="1:7" x14ac:dyDescent="0.25">
      <c r="A89" s="194" t="s">
        <v>338</v>
      </c>
      <c r="B89" s="17"/>
      <c r="C89" s="17"/>
      <c r="D89" s="17"/>
      <c r="E89" s="17"/>
      <c r="F89" s="195"/>
    </row>
    <row r="90" spans="1:7" x14ac:dyDescent="0.25">
      <c r="A90" s="194" t="s">
        <v>274</v>
      </c>
      <c r="B90" s="17"/>
      <c r="C90" s="17"/>
      <c r="D90" s="17"/>
      <c r="E90" s="17"/>
      <c r="F90" s="195"/>
    </row>
    <row r="91" spans="1:7" x14ac:dyDescent="0.25">
      <c r="A91" s="194" t="s">
        <v>335</v>
      </c>
      <c r="B91" s="17"/>
      <c r="C91" s="17"/>
      <c r="D91" s="17"/>
      <c r="E91" s="17"/>
      <c r="F91" s="195"/>
    </row>
    <row r="92" spans="1:7" x14ac:dyDescent="0.25">
      <c r="A92" s="192"/>
      <c r="B92" s="25"/>
      <c r="C92" s="25"/>
      <c r="D92" s="25"/>
      <c r="E92" s="25"/>
      <c r="F92" s="193"/>
    </row>
    <row r="96" spans="1:7" x14ac:dyDescent="0.25">
      <c r="A96" s="26" t="s">
        <v>13</v>
      </c>
      <c r="B96" s="16" t="s">
        <v>205</v>
      </c>
      <c r="C96" s="176"/>
      <c r="D96" s="27"/>
      <c r="E96" s="27"/>
      <c r="F96" s="27"/>
      <c r="G96" s="27"/>
    </row>
    <row r="97" spans="1:7" x14ac:dyDescent="0.25">
      <c r="A97" s="28" t="s">
        <v>15</v>
      </c>
      <c r="B97" s="19" t="s">
        <v>206</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55">
        <v>200</v>
      </c>
      <c r="C99" s="355">
        <v>200</v>
      </c>
      <c r="D99" s="355">
        <v>200</v>
      </c>
      <c r="E99" s="355">
        <v>200</v>
      </c>
      <c r="F99" s="356">
        <v>200</v>
      </c>
      <c r="G99" s="356">
        <v>215</v>
      </c>
    </row>
    <row r="100" spans="1:7" x14ac:dyDescent="0.25">
      <c r="A100" s="30" t="s">
        <v>20</v>
      </c>
      <c r="B100" s="355">
        <v>250</v>
      </c>
      <c r="C100" s="355">
        <v>250</v>
      </c>
      <c r="D100" s="355">
        <v>250</v>
      </c>
      <c r="E100" s="355">
        <v>250</v>
      </c>
      <c r="F100" s="356">
        <v>250</v>
      </c>
      <c r="G100" s="396">
        <f>G99*1.25</f>
        <v>268.75</v>
      </c>
    </row>
    <row r="101" spans="1:7" x14ac:dyDescent="0.25">
      <c r="A101" s="30" t="s">
        <v>21</v>
      </c>
      <c r="B101" s="38" t="s">
        <v>429</v>
      </c>
      <c r="C101" s="38" t="s">
        <v>429</v>
      </c>
      <c r="D101" s="38" t="s">
        <v>429</v>
      </c>
      <c r="E101" s="38" t="s">
        <v>429</v>
      </c>
      <c r="F101" s="38" t="s">
        <v>429</v>
      </c>
      <c r="G101" s="38" t="s">
        <v>452</v>
      </c>
    </row>
    <row r="102" spans="1:7" x14ac:dyDescent="0.25">
      <c r="A102" s="30" t="s">
        <v>22</v>
      </c>
      <c r="B102" s="355">
        <v>0</v>
      </c>
      <c r="C102" s="355">
        <v>0</v>
      </c>
      <c r="D102" s="355">
        <v>0</v>
      </c>
      <c r="E102" s="355">
        <v>0</v>
      </c>
      <c r="F102" s="356">
        <v>0</v>
      </c>
      <c r="G102" s="356">
        <v>0</v>
      </c>
    </row>
    <row r="103" spans="1:7" x14ac:dyDescent="0.25">
      <c r="A103" s="30" t="s">
        <v>23</v>
      </c>
      <c r="B103" s="355">
        <v>250</v>
      </c>
      <c r="C103" s="355">
        <v>250</v>
      </c>
      <c r="D103" s="355">
        <v>250</v>
      </c>
      <c r="E103" s="355">
        <v>250</v>
      </c>
      <c r="F103" s="356">
        <v>250</v>
      </c>
      <c r="G103" s="356">
        <f>G100</f>
        <v>268.75</v>
      </c>
    </row>
    <row r="104" spans="1:7" x14ac:dyDescent="0.25">
      <c r="A104" s="30" t="s">
        <v>24</v>
      </c>
      <c r="B104" s="354">
        <v>2015</v>
      </c>
      <c r="C104" s="354">
        <v>2016</v>
      </c>
      <c r="D104" s="354">
        <v>2017</v>
      </c>
      <c r="E104" s="354">
        <v>2018</v>
      </c>
      <c r="F104" s="354">
        <v>2019</v>
      </c>
      <c r="G104" s="354">
        <v>2020</v>
      </c>
    </row>
    <row r="105" spans="1:7" x14ac:dyDescent="0.25">
      <c r="A105" s="524" t="s">
        <v>431</v>
      </c>
      <c r="B105" s="525"/>
      <c r="C105" s="525"/>
      <c r="D105" s="525"/>
      <c r="E105" s="525"/>
      <c r="F105" s="525"/>
      <c r="G105" s="526"/>
    </row>
    <row r="107" spans="1:7" x14ac:dyDescent="0.25">
      <c r="A107" s="28" t="s">
        <v>15</v>
      </c>
      <c r="B107" s="19" t="s">
        <v>207</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7">
        <v>2160</v>
      </c>
      <c r="C109" s="357">
        <v>2160</v>
      </c>
      <c r="D109" s="357">
        <v>2160</v>
      </c>
      <c r="E109" s="357">
        <v>2160</v>
      </c>
      <c r="F109" s="358">
        <v>2160</v>
      </c>
      <c r="G109" s="358">
        <v>2160</v>
      </c>
    </row>
    <row r="110" spans="1:7" x14ac:dyDescent="0.25">
      <c r="A110" s="30" t="s">
        <v>20</v>
      </c>
      <c r="B110" s="357">
        <v>2700</v>
      </c>
      <c r="C110" s="357">
        <v>2700</v>
      </c>
      <c r="D110" s="357">
        <v>2700</v>
      </c>
      <c r="E110" s="360">
        <v>2600</v>
      </c>
      <c r="F110" s="360">
        <v>2600</v>
      </c>
      <c r="G110" s="360">
        <v>2600</v>
      </c>
    </row>
    <row r="111" spans="1:7" ht="27.6" customHeight="1" x14ac:dyDescent="0.25">
      <c r="A111" s="30" t="s">
        <v>21</v>
      </c>
      <c r="B111" s="359" t="s">
        <v>430</v>
      </c>
      <c r="C111" s="359" t="s">
        <v>430</v>
      </c>
      <c r="D111" s="359" t="s">
        <v>430</v>
      </c>
      <c r="E111" s="359" t="s">
        <v>433</v>
      </c>
      <c r="F111" s="359" t="s">
        <v>433</v>
      </c>
      <c r="G111" s="359" t="s">
        <v>433</v>
      </c>
    </row>
    <row r="112" spans="1:7" x14ac:dyDescent="0.25">
      <c r="A112" s="30" t="s">
        <v>22</v>
      </c>
      <c r="B112" s="357">
        <v>462.36</v>
      </c>
      <c r="C112" s="357">
        <v>490.22</v>
      </c>
      <c r="D112" s="357">
        <v>657.59</v>
      </c>
      <c r="E112" s="357">
        <v>496.85</v>
      </c>
      <c r="F112" s="358">
        <v>396</v>
      </c>
      <c r="G112" s="358">
        <v>1002.664409132517</v>
      </c>
    </row>
    <row r="113" spans="1:7" x14ac:dyDescent="0.25">
      <c r="A113" s="30" t="s">
        <v>23</v>
      </c>
      <c r="B113" s="357">
        <f t="shared" ref="B113:G113" si="3">B110-B112</f>
        <v>2237.64</v>
      </c>
      <c r="C113" s="357">
        <f t="shared" si="3"/>
        <v>2209.7799999999997</v>
      </c>
      <c r="D113" s="357">
        <f t="shared" si="3"/>
        <v>2042.4099999999999</v>
      </c>
      <c r="E113" s="357">
        <f t="shared" si="3"/>
        <v>2103.15</v>
      </c>
      <c r="F113" s="357">
        <f t="shared" si="3"/>
        <v>2204</v>
      </c>
      <c r="G113" s="357">
        <f t="shared" si="3"/>
        <v>1597.335590867483</v>
      </c>
    </row>
    <row r="114" spans="1:7" x14ac:dyDescent="0.25">
      <c r="A114" s="30" t="s">
        <v>24</v>
      </c>
      <c r="B114" s="354">
        <v>2015</v>
      </c>
      <c r="C114" s="354">
        <v>2016</v>
      </c>
      <c r="D114" s="354">
        <v>2017</v>
      </c>
      <c r="E114" s="354">
        <v>2018</v>
      </c>
      <c r="F114" s="354">
        <v>2019</v>
      </c>
      <c r="G114" s="354">
        <v>2020</v>
      </c>
    </row>
    <row r="115" spans="1:7" x14ac:dyDescent="0.25">
      <c r="A115" s="483" t="s">
        <v>432</v>
      </c>
      <c r="B115" s="484"/>
      <c r="C115" s="484"/>
      <c r="D115" s="484"/>
      <c r="E115" s="484"/>
      <c r="F115" s="484"/>
      <c r="G115" s="485"/>
    </row>
    <row r="116" spans="1:7" x14ac:dyDescent="0.25">
      <c r="A116" s="363" t="s">
        <v>435</v>
      </c>
      <c r="B116" s="361"/>
      <c r="C116" s="361"/>
      <c r="D116" s="361"/>
      <c r="E116" s="361"/>
      <c r="F116" s="361"/>
      <c r="G116" s="362"/>
    </row>
    <row r="118" spans="1:7" x14ac:dyDescent="0.25">
      <c r="A118" s="28" t="s">
        <v>15</v>
      </c>
      <c r="B118" s="19" t="s">
        <v>208</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64">
        <v>50</v>
      </c>
      <c r="C120" s="365">
        <v>50</v>
      </c>
      <c r="D120" s="365">
        <v>50</v>
      </c>
      <c r="E120" s="365">
        <v>50</v>
      </c>
      <c r="F120" s="365">
        <v>50</v>
      </c>
      <c r="G120" s="365">
        <v>50</v>
      </c>
    </row>
    <row r="121" spans="1:7" x14ac:dyDescent="0.25">
      <c r="A121" s="30" t="s">
        <v>20</v>
      </c>
      <c r="B121" s="365">
        <v>75</v>
      </c>
      <c r="C121" s="366">
        <v>50</v>
      </c>
      <c r="D121" s="366">
        <v>50</v>
      </c>
      <c r="E121" s="366">
        <f>E120*1.5-25</f>
        <v>50</v>
      </c>
      <c r="F121" s="366">
        <f>F120*1.4-25</f>
        <v>45</v>
      </c>
      <c r="G121" s="366">
        <f>G120*1.4-25</f>
        <v>45</v>
      </c>
    </row>
    <row r="122" spans="1:7" x14ac:dyDescent="0.25">
      <c r="A122" s="30" t="s">
        <v>21</v>
      </c>
      <c r="B122" s="365" t="s">
        <v>437</v>
      </c>
      <c r="C122" s="365" t="s">
        <v>438</v>
      </c>
      <c r="D122" s="365" t="s">
        <v>438</v>
      </c>
      <c r="E122" s="365" t="s">
        <v>438</v>
      </c>
      <c r="F122" s="365" t="s">
        <v>439</v>
      </c>
      <c r="G122" s="365" t="s">
        <v>439</v>
      </c>
    </row>
    <row r="123" spans="1:7" x14ac:dyDescent="0.25">
      <c r="A123" s="30" t="s">
        <v>22</v>
      </c>
      <c r="B123" s="364">
        <v>0</v>
      </c>
      <c r="C123" s="355">
        <v>0</v>
      </c>
      <c r="D123" s="355">
        <v>0</v>
      </c>
      <c r="E123" s="355">
        <v>0</v>
      </c>
      <c r="F123" s="355">
        <v>0</v>
      </c>
      <c r="G123" s="355">
        <v>0</v>
      </c>
    </row>
    <row r="124" spans="1:7" x14ac:dyDescent="0.25">
      <c r="A124" s="30" t="s">
        <v>23</v>
      </c>
      <c r="B124" s="365">
        <f>B121</f>
        <v>75</v>
      </c>
      <c r="C124" s="365">
        <f t="shared" ref="C124:G124" si="4">C121</f>
        <v>50</v>
      </c>
      <c r="D124" s="365">
        <f t="shared" si="4"/>
        <v>50</v>
      </c>
      <c r="E124" s="365">
        <f t="shared" si="4"/>
        <v>50</v>
      </c>
      <c r="F124" s="365">
        <f t="shared" si="4"/>
        <v>45</v>
      </c>
      <c r="G124" s="365">
        <f t="shared" si="4"/>
        <v>45</v>
      </c>
    </row>
    <row r="125" spans="1:7" x14ac:dyDescent="0.25">
      <c r="A125" s="30" t="s">
        <v>24</v>
      </c>
      <c r="B125" s="354">
        <v>2015</v>
      </c>
      <c r="C125" s="354">
        <v>2016</v>
      </c>
      <c r="D125" s="354">
        <v>2017</v>
      </c>
      <c r="E125" s="354">
        <v>2018</v>
      </c>
      <c r="F125" s="354">
        <v>2019</v>
      </c>
      <c r="G125" s="354">
        <v>2020</v>
      </c>
    </row>
    <row r="126" spans="1:7" x14ac:dyDescent="0.25">
      <c r="A126" s="483" t="s">
        <v>434</v>
      </c>
      <c r="B126" s="484"/>
      <c r="C126" s="484"/>
      <c r="D126" s="484"/>
      <c r="E126" s="484"/>
      <c r="F126" s="484"/>
      <c r="G126" s="485"/>
    </row>
    <row r="127" spans="1:7" x14ac:dyDescent="0.25">
      <c r="A127" s="363" t="s">
        <v>436</v>
      </c>
      <c r="B127" s="361"/>
      <c r="C127" s="361"/>
      <c r="D127" s="361"/>
      <c r="E127" s="361"/>
      <c r="F127" s="361"/>
      <c r="G127" s="362"/>
    </row>
    <row r="129" spans="1:7" x14ac:dyDescent="0.25">
      <c r="A129" s="28" t="s">
        <v>15</v>
      </c>
      <c r="B129" s="19" t="s">
        <v>209</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7">
        <v>3940</v>
      </c>
      <c r="C131" s="357">
        <v>3940</v>
      </c>
      <c r="D131" s="357">
        <v>3940</v>
      </c>
      <c r="E131" s="357">
        <v>3940</v>
      </c>
      <c r="F131" s="357">
        <v>3940</v>
      </c>
      <c r="G131" s="357">
        <v>3940</v>
      </c>
    </row>
    <row r="132" spans="1:7" x14ac:dyDescent="0.25">
      <c r="A132" s="30" t="s">
        <v>20</v>
      </c>
      <c r="B132" s="360">
        <f>B131*1.3-50</f>
        <v>5072</v>
      </c>
      <c r="C132" s="360">
        <f t="shared" ref="C132:E132" si="5">C131*1.3-50</f>
        <v>5072</v>
      </c>
      <c r="D132" s="360">
        <f t="shared" si="5"/>
        <v>5072</v>
      </c>
      <c r="E132" s="360">
        <f t="shared" si="5"/>
        <v>5072</v>
      </c>
      <c r="F132" s="360">
        <f>F131*1.2-50</f>
        <v>4678</v>
      </c>
      <c r="G132" s="360">
        <f>G131*1.2-50</f>
        <v>4678</v>
      </c>
    </row>
    <row r="133" spans="1:7" x14ac:dyDescent="0.25">
      <c r="A133" s="30" t="s">
        <v>21</v>
      </c>
      <c r="B133" s="360" t="s">
        <v>443</v>
      </c>
      <c r="C133" s="360" t="s">
        <v>443</v>
      </c>
      <c r="D133" s="360" t="s">
        <v>443</v>
      </c>
      <c r="E133" s="360" t="s">
        <v>443</v>
      </c>
      <c r="F133" s="360" t="s">
        <v>444</v>
      </c>
      <c r="G133" s="360" t="s">
        <v>444</v>
      </c>
    </row>
    <row r="134" spans="1:7" x14ac:dyDescent="0.25">
      <c r="A134" s="30" t="s">
        <v>22</v>
      </c>
      <c r="B134" s="357">
        <v>2892.02</v>
      </c>
      <c r="C134" s="357">
        <v>2599.0703200000003</v>
      </c>
      <c r="D134" s="357">
        <v>2934.78017</v>
      </c>
      <c r="E134" s="357">
        <v>2406.0276984999996</v>
      </c>
      <c r="F134" s="357">
        <v>2798</v>
      </c>
      <c r="G134" s="357">
        <v>2858.8298242939013</v>
      </c>
    </row>
    <row r="135" spans="1:7" x14ac:dyDescent="0.25">
      <c r="A135" s="30" t="s">
        <v>23</v>
      </c>
      <c r="B135" s="357">
        <f>B132-B134</f>
        <v>2179.98</v>
      </c>
      <c r="C135" s="357">
        <f t="shared" ref="C135:G135" si="6">C132-C134</f>
        <v>2472.9296799999997</v>
      </c>
      <c r="D135" s="357">
        <f t="shared" si="6"/>
        <v>2137.21983</v>
      </c>
      <c r="E135" s="357">
        <f t="shared" si="6"/>
        <v>2665.9723015000004</v>
      </c>
      <c r="F135" s="357">
        <f t="shared" si="6"/>
        <v>1880</v>
      </c>
      <c r="G135" s="357">
        <f t="shared" si="6"/>
        <v>1819.1701757060987</v>
      </c>
    </row>
    <row r="136" spans="1:7" x14ac:dyDescent="0.25">
      <c r="A136" s="30" t="s">
        <v>24</v>
      </c>
      <c r="B136" s="367">
        <v>2015</v>
      </c>
      <c r="C136" s="367">
        <v>2016</v>
      </c>
      <c r="D136" s="368">
        <v>2017</v>
      </c>
      <c r="E136" s="367">
        <v>2018</v>
      </c>
      <c r="F136" s="369">
        <v>2019</v>
      </c>
      <c r="G136" s="369">
        <v>2020</v>
      </c>
    </row>
    <row r="137" spans="1:7" x14ac:dyDescent="0.25">
      <c r="A137" s="483" t="s">
        <v>440</v>
      </c>
      <c r="B137" s="484"/>
      <c r="C137" s="484"/>
      <c r="D137" s="484"/>
      <c r="E137" s="484"/>
      <c r="F137" s="484"/>
      <c r="G137" s="485"/>
    </row>
    <row r="138" spans="1:7" x14ac:dyDescent="0.25">
      <c r="A138" s="363" t="s">
        <v>441</v>
      </c>
      <c r="B138" s="361"/>
      <c r="C138" s="361"/>
      <c r="D138" s="361"/>
      <c r="E138" s="361"/>
      <c r="F138" s="361"/>
      <c r="G138" s="362"/>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2">
        <v>2019</v>
      </c>
    </row>
    <row r="142" spans="1:7" x14ac:dyDescent="0.25">
      <c r="A142" s="30" t="s">
        <v>19</v>
      </c>
      <c r="B142" s="189">
        <v>190</v>
      </c>
      <c r="C142" s="189">
        <v>190</v>
      </c>
      <c r="D142" s="189">
        <v>190</v>
      </c>
      <c r="E142" s="189">
        <v>190</v>
      </c>
      <c r="F142" s="370">
        <v>190</v>
      </c>
      <c r="G142" s="161">
        <v>190</v>
      </c>
    </row>
    <row r="143" spans="1:7" x14ac:dyDescent="0.25">
      <c r="A143" s="30" t="s">
        <v>20</v>
      </c>
      <c r="B143" s="189"/>
      <c r="C143" s="189"/>
      <c r="D143" s="189"/>
      <c r="E143" s="189"/>
      <c r="F143" s="370"/>
      <c r="G143" s="161"/>
    </row>
    <row r="144" spans="1:7" x14ac:dyDescent="0.25">
      <c r="A144" s="30" t="s">
        <v>21</v>
      </c>
      <c r="B144" s="189"/>
      <c r="C144" s="189"/>
      <c r="D144" s="189"/>
      <c r="E144" s="189"/>
      <c r="F144" s="370"/>
      <c r="G144" s="161"/>
    </row>
    <row r="145" spans="1:7" x14ac:dyDescent="0.25">
      <c r="A145" s="30" t="s">
        <v>22</v>
      </c>
      <c r="B145" s="189">
        <v>104.95522</v>
      </c>
      <c r="C145" s="189">
        <v>89.182190000000006</v>
      </c>
      <c r="D145" s="189">
        <v>79.192750000000004</v>
      </c>
      <c r="E145" s="196">
        <v>64.003107999999997</v>
      </c>
      <c r="F145" s="189">
        <v>37</v>
      </c>
      <c r="G145" s="161">
        <v>19.91</v>
      </c>
    </row>
    <row r="146" spans="1:7" x14ac:dyDescent="0.25">
      <c r="A146" s="30" t="s">
        <v>23</v>
      </c>
      <c r="B146" s="32"/>
      <c r="C146" s="32"/>
      <c r="D146" s="32"/>
      <c r="E146" s="32"/>
      <c r="F146" s="33"/>
      <c r="G146" s="142"/>
    </row>
    <row r="147" spans="1:7" x14ac:dyDescent="0.25">
      <c r="A147" s="30" t="s">
        <v>24</v>
      </c>
      <c r="B147" s="34"/>
      <c r="C147" s="34"/>
      <c r="D147" s="35"/>
      <c r="E147" s="34"/>
      <c r="F147" s="36"/>
      <c r="G147" s="142"/>
    </row>
    <row r="148" spans="1:7" ht="67.5" customHeight="1" x14ac:dyDescent="0.25">
      <c r="A148" s="480" t="s">
        <v>442</v>
      </c>
      <c r="B148" s="481"/>
      <c r="C148" s="481"/>
      <c r="D148" s="481"/>
      <c r="E148" s="481"/>
      <c r="F148" s="481"/>
      <c r="G148" s="482"/>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2">
        <v>2019</v>
      </c>
    </row>
    <row r="152" spans="1:7" x14ac:dyDescent="0.25">
      <c r="A152" s="30" t="s">
        <v>19</v>
      </c>
      <c r="B152" s="32">
        <v>50</v>
      </c>
      <c r="C152" s="32">
        <v>50</v>
      </c>
      <c r="D152" s="32">
        <v>50</v>
      </c>
      <c r="E152" s="32">
        <v>50</v>
      </c>
      <c r="F152" s="33">
        <v>50</v>
      </c>
      <c r="G152" s="142">
        <v>50</v>
      </c>
    </row>
    <row r="153" spans="1:7" x14ac:dyDescent="0.25">
      <c r="A153" s="30" t="s">
        <v>20</v>
      </c>
      <c r="B153" s="32"/>
      <c r="C153" s="32"/>
      <c r="D153" s="32"/>
      <c r="E153" s="32"/>
      <c r="F153" s="33"/>
      <c r="G153" s="142"/>
    </row>
    <row r="154" spans="1:7" x14ac:dyDescent="0.25">
      <c r="A154" s="30" t="s">
        <v>21</v>
      </c>
      <c r="B154" s="32"/>
      <c r="C154" s="32"/>
      <c r="D154" s="32"/>
      <c r="E154" s="32"/>
      <c r="F154" s="33"/>
      <c r="G154" s="142"/>
    </row>
    <row r="155" spans="1:7" x14ac:dyDescent="0.25">
      <c r="A155" s="30" t="s">
        <v>22</v>
      </c>
      <c r="B155" s="32">
        <v>102.32362999999999</v>
      </c>
      <c r="C155" s="32">
        <v>121.20529999999999</v>
      </c>
      <c r="D155" s="32">
        <v>66.934179999999998</v>
      </c>
      <c r="E155" s="32">
        <v>46.581100000000006</v>
      </c>
      <c r="F155" s="32">
        <v>62</v>
      </c>
      <c r="G155" s="142"/>
    </row>
    <row r="156" spans="1:7" x14ac:dyDescent="0.25">
      <c r="A156" s="30" t="s">
        <v>23</v>
      </c>
      <c r="B156" s="38"/>
      <c r="C156" s="38"/>
      <c r="D156" s="38"/>
      <c r="E156" s="32"/>
      <c r="F156" s="33"/>
      <c r="G156" s="142"/>
    </row>
    <row r="157" spans="1:7" x14ac:dyDescent="0.25">
      <c r="A157" s="30" t="s">
        <v>24</v>
      </c>
      <c r="B157" s="21"/>
      <c r="C157" s="21"/>
      <c r="D157" s="22"/>
      <c r="E157" s="21"/>
      <c r="F157" s="31"/>
      <c r="G157" s="142"/>
    </row>
    <row r="158" spans="1:7" x14ac:dyDescent="0.25">
      <c r="A158" s="479" t="s">
        <v>25</v>
      </c>
      <c r="B158" s="479"/>
      <c r="C158" s="479"/>
      <c r="D158" s="479"/>
      <c r="E158" s="479"/>
      <c r="F158" s="479"/>
      <c r="G158" s="142"/>
    </row>
    <row r="159" spans="1:7" ht="69" customHeight="1" x14ac:dyDescent="0.25">
      <c r="A159" s="480" t="s">
        <v>442</v>
      </c>
      <c r="B159" s="481"/>
      <c r="C159" s="481"/>
      <c r="D159" s="481"/>
      <c r="E159" s="481"/>
      <c r="F159" s="481"/>
      <c r="G159" s="482"/>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216</v>
      </c>
      <c r="C162" s="226"/>
    </row>
    <row r="163" spans="1:13" x14ac:dyDescent="0.25">
      <c r="A163" s="11" t="s">
        <v>15</v>
      </c>
      <c r="B163" s="42" t="s">
        <v>152</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3">
        <v>1348</v>
      </c>
      <c r="D165" s="113">
        <v>1348</v>
      </c>
      <c r="E165" s="113">
        <v>1348</v>
      </c>
      <c r="F165" s="113">
        <v>1348</v>
      </c>
      <c r="G165" s="113">
        <v>1348</v>
      </c>
    </row>
    <row r="166" spans="1:13" x14ac:dyDescent="0.25">
      <c r="A166" s="7" t="s">
        <v>20</v>
      </c>
      <c r="B166" s="7"/>
      <c r="C166" s="113">
        <v>2040.2</v>
      </c>
      <c r="D166" s="113">
        <v>2070.1999999999998</v>
      </c>
      <c r="E166" s="113">
        <v>2070.1999999999998</v>
      </c>
      <c r="F166" s="113">
        <v>2070.1999999999998</v>
      </c>
      <c r="G166" s="113">
        <f>G165*1.15+35+35</f>
        <v>1620.1999999999998</v>
      </c>
    </row>
    <row r="167" spans="1:13" x14ac:dyDescent="0.25">
      <c r="A167" s="7" t="s">
        <v>21</v>
      </c>
      <c r="B167" s="7"/>
      <c r="C167" s="113"/>
      <c r="D167" s="113"/>
      <c r="E167" s="113"/>
      <c r="F167" s="113"/>
      <c r="G167" s="113"/>
    </row>
    <row r="168" spans="1:13" x14ac:dyDescent="0.25">
      <c r="A168" s="7" t="s">
        <v>22</v>
      </c>
      <c r="B168" s="7"/>
      <c r="C168" s="113">
        <v>1558.88</v>
      </c>
      <c r="D168" s="113">
        <v>1209.21</v>
      </c>
      <c r="E168" s="113">
        <v>786.81</v>
      </c>
      <c r="F168" s="113">
        <v>997.23400000000004</v>
      </c>
      <c r="G168" s="113"/>
    </row>
    <row r="169" spans="1:13" x14ac:dyDescent="0.25">
      <c r="A169" s="7" t="s">
        <v>23</v>
      </c>
      <c r="B169" s="7"/>
      <c r="C169" s="113">
        <v>481.32</v>
      </c>
      <c r="D169" s="113">
        <v>860.99</v>
      </c>
      <c r="E169" s="113">
        <v>1283.3900000000001</v>
      </c>
      <c r="F169" s="113">
        <f>F166-F168</f>
        <v>1072.9659999999999</v>
      </c>
      <c r="G169" s="113"/>
    </row>
    <row r="170" spans="1:13" x14ac:dyDescent="0.25">
      <c r="A170" s="43" t="s">
        <v>24</v>
      </c>
      <c r="B170" s="43"/>
      <c r="C170" s="43">
        <v>2018</v>
      </c>
      <c r="D170" s="43">
        <v>2019</v>
      </c>
      <c r="E170" s="43">
        <v>2020</v>
      </c>
      <c r="F170" s="43">
        <v>2021</v>
      </c>
      <c r="G170" s="43"/>
    </row>
    <row r="171" spans="1:13" x14ac:dyDescent="0.25">
      <c r="A171" s="44" t="s">
        <v>212</v>
      </c>
      <c r="B171" s="45"/>
      <c r="C171" s="45"/>
      <c r="D171" s="45"/>
      <c r="E171" s="45"/>
      <c r="F171" s="45"/>
      <c r="G171" s="45"/>
      <c r="H171" s="45"/>
      <c r="I171" s="45"/>
      <c r="J171" s="46"/>
      <c r="K171" s="47"/>
      <c r="L171" s="47"/>
      <c r="M171" s="47"/>
    </row>
    <row r="172" spans="1:13" x14ac:dyDescent="0.25">
      <c r="A172" s="48" t="s">
        <v>213</v>
      </c>
      <c r="B172" s="49"/>
      <c r="C172" s="49"/>
      <c r="D172" s="49"/>
      <c r="E172" s="49"/>
      <c r="F172" s="49"/>
      <c r="G172" s="49"/>
      <c r="H172" s="49"/>
      <c r="I172" s="49"/>
      <c r="J172" s="50"/>
      <c r="K172" s="47"/>
      <c r="L172" s="47"/>
      <c r="M172" s="47"/>
    </row>
    <row r="173" spans="1:13" x14ac:dyDescent="0.25">
      <c r="A173" s="48" t="s">
        <v>214</v>
      </c>
      <c r="B173" s="49"/>
      <c r="C173" s="49"/>
      <c r="D173" s="49"/>
      <c r="E173" s="49"/>
      <c r="F173" s="49"/>
      <c r="G173" s="49"/>
      <c r="H173" s="49"/>
      <c r="I173" s="49"/>
      <c r="J173" s="50"/>
      <c r="K173" s="47"/>
      <c r="L173" s="47"/>
      <c r="M173" s="47"/>
    </row>
    <row r="174" spans="1:13" x14ac:dyDescent="0.25">
      <c r="A174" s="48" t="s">
        <v>215</v>
      </c>
      <c r="B174" s="138"/>
      <c r="C174" s="138"/>
      <c r="D174" s="138"/>
      <c r="E174" s="138"/>
      <c r="F174" s="138"/>
      <c r="G174" s="138"/>
      <c r="H174" s="138"/>
      <c r="I174" s="138"/>
      <c r="J174" s="140"/>
    </row>
    <row r="175" spans="1:13" x14ac:dyDescent="0.25">
      <c r="A175" s="51" t="s">
        <v>362</v>
      </c>
      <c r="B175" s="52"/>
      <c r="C175" s="52"/>
      <c r="D175" s="52"/>
      <c r="E175" s="52"/>
      <c r="F175" s="52"/>
      <c r="G175" s="52"/>
      <c r="H175" s="52"/>
      <c r="I175" s="52"/>
      <c r="J175" s="53"/>
      <c r="K175" s="47"/>
      <c r="L175" s="47"/>
      <c r="M175" s="47"/>
    </row>
    <row r="177" spans="1:8" x14ac:dyDescent="0.25">
      <c r="A177" s="3" t="s">
        <v>15</v>
      </c>
      <c r="B177" s="575" t="s">
        <v>162</v>
      </c>
      <c r="C177" s="335" t="s">
        <v>17</v>
      </c>
      <c r="D177" s="54"/>
      <c r="E177" s="54"/>
      <c r="F177" s="54"/>
      <c r="G177" s="2"/>
      <c r="H177" s="2"/>
    </row>
    <row r="178" spans="1:8" x14ac:dyDescent="0.25">
      <c r="A178" s="6" t="s">
        <v>18</v>
      </c>
      <c r="B178" s="334"/>
      <c r="C178" s="576">
        <v>2016</v>
      </c>
      <c r="D178" s="225">
        <v>2017</v>
      </c>
      <c r="E178" s="225">
        <v>2018</v>
      </c>
      <c r="F178" s="225">
        <v>2019</v>
      </c>
      <c r="G178" s="225">
        <v>2020</v>
      </c>
      <c r="H178" s="2"/>
    </row>
    <row r="179" spans="1:8" x14ac:dyDescent="0.25">
      <c r="A179" s="6" t="s">
        <v>19</v>
      </c>
      <c r="B179" s="334"/>
      <c r="C179" s="577">
        <v>452.47</v>
      </c>
      <c r="D179" s="223">
        <v>452.47</v>
      </c>
      <c r="E179" s="223">
        <v>530.59</v>
      </c>
      <c r="F179" s="223">
        <v>530.59</v>
      </c>
      <c r="G179" s="223">
        <v>530.59</v>
      </c>
      <c r="H179" s="2"/>
    </row>
    <row r="180" spans="1:8" x14ac:dyDescent="0.25">
      <c r="A180" s="6" t="s">
        <v>20</v>
      </c>
      <c r="B180" s="334"/>
      <c r="C180" s="577">
        <v>506.74</v>
      </c>
      <c r="D180" s="223">
        <v>488.61</v>
      </c>
      <c r="E180" s="223">
        <v>621.53</v>
      </c>
      <c r="F180" s="223">
        <f>F179*1.1+60.44+9.62</f>
        <v>653.70900000000017</v>
      </c>
      <c r="G180" s="223">
        <f>G179+F183+4.78+79.44</f>
        <v>635.64900000000034</v>
      </c>
      <c r="H180" s="2"/>
    </row>
    <row r="181" spans="1:8" x14ac:dyDescent="0.25">
      <c r="A181" s="6" t="s">
        <v>21</v>
      </c>
      <c r="B181" s="334"/>
      <c r="C181" s="578"/>
      <c r="D181" s="224"/>
      <c r="E181" s="113"/>
      <c r="F181" s="113"/>
      <c r="G181" s="113"/>
      <c r="H181" s="2"/>
    </row>
    <row r="182" spans="1:8" x14ac:dyDescent="0.25">
      <c r="A182" s="6" t="s">
        <v>22</v>
      </c>
      <c r="B182" s="334"/>
      <c r="C182" s="577">
        <v>466.11</v>
      </c>
      <c r="D182" s="224">
        <v>471.65</v>
      </c>
      <c r="E182" s="113">
        <v>553.98</v>
      </c>
      <c r="F182" s="113">
        <v>632.86999999999989</v>
      </c>
      <c r="G182" s="113"/>
      <c r="H182" s="2"/>
    </row>
    <row r="183" spans="1:8" x14ac:dyDescent="0.25">
      <c r="A183" s="6" t="s">
        <v>23</v>
      </c>
      <c r="B183" s="334"/>
      <c r="C183" s="143">
        <f>C180-C182</f>
        <v>40.629999999999995</v>
      </c>
      <c r="D183" s="113">
        <f>D180-D182</f>
        <v>16.960000000000036</v>
      </c>
      <c r="E183" s="113">
        <f>E180-E182</f>
        <v>67.549999999999955</v>
      </c>
      <c r="F183" s="113">
        <f>F180-F182</f>
        <v>20.839000000000283</v>
      </c>
      <c r="G183" s="113"/>
      <c r="H183" s="2"/>
    </row>
    <row r="184" spans="1:8" x14ac:dyDescent="0.25">
      <c r="A184" s="8" t="s">
        <v>24</v>
      </c>
      <c r="B184" s="341"/>
      <c r="C184" s="579">
        <v>2017</v>
      </c>
      <c r="D184" s="222">
        <v>2018</v>
      </c>
      <c r="E184" s="43">
        <v>2019</v>
      </c>
      <c r="F184" s="43">
        <v>2020</v>
      </c>
      <c r="G184" s="43">
        <v>2021</v>
      </c>
      <c r="H184" s="2"/>
    </row>
    <row r="185" spans="1:8" x14ac:dyDescent="0.25">
      <c r="A185" s="44" t="s">
        <v>217</v>
      </c>
      <c r="B185" s="45"/>
      <c r="C185" s="45"/>
      <c r="D185" s="45"/>
      <c r="E185" s="45"/>
      <c r="F185" s="45"/>
      <c r="G185" s="46"/>
      <c r="H185" s="2"/>
    </row>
    <row r="186" spans="1:8" x14ac:dyDescent="0.25">
      <c r="A186" s="48" t="s">
        <v>218</v>
      </c>
      <c r="B186" s="49"/>
      <c r="C186" s="49"/>
      <c r="D186" s="49"/>
      <c r="E186" s="49"/>
      <c r="F186" s="49"/>
      <c r="G186" s="50"/>
      <c r="H186" s="2"/>
    </row>
    <row r="187" spans="1:8" x14ac:dyDescent="0.25">
      <c r="A187" s="48" t="s">
        <v>219</v>
      </c>
      <c r="B187" s="49"/>
      <c r="C187" s="49"/>
      <c r="D187" s="49"/>
      <c r="E187" s="49"/>
      <c r="F187" s="49"/>
      <c r="G187" s="50"/>
      <c r="H187" s="2"/>
    </row>
    <row r="188" spans="1:8" x14ac:dyDescent="0.25">
      <c r="A188" s="56" t="s">
        <v>220</v>
      </c>
      <c r="B188" s="54"/>
      <c r="C188" s="54"/>
      <c r="D188" s="54"/>
      <c r="E188" s="54"/>
      <c r="F188" s="54"/>
      <c r="G188" s="57"/>
      <c r="H188" s="2"/>
    </row>
    <row r="189" spans="1:8" x14ac:dyDescent="0.25">
      <c r="A189" s="11" t="s">
        <v>363</v>
      </c>
      <c r="B189" s="12"/>
      <c r="C189" s="12"/>
      <c r="D189" s="12"/>
      <c r="E189" s="12"/>
      <c r="F189" s="12"/>
      <c r="G189" s="13"/>
      <c r="H189" s="2"/>
    </row>
    <row r="192" spans="1:8" x14ac:dyDescent="0.25">
      <c r="A192" s="1" t="s">
        <v>13</v>
      </c>
      <c r="B192" s="41" t="s">
        <v>189</v>
      </c>
      <c r="C192" s="226"/>
      <c r="D192" s="2"/>
      <c r="E192" s="2"/>
      <c r="F192" s="2"/>
      <c r="G192" s="2"/>
    </row>
    <row r="193" spans="1:12" x14ac:dyDescent="0.25">
      <c r="A193" s="58" t="s">
        <v>15</v>
      </c>
      <c r="B193" s="4" t="s">
        <v>52</v>
      </c>
      <c r="C193" s="5" t="s">
        <v>17</v>
      </c>
      <c r="D193" s="2"/>
      <c r="E193" s="2"/>
      <c r="F193" s="2"/>
      <c r="G193" s="2"/>
    </row>
    <row r="194" spans="1:12" x14ac:dyDescent="0.25">
      <c r="A194" s="59" t="s">
        <v>18</v>
      </c>
      <c r="B194" s="392">
        <v>2010</v>
      </c>
      <c r="C194" s="392">
        <v>2011</v>
      </c>
      <c r="D194" s="392">
        <v>2012</v>
      </c>
      <c r="E194" s="392">
        <v>2013</v>
      </c>
      <c r="F194" s="392">
        <v>2014</v>
      </c>
      <c r="G194" s="392">
        <v>2015</v>
      </c>
      <c r="H194" s="392">
        <v>2016</v>
      </c>
      <c r="I194" s="392">
        <v>2017</v>
      </c>
      <c r="J194" s="392">
        <v>2018</v>
      </c>
      <c r="K194" s="392">
        <v>2019</v>
      </c>
      <c r="L194" s="393">
        <v>2020</v>
      </c>
    </row>
    <row r="195" spans="1:12" x14ac:dyDescent="0.25">
      <c r="A195" s="59" t="s">
        <v>19</v>
      </c>
      <c r="B195" s="391">
        <v>200</v>
      </c>
      <c r="C195" s="391">
        <v>200</v>
      </c>
      <c r="D195" s="391">
        <v>200</v>
      </c>
      <c r="E195" s="391">
        <v>200</v>
      </c>
      <c r="F195" s="391">
        <v>200</v>
      </c>
      <c r="G195" s="391">
        <v>200</v>
      </c>
      <c r="H195" s="336">
        <v>200</v>
      </c>
      <c r="I195" s="391">
        <v>200</v>
      </c>
      <c r="J195" s="391">
        <v>200</v>
      </c>
      <c r="K195" s="391">
        <v>215</v>
      </c>
      <c r="L195" s="161">
        <v>215</v>
      </c>
    </row>
    <row r="196" spans="1:12" x14ac:dyDescent="0.25">
      <c r="A196" s="59" t="s">
        <v>20</v>
      </c>
      <c r="B196" s="391">
        <v>250</v>
      </c>
      <c r="C196" s="391">
        <v>250</v>
      </c>
      <c r="D196" s="391">
        <v>250</v>
      </c>
      <c r="E196" s="391">
        <v>250</v>
      </c>
      <c r="F196" s="391">
        <v>200</v>
      </c>
      <c r="G196" s="391">
        <v>250</v>
      </c>
      <c r="H196" s="336">
        <v>250</v>
      </c>
      <c r="I196" s="391">
        <v>250</v>
      </c>
      <c r="J196" s="391">
        <v>250</v>
      </c>
      <c r="K196" s="397">
        <f>1.25*K195</f>
        <v>268.75</v>
      </c>
      <c r="L196" s="397">
        <f>1.25*L195</f>
        <v>268.75</v>
      </c>
    </row>
    <row r="197" spans="1:12" x14ac:dyDescent="0.25">
      <c r="A197" s="59" t="s">
        <v>21</v>
      </c>
      <c r="B197" s="391"/>
      <c r="C197" s="391"/>
      <c r="D197" s="391"/>
      <c r="E197" s="391"/>
      <c r="F197" s="391"/>
      <c r="G197" s="391"/>
      <c r="H197" s="336"/>
      <c r="I197" s="336"/>
      <c r="J197" s="336"/>
      <c r="K197" s="336"/>
      <c r="L197" s="161"/>
    </row>
    <row r="198" spans="1:12" x14ac:dyDescent="0.25">
      <c r="A198" s="59" t="s">
        <v>22</v>
      </c>
      <c r="B198" s="391">
        <v>150</v>
      </c>
      <c r="C198" s="391">
        <v>101</v>
      </c>
      <c r="D198" s="391">
        <v>21</v>
      </c>
      <c r="E198" s="391">
        <v>81.085999999999999</v>
      </c>
      <c r="F198" s="391">
        <v>34.866999999999997</v>
      </c>
      <c r="G198" s="391">
        <v>20.963999999999999</v>
      </c>
      <c r="H198" s="336">
        <v>103.196</v>
      </c>
      <c r="I198" s="336">
        <v>123.654</v>
      </c>
      <c r="J198" s="336">
        <v>123.839</v>
      </c>
      <c r="K198" s="336">
        <v>129.16</v>
      </c>
      <c r="L198" s="161"/>
    </row>
    <row r="199" spans="1:12" x14ac:dyDescent="0.25">
      <c r="A199" s="59" t="s">
        <v>23</v>
      </c>
      <c r="B199" s="391">
        <v>100</v>
      </c>
      <c r="C199" s="391">
        <v>149</v>
      </c>
      <c r="D199" s="391">
        <v>229</v>
      </c>
      <c r="E199" s="391">
        <v>168.91399999999999</v>
      </c>
      <c r="F199" s="391">
        <v>165.13300000000001</v>
      </c>
      <c r="G199" s="391">
        <v>229.036</v>
      </c>
      <c r="H199" s="336">
        <v>146.804</v>
      </c>
      <c r="I199" s="336">
        <v>126.364</v>
      </c>
      <c r="J199" s="336">
        <v>126.161</v>
      </c>
      <c r="K199" s="336">
        <f>K196-K198</f>
        <v>139.59</v>
      </c>
      <c r="L199" s="161"/>
    </row>
    <row r="200" spans="1:12" x14ac:dyDescent="0.25">
      <c r="A200" s="59" t="s">
        <v>24</v>
      </c>
      <c r="B200" s="73">
        <v>2012</v>
      </c>
      <c r="C200" s="73">
        <v>2013</v>
      </c>
      <c r="D200" s="73">
        <v>2014</v>
      </c>
      <c r="E200" s="73">
        <v>2015</v>
      </c>
      <c r="F200" s="73">
        <v>2016</v>
      </c>
      <c r="G200" s="73">
        <v>2017</v>
      </c>
      <c r="H200" s="423">
        <v>2018</v>
      </c>
      <c r="I200" s="423">
        <v>2019</v>
      </c>
      <c r="J200" s="423">
        <v>2020</v>
      </c>
      <c r="K200" s="423">
        <v>2021</v>
      </c>
      <c r="L200" s="580">
        <v>2022</v>
      </c>
    </row>
    <row r="201" spans="1:12" x14ac:dyDescent="0.25">
      <c r="A201" s="376" t="s">
        <v>190</v>
      </c>
      <c r="B201" s="376"/>
      <c r="C201" s="376"/>
      <c r="D201" s="376"/>
      <c r="E201" s="376"/>
      <c r="F201" s="376"/>
      <c r="G201" s="376"/>
      <c r="H201" s="284"/>
      <c r="I201" s="284"/>
      <c r="J201" s="284"/>
      <c r="K201" s="284"/>
      <c r="L201" s="211"/>
    </row>
    <row r="202" spans="1:12" x14ac:dyDescent="0.25">
      <c r="A202" s="385" t="s">
        <v>450</v>
      </c>
      <c r="B202" s="116"/>
      <c r="C202" s="116"/>
      <c r="D202" s="116"/>
      <c r="E202" s="116"/>
      <c r="F202" s="116"/>
      <c r="G202" s="116"/>
      <c r="H202" s="342"/>
      <c r="I202" s="342"/>
      <c r="J202" s="342"/>
      <c r="K202" s="342"/>
      <c r="L202" s="332"/>
    </row>
    <row r="203" spans="1:12" x14ac:dyDescent="0.25">
      <c r="A203" s="389" t="s">
        <v>448</v>
      </c>
      <c r="B203" s="80"/>
      <c r="C203" s="80"/>
      <c r="D203" s="80"/>
      <c r="E203" s="80"/>
      <c r="F203" s="80"/>
      <c r="G203" s="80"/>
      <c r="H203" s="144"/>
      <c r="I203" s="144"/>
      <c r="J203" s="144"/>
      <c r="K203" s="144"/>
      <c r="L203" s="140"/>
    </row>
    <row r="204" spans="1:12" x14ac:dyDescent="0.25">
      <c r="A204" s="390" t="s">
        <v>449</v>
      </c>
      <c r="B204" s="379"/>
      <c r="C204" s="379"/>
      <c r="D204" s="379"/>
      <c r="E204" s="379"/>
      <c r="F204" s="379"/>
      <c r="G204" s="379"/>
      <c r="H204" s="343"/>
      <c r="I204" s="343"/>
      <c r="J204" s="343"/>
      <c r="K204" s="343"/>
      <c r="L204" s="170"/>
    </row>
    <row r="206" spans="1:12" x14ac:dyDescent="0.25">
      <c r="A206" s="70" t="s">
        <v>15</v>
      </c>
      <c r="B206" s="70" t="s">
        <v>60</v>
      </c>
      <c r="C206" s="112" t="s">
        <v>17</v>
      </c>
      <c r="D206" s="80"/>
      <c r="E206" s="80"/>
      <c r="F206" s="80"/>
      <c r="G206" s="80"/>
      <c r="H206" s="144"/>
      <c r="I206" s="144"/>
      <c r="J206" s="144"/>
      <c r="K206" s="144"/>
      <c r="L206" s="138"/>
    </row>
    <row r="207" spans="1:12" x14ac:dyDescent="0.25">
      <c r="A207" s="59" t="s">
        <v>18</v>
      </c>
      <c r="B207" s="392">
        <v>2010</v>
      </c>
      <c r="C207" s="392">
        <v>2011</v>
      </c>
      <c r="D207" s="392">
        <v>2012</v>
      </c>
      <c r="E207" s="392">
        <v>2013</v>
      </c>
      <c r="F207" s="392">
        <v>2014</v>
      </c>
      <c r="G207" s="392">
        <v>2015</v>
      </c>
      <c r="H207" s="392">
        <v>2016</v>
      </c>
      <c r="I207" s="392">
        <v>2017</v>
      </c>
      <c r="J207" s="392">
        <v>2018</v>
      </c>
      <c r="K207" s="392">
        <v>2019</v>
      </c>
      <c r="L207" s="393">
        <v>2020</v>
      </c>
    </row>
    <row r="208" spans="1:12" x14ac:dyDescent="0.25">
      <c r="A208" s="59" t="s">
        <v>19</v>
      </c>
      <c r="B208" s="391">
        <v>100</v>
      </c>
      <c r="C208" s="391">
        <v>100</v>
      </c>
      <c r="D208" s="391">
        <v>100</v>
      </c>
      <c r="E208" s="391">
        <v>100</v>
      </c>
      <c r="F208" s="391">
        <v>100</v>
      </c>
      <c r="G208" s="391">
        <v>100</v>
      </c>
      <c r="H208" s="336">
        <v>100</v>
      </c>
      <c r="I208" s="391">
        <v>200</v>
      </c>
      <c r="J208" s="336">
        <v>200</v>
      </c>
      <c r="K208" s="391">
        <v>200</v>
      </c>
      <c r="L208" s="417">
        <v>200</v>
      </c>
    </row>
    <row r="209" spans="1:12" x14ac:dyDescent="0.25">
      <c r="A209" s="59" t="s">
        <v>20</v>
      </c>
      <c r="B209" s="391">
        <v>100</v>
      </c>
      <c r="C209" s="391">
        <v>100</v>
      </c>
      <c r="D209" s="391">
        <v>100</v>
      </c>
      <c r="E209" s="391">
        <v>100</v>
      </c>
      <c r="F209" s="391">
        <v>100</v>
      </c>
      <c r="G209" s="391">
        <v>125</v>
      </c>
      <c r="H209" s="336">
        <v>125</v>
      </c>
      <c r="I209" s="391">
        <f>200+G212</f>
        <v>204.595</v>
      </c>
      <c r="J209" s="391">
        <v>250</v>
      </c>
      <c r="K209" s="391">
        <f>K208+I212</f>
        <v>220.04499999999999</v>
      </c>
      <c r="L209" s="417">
        <f>L208*1.25</f>
        <v>250</v>
      </c>
    </row>
    <row r="210" spans="1:12" x14ac:dyDescent="0.25">
      <c r="A210" s="59" t="s">
        <v>21</v>
      </c>
      <c r="B210" s="388"/>
      <c r="C210" s="388"/>
      <c r="D210" s="388"/>
      <c r="E210" s="388"/>
      <c r="F210" s="388"/>
      <c r="G210" s="388"/>
      <c r="H210" s="143"/>
      <c r="I210" s="143"/>
      <c r="J210" s="143"/>
      <c r="K210" s="143"/>
      <c r="L210" s="161"/>
    </row>
    <row r="211" spans="1:12" x14ac:dyDescent="0.25">
      <c r="A211" s="59" t="s">
        <v>22</v>
      </c>
      <c r="B211" s="391">
        <v>100</v>
      </c>
      <c r="C211" s="391">
        <v>80.05</v>
      </c>
      <c r="D211" s="391">
        <v>61.02</v>
      </c>
      <c r="E211" s="391">
        <v>65.126999999999995</v>
      </c>
      <c r="F211" s="391">
        <v>33.822000000000003</v>
      </c>
      <c r="G211" s="391">
        <v>120.405</v>
      </c>
      <c r="H211" s="336">
        <v>94.369</v>
      </c>
      <c r="I211" s="336">
        <v>184.55</v>
      </c>
      <c r="J211" s="336">
        <v>116.455</v>
      </c>
      <c r="K211" s="336">
        <v>132.07</v>
      </c>
      <c r="L211" s="417"/>
    </row>
    <row r="212" spans="1:12" x14ac:dyDescent="0.25">
      <c r="A212" s="59" t="s">
        <v>23</v>
      </c>
      <c r="B212" s="391">
        <f>B209-B211</f>
        <v>0</v>
      </c>
      <c r="C212" s="391">
        <f t="shared" ref="C212:K212" si="7">C209-C211</f>
        <v>19.950000000000003</v>
      </c>
      <c r="D212" s="391">
        <f t="shared" si="7"/>
        <v>38.979999999999997</v>
      </c>
      <c r="E212" s="391">
        <f t="shared" si="7"/>
        <v>34.873000000000005</v>
      </c>
      <c r="F212" s="391">
        <f t="shared" si="7"/>
        <v>66.177999999999997</v>
      </c>
      <c r="G212" s="391">
        <f t="shared" si="7"/>
        <v>4.5949999999999989</v>
      </c>
      <c r="H212" s="391">
        <f t="shared" si="7"/>
        <v>30.631</v>
      </c>
      <c r="I212" s="391">
        <f t="shared" si="7"/>
        <v>20.044999999999987</v>
      </c>
      <c r="J212" s="391">
        <f t="shared" si="7"/>
        <v>133.54500000000002</v>
      </c>
      <c r="K212" s="391">
        <f t="shared" si="7"/>
        <v>87.974999999999994</v>
      </c>
      <c r="L212" s="417"/>
    </row>
    <row r="213" spans="1:12" x14ac:dyDescent="0.25">
      <c r="A213" s="59" t="s">
        <v>24</v>
      </c>
      <c r="B213" s="73">
        <v>2012</v>
      </c>
      <c r="C213" s="73">
        <v>2013</v>
      </c>
      <c r="D213" s="73">
        <v>2014</v>
      </c>
      <c r="E213" s="73">
        <v>2015</v>
      </c>
      <c r="F213" s="73">
        <v>2016</v>
      </c>
      <c r="G213" s="73">
        <v>2017</v>
      </c>
      <c r="H213" s="423">
        <v>2018</v>
      </c>
      <c r="I213" s="423">
        <v>2019</v>
      </c>
      <c r="J213" s="423">
        <v>2020</v>
      </c>
      <c r="K213" s="423">
        <v>2021</v>
      </c>
      <c r="L213" s="580">
        <v>2022</v>
      </c>
    </row>
    <row r="214" spans="1:12" x14ac:dyDescent="0.25">
      <c r="A214" s="376" t="s">
        <v>190</v>
      </c>
      <c r="B214" s="376"/>
      <c r="C214" s="376"/>
      <c r="D214" s="376"/>
      <c r="E214" s="376"/>
      <c r="F214" s="376"/>
      <c r="G214" s="376"/>
      <c r="H214" s="284"/>
      <c r="I214" s="284"/>
      <c r="J214" s="284"/>
      <c r="K214" s="284"/>
      <c r="L214" s="211"/>
    </row>
    <row r="215" spans="1:12" x14ac:dyDescent="0.25">
      <c r="A215" s="385" t="s">
        <v>191</v>
      </c>
      <c r="B215" s="116"/>
      <c r="C215" s="116"/>
      <c r="D215" s="116"/>
      <c r="E215" s="116"/>
      <c r="F215" s="116"/>
      <c r="G215" s="116"/>
      <c r="H215" s="342"/>
      <c r="I215" s="342"/>
      <c r="J215" s="342"/>
      <c r="K215" s="342"/>
      <c r="L215" s="332"/>
    </row>
    <row r="216" spans="1:12" x14ac:dyDescent="0.25">
      <c r="A216" s="386" t="s">
        <v>192</v>
      </c>
      <c r="B216" s="80"/>
      <c r="C216" s="80"/>
      <c r="D216" s="80"/>
      <c r="E216" s="80"/>
      <c r="F216" s="80"/>
      <c r="G216" s="80"/>
      <c r="H216" s="144"/>
      <c r="I216" s="144"/>
      <c r="J216" s="144"/>
      <c r="K216" s="144"/>
      <c r="L216" s="140"/>
    </row>
    <row r="217" spans="1:12" x14ac:dyDescent="0.25">
      <c r="A217" s="386" t="s">
        <v>462</v>
      </c>
      <c r="B217" s="80"/>
      <c r="C217" s="80"/>
      <c r="D217" s="80"/>
      <c r="E217" s="80"/>
      <c r="F217" s="80"/>
      <c r="G217" s="80"/>
      <c r="H217" s="144"/>
      <c r="I217" s="144"/>
      <c r="J217" s="144"/>
      <c r="K217" s="144"/>
      <c r="L217" s="140"/>
    </row>
    <row r="218" spans="1:12" ht="27" customHeight="1" x14ac:dyDescent="0.25">
      <c r="A218" s="473" t="s">
        <v>461</v>
      </c>
      <c r="B218" s="474"/>
      <c r="C218" s="474"/>
      <c r="D218" s="474"/>
      <c r="E218" s="474"/>
      <c r="F218" s="474"/>
      <c r="G218" s="474"/>
      <c r="H218" s="474"/>
      <c r="I218" s="474"/>
      <c r="J218" s="474"/>
      <c r="K218" s="474"/>
      <c r="L218" s="475"/>
    </row>
    <row r="220" spans="1:12" x14ac:dyDescent="0.25">
      <c r="A220" s="3" t="s">
        <v>15</v>
      </c>
      <c r="B220" s="4" t="s">
        <v>193</v>
      </c>
      <c r="C220" s="4" t="s">
        <v>17</v>
      </c>
      <c r="D220" s="2"/>
      <c r="E220" s="2"/>
      <c r="F220" s="2"/>
    </row>
    <row r="221" spans="1:12" x14ac:dyDescent="0.25">
      <c r="A221" s="416" t="s">
        <v>18</v>
      </c>
      <c r="B221" s="420">
        <v>2010</v>
      </c>
      <c r="C221" s="392">
        <v>2011</v>
      </c>
      <c r="D221" s="392">
        <v>2012</v>
      </c>
      <c r="E221" s="392">
        <v>2013</v>
      </c>
      <c r="F221" s="392">
        <v>2014</v>
      </c>
      <c r="G221" s="392">
        <v>2015</v>
      </c>
      <c r="H221" s="392">
        <v>2016</v>
      </c>
      <c r="I221" s="392">
        <v>2017</v>
      </c>
      <c r="J221" s="392">
        <v>2018</v>
      </c>
      <c r="K221" s="392">
        <v>2019</v>
      </c>
      <c r="L221" s="421">
        <v>2020</v>
      </c>
    </row>
    <row r="222" spans="1:12" x14ac:dyDescent="0.25">
      <c r="A222" s="59" t="s">
        <v>19</v>
      </c>
      <c r="B222" s="391">
        <v>75</v>
      </c>
      <c r="C222" s="391">
        <v>75</v>
      </c>
      <c r="D222" s="391">
        <v>75</v>
      </c>
      <c r="E222" s="391">
        <v>75</v>
      </c>
      <c r="F222" s="391">
        <v>75</v>
      </c>
      <c r="G222" s="391">
        <v>75</v>
      </c>
      <c r="H222" s="391">
        <v>75</v>
      </c>
      <c r="I222" s="391">
        <v>75</v>
      </c>
      <c r="J222" s="336">
        <v>100</v>
      </c>
      <c r="K222" s="391">
        <v>100</v>
      </c>
      <c r="L222" s="336">
        <v>100</v>
      </c>
    </row>
    <row r="223" spans="1:12" x14ac:dyDescent="0.25">
      <c r="A223" s="59" t="s">
        <v>20</v>
      </c>
      <c r="B223" s="391">
        <v>79</v>
      </c>
      <c r="C223" s="391">
        <v>80</v>
      </c>
      <c r="D223" s="391">
        <v>105.3</v>
      </c>
      <c r="E223" s="391">
        <v>100</v>
      </c>
      <c r="F223" s="391">
        <v>100</v>
      </c>
      <c r="G223" s="336">
        <v>104.054</v>
      </c>
      <c r="H223" s="391">
        <v>137.5</v>
      </c>
      <c r="I223" s="391">
        <v>88</v>
      </c>
      <c r="J223" s="336">
        <v>90.442999999999998</v>
      </c>
      <c r="K223" s="391">
        <f>K222-12.726+6.69</f>
        <v>93.963999999999999</v>
      </c>
      <c r="L223" s="336">
        <f>L222+J226</f>
        <v>103.94499999999999</v>
      </c>
    </row>
    <row r="224" spans="1:12" x14ac:dyDescent="0.25">
      <c r="A224" s="59" t="s">
        <v>21</v>
      </c>
      <c r="B224" s="391"/>
      <c r="C224" s="391"/>
      <c r="D224" s="391"/>
      <c r="E224" s="391"/>
      <c r="F224" s="391"/>
      <c r="G224" s="336"/>
      <c r="H224" s="336"/>
      <c r="I224" s="336"/>
      <c r="J224" s="422"/>
      <c r="K224" s="336"/>
      <c r="L224" s="336"/>
    </row>
    <row r="225" spans="1:12" x14ac:dyDescent="0.25">
      <c r="A225" s="59" t="s">
        <v>22</v>
      </c>
      <c r="B225" s="391">
        <v>74</v>
      </c>
      <c r="C225" s="391">
        <v>74.7</v>
      </c>
      <c r="D225" s="391">
        <v>59</v>
      </c>
      <c r="E225" s="391">
        <v>95.945999999999998</v>
      </c>
      <c r="F225" s="391">
        <v>60.292999999999999</v>
      </c>
      <c r="G225" s="336">
        <v>140.78</v>
      </c>
      <c r="H225" s="336">
        <v>135.05699999999999</v>
      </c>
      <c r="I225" s="336">
        <v>81.31</v>
      </c>
      <c r="J225" s="336">
        <v>86.498000000000005</v>
      </c>
      <c r="K225" s="336">
        <v>91.56</v>
      </c>
      <c r="L225" s="336"/>
    </row>
    <row r="226" spans="1:12" x14ac:dyDescent="0.25">
      <c r="A226" s="59" t="s">
        <v>23</v>
      </c>
      <c r="B226" s="391">
        <v>5</v>
      </c>
      <c r="C226" s="391">
        <v>5.3</v>
      </c>
      <c r="D226" s="391">
        <v>46.3</v>
      </c>
      <c r="E226" s="391">
        <v>4.0540000000000003</v>
      </c>
      <c r="F226" s="391">
        <v>39.707000000000001</v>
      </c>
      <c r="G226" s="336">
        <v>-36.725999999999999</v>
      </c>
      <c r="H226" s="336">
        <v>2.4430000000000001</v>
      </c>
      <c r="I226" s="336">
        <v>6.6899999999999977</v>
      </c>
      <c r="J226" s="336">
        <v>3.9449999999999998</v>
      </c>
      <c r="K226" s="336">
        <f>K223-K225</f>
        <v>2.4039999999999964</v>
      </c>
      <c r="L226" s="336"/>
    </row>
    <row r="227" spans="1:12" x14ac:dyDescent="0.25">
      <c r="A227" s="59" t="s">
        <v>24</v>
      </c>
      <c r="B227" s="73">
        <v>2011</v>
      </c>
      <c r="C227" s="73">
        <v>2012</v>
      </c>
      <c r="D227" s="73">
        <v>2014</v>
      </c>
      <c r="E227" s="73">
        <v>2015</v>
      </c>
      <c r="F227" s="73">
        <v>2016</v>
      </c>
      <c r="G227" s="423">
        <v>2017</v>
      </c>
      <c r="H227" s="423">
        <v>2018</v>
      </c>
      <c r="I227" s="423">
        <v>2019</v>
      </c>
      <c r="J227" s="423">
        <v>2020</v>
      </c>
      <c r="K227" s="423">
        <v>2021</v>
      </c>
      <c r="L227" s="141">
        <v>2022</v>
      </c>
    </row>
    <row r="228" spans="1:12" x14ac:dyDescent="0.25">
      <c r="A228" s="111" t="s">
        <v>190</v>
      </c>
      <c r="B228" s="111"/>
      <c r="C228" s="111"/>
      <c r="D228" s="111"/>
      <c r="E228" s="111"/>
      <c r="F228" s="111"/>
      <c r="G228" s="141"/>
      <c r="H228" s="141"/>
      <c r="I228" s="141"/>
      <c r="J228" s="141"/>
      <c r="K228" s="141"/>
      <c r="L228" s="141"/>
    </row>
    <row r="229" spans="1:12" x14ac:dyDescent="0.25">
      <c r="A229" s="419" t="s">
        <v>194</v>
      </c>
      <c r="B229" s="376"/>
      <c r="C229" s="376"/>
      <c r="D229" s="376"/>
      <c r="E229" s="376"/>
      <c r="F229" s="376"/>
      <c r="G229" s="284"/>
      <c r="H229" s="284"/>
      <c r="I229" s="284"/>
      <c r="J229" s="284"/>
      <c r="K229" s="284"/>
      <c r="L229" s="284"/>
    </row>
    <row r="230" spans="1:12" x14ac:dyDescent="0.25">
      <c r="A230" s="385" t="s">
        <v>464</v>
      </c>
      <c r="B230" s="342"/>
      <c r="C230" s="342"/>
      <c r="D230" s="342"/>
      <c r="E230" s="342"/>
      <c r="F230" s="342"/>
      <c r="G230" s="342"/>
      <c r="H230" s="342"/>
      <c r="I230" s="342"/>
      <c r="J230" s="342"/>
      <c r="K230" s="342"/>
      <c r="L230" s="166"/>
    </row>
    <row r="231" spans="1:12" x14ac:dyDescent="0.25">
      <c r="A231" s="344" t="s">
        <v>195</v>
      </c>
      <c r="B231" s="144"/>
      <c r="C231" s="144"/>
      <c r="D231" s="144"/>
      <c r="E231" s="144"/>
      <c r="F231" s="144"/>
      <c r="G231" s="144"/>
      <c r="H231" s="144"/>
      <c r="I231" s="144"/>
      <c r="J231" s="144"/>
      <c r="K231" s="144"/>
      <c r="L231" s="167"/>
    </row>
    <row r="232" spans="1:12" x14ac:dyDescent="0.25">
      <c r="A232" s="345" t="s">
        <v>463</v>
      </c>
      <c r="B232" s="343"/>
      <c r="C232" s="343"/>
      <c r="D232" s="343"/>
      <c r="E232" s="343"/>
      <c r="F232" s="343"/>
      <c r="G232" s="343"/>
      <c r="H232" s="343"/>
      <c r="I232" s="343"/>
      <c r="J232" s="343"/>
      <c r="K232" s="343"/>
      <c r="L232" s="285"/>
    </row>
    <row r="234" spans="1:12" x14ac:dyDescent="0.25">
      <c r="A234" s="3" t="s">
        <v>15</v>
      </c>
      <c r="B234" s="4" t="s">
        <v>196</v>
      </c>
      <c r="C234" s="4" t="s">
        <v>17</v>
      </c>
      <c r="D234" s="2"/>
      <c r="E234" s="2"/>
      <c r="F234" s="2"/>
    </row>
    <row r="235" spans="1:12" x14ac:dyDescent="0.25">
      <c r="A235" s="59" t="s">
        <v>18</v>
      </c>
      <c r="B235" s="392">
        <v>2010</v>
      </c>
      <c r="C235" s="392">
        <v>2011</v>
      </c>
      <c r="D235" s="392">
        <v>2012</v>
      </c>
      <c r="E235" s="392">
        <v>2013</v>
      </c>
      <c r="F235" s="392">
        <v>2014</v>
      </c>
      <c r="G235" s="392">
        <v>2015</v>
      </c>
      <c r="H235" s="392">
        <v>2016</v>
      </c>
      <c r="I235" s="392">
        <v>2017</v>
      </c>
      <c r="J235" s="421">
        <v>2018</v>
      </c>
      <c r="K235" s="392">
        <v>2019</v>
      </c>
      <c r="L235" s="393">
        <v>2020</v>
      </c>
    </row>
    <row r="236" spans="1:12" x14ac:dyDescent="0.25">
      <c r="A236" s="59" t="s">
        <v>19</v>
      </c>
      <c r="B236" s="391">
        <v>263</v>
      </c>
      <c r="C236" s="391">
        <v>263</v>
      </c>
      <c r="D236" s="391">
        <v>263</v>
      </c>
      <c r="E236" s="391">
        <v>263</v>
      </c>
      <c r="F236" s="391">
        <v>263</v>
      </c>
      <c r="G236" s="391">
        <v>263</v>
      </c>
      <c r="H236" s="391">
        <v>263</v>
      </c>
      <c r="I236" s="391">
        <v>313</v>
      </c>
      <c r="J236" s="336">
        <v>313</v>
      </c>
      <c r="K236" s="391">
        <v>313</v>
      </c>
      <c r="L236" s="391">
        <v>313</v>
      </c>
    </row>
    <row r="237" spans="1:12" x14ac:dyDescent="0.25">
      <c r="A237" s="59" t="s">
        <v>20</v>
      </c>
      <c r="B237" s="391">
        <v>393</v>
      </c>
      <c r="C237" s="391">
        <v>362</v>
      </c>
      <c r="D237" s="391">
        <v>377.49</v>
      </c>
      <c r="E237" s="391">
        <v>263</v>
      </c>
      <c r="F237" s="391">
        <v>324.99</v>
      </c>
      <c r="G237" s="336">
        <v>330.03800000000001</v>
      </c>
      <c r="H237" s="391">
        <v>341.9</v>
      </c>
      <c r="I237" s="391">
        <v>315.34399999999999</v>
      </c>
      <c r="J237" s="336">
        <v>391.9</v>
      </c>
      <c r="K237" s="391">
        <v>326.76</v>
      </c>
      <c r="L237" s="161">
        <f>L236+J240</f>
        <v>350.05</v>
      </c>
    </row>
    <row r="238" spans="1:12" x14ac:dyDescent="0.25">
      <c r="A238" s="59" t="s">
        <v>21</v>
      </c>
      <c r="B238" s="391"/>
      <c r="C238" s="391"/>
      <c r="D238" s="391"/>
      <c r="E238" s="391"/>
      <c r="F238" s="391"/>
      <c r="G238" s="336"/>
      <c r="H238" s="336"/>
      <c r="I238" s="336"/>
      <c r="J238" s="336"/>
      <c r="K238" s="336"/>
      <c r="L238" s="142"/>
    </row>
    <row r="239" spans="1:12" x14ac:dyDescent="0.25">
      <c r="A239" s="59" t="s">
        <v>22</v>
      </c>
      <c r="B239" s="391">
        <v>294</v>
      </c>
      <c r="C239" s="391">
        <v>247.51</v>
      </c>
      <c r="D239" s="391">
        <v>315.5</v>
      </c>
      <c r="E239" s="391">
        <v>195.96199999999999</v>
      </c>
      <c r="F239" s="391">
        <v>205.89400000000001</v>
      </c>
      <c r="G239" s="336">
        <v>327.69600000000003</v>
      </c>
      <c r="H239" s="336">
        <v>222.22</v>
      </c>
      <c r="I239" s="336">
        <v>301.58</v>
      </c>
      <c r="J239" s="336">
        <v>354.85</v>
      </c>
      <c r="K239" s="336">
        <v>210.91</v>
      </c>
      <c r="L239" s="142"/>
    </row>
    <row r="240" spans="1:12" x14ac:dyDescent="0.25">
      <c r="A240" s="59" t="s">
        <v>23</v>
      </c>
      <c r="B240" s="391">
        <v>99</v>
      </c>
      <c r="C240" s="391">
        <v>114.49</v>
      </c>
      <c r="D240" s="391">
        <v>61.99</v>
      </c>
      <c r="E240" s="391">
        <v>67.037999999999997</v>
      </c>
      <c r="F240" s="391">
        <v>119.096</v>
      </c>
      <c r="G240" s="336">
        <v>2.3439999999999999</v>
      </c>
      <c r="H240" s="336">
        <v>119.68</v>
      </c>
      <c r="I240" s="336">
        <v>13.759999999999991</v>
      </c>
      <c r="J240" s="336">
        <v>37.049999999999997</v>
      </c>
      <c r="K240" s="336">
        <f>K237-K239</f>
        <v>115.85</v>
      </c>
      <c r="L240" s="142"/>
    </row>
    <row r="241" spans="1:12" x14ac:dyDescent="0.25">
      <c r="A241" s="59" t="s">
        <v>24</v>
      </c>
      <c r="B241" s="392">
        <v>2011</v>
      </c>
      <c r="C241" s="392">
        <v>2012</v>
      </c>
      <c r="D241" s="392">
        <v>2014</v>
      </c>
      <c r="E241" s="392">
        <v>2015</v>
      </c>
      <c r="F241" s="392">
        <v>2016</v>
      </c>
      <c r="G241" s="421">
        <v>2017</v>
      </c>
      <c r="H241" s="421">
        <v>2018</v>
      </c>
      <c r="I241" s="421">
        <v>2019</v>
      </c>
      <c r="J241" s="421">
        <v>2020</v>
      </c>
      <c r="K241" s="421">
        <v>2021</v>
      </c>
      <c r="L241" s="218">
        <v>2022</v>
      </c>
    </row>
    <row r="242" spans="1:12" x14ac:dyDescent="0.25">
      <c r="A242" s="376" t="s">
        <v>190</v>
      </c>
      <c r="B242" s="376"/>
      <c r="C242" s="376"/>
      <c r="D242" s="376"/>
      <c r="E242" s="376"/>
      <c r="F242" s="376"/>
      <c r="G242" s="284"/>
      <c r="H242" s="284"/>
      <c r="I242" s="284"/>
      <c r="J242" s="284"/>
      <c r="K242" s="284"/>
      <c r="L242" s="211"/>
    </row>
    <row r="243" spans="1:12" x14ac:dyDescent="0.25">
      <c r="A243" s="385" t="s">
        <v>197</v>
      </c>
      <c r="B243" s="116"/>
      <c r="C243" s="116"/>
      <c r="D243" s="116"/>
      <c r="E243" s="116"/>
      <c r="F243" s="116"/>
      <c r="G243" s="342"/>
      <c r="H243" s="342"/>
      <c r="I243" s="342"/>
      <c r="J243" s="342"/>
      <c r="K243" s="342"/>
      <c r="L243" s="332"/>
    </row>
    <row r="244" spans="1:12" x14ac:dyDescent="0.25">
      <c r="A244" s="386" t="s">
        <v>465</v>
      </c>
      <c r="B244" s="80"/>
      <c r="C244" s="80"/>
      <c r="D244" s="80"/>
      <c r="E244" s="80"/>
      <c r="F244" s="80"/>
      <c r="G244" s="144"/>
      <c r="H244" s="144"/>
      <c r="I244" s="144"/>
      <c r="J244" s="144"/>
      <c r="K244" s="144"/>
      <c r="L244" s="140"/>
    </row>
    <row r="245" spans="1:12" x14ac:dyDescent="0.25">
      <c r="A245" s="387" t="s">
        <v>466</v>
      </c>
      <c r="B245" s="379"/>
      <c r="C245" s="379"/>
      <c r="D245" s="379"/>
      <c r="E245" s="379"/>
      <c r="F245" s="379"/>
      <c r="G245" s="343"/>
      <c r="H245" s="343"/>
      <c r="I245" s="343"/>
      <c r="J245" s="343"/>
      <c r="K245" s="343"/>
      <c r="L245" s="170"/>
    </row>
    <row r="247" spans="1:12" x14ac:dyDescent="0.25">
      <c r="A247" s="112" t="s">
        <v>15</v>
      </c>
      <c r="B247" s="374" t="s">
        <v>83</v>
      </c>
      <c r="C247" s="374" t="s">
        <v>17</v>
      </c>
      <c r="D247" s="212"/>
      <c r="E247" s="212"/>
      <c r="F247" s="212"/>
      <c r="G247" s="226"/>
      <c r="H247" s="226"/>
      <c r="I247" s="226"/>
      <c r="J247" s="226"/>
      <c r="K247" s="226"/>
      <c r="L247" s="226"/>
    </row>
    <row r="248" spans="1:12" x14ac:dyDescent="0.25">
      <c r="A248" s="416" t="s">
        <v>18</v>
      </c>
      <c r="B248" s="420">
        <v>2010</v>
      </c>
      <c r="C248" s="392">
        <v>2011</v>
      </c>
      <c r="D248" s="392">
        <v>2012</v>
      </c>
      <c r="E248" s="392">
        <v>2013</v>
      </c>
      <c r="F248" s="392">
        <v>2014</v>
      </c>
      <c r="G248" s="392">
        <v>2015</v>
      </c>
      <c r="H248" s="392">
        <v>2016</v>
      </c>
      <c r="I248" s="392">
        <v>2017</v>
      </c>
      <c r="J248" s="392">
        <v>2018</v>
      </c>
      <c r="K248" s="421">
        <v>2019</v>
      </c>
      <c r="L248" s="421">
        <v>2020</v>
      </c>
    </row>
    <row r="249" spans="1:12" x14ac:dyDescent="0.25">
      <c r="A249" s="59" t="s">
        <v>19</v>
      </c>
      <c r="B249" s="391">
        <v>5900</v>
      </c>
      <c r="C249" s="391">
        <v>5572</v>
      </c>
      <c r="D249" s="391">
        <v>5572</v>
      </c>
      <c r="E249" s="391">
        <v>5572</v>
      </c>
      <c r="F249" s="391">
        <v>5572</v>
      </c>
      <c r="G249" s="391">
        <v>5572</v>
      </c>
      <c r="H249" s="391">
        <v>5376</v>
      </c>
      <c r="I249" s="391">
        <v>5376</v>
      </c>
      <c r="J249" s="336">
        <v>5376</v>
      </c>
      <c r="K249" s="336">
        <v>5376</v>
      </c>
      <c r="L249" s="336">
        <v>4462.08</v>
      </c>
    </row>
    <row r="250" spans="1:12" x14ac:dyDescent="0.25">
      <c r="A250" s="59" t="s">
        <v>20</v>
      </c>
      <c r="B250" s="391">
        <v>9670</v>
      </c>
      <c r="C250" s="391">
        <v>8572</v>
      </c>
      <c r="D250" s="391">
        <v>10173</v>
      </c>
      <c r="E250" s="391">
        <v>8502</v>
      </c>
      <c r="F250" s="391">
        <v>10173.6</v>
      </c>
      <c r="G250" s="391">
        <v>10173.6</v>
      </c>
      <c r="H250" s="391">
        <v>7182.4</v>
      </c>
      <c r="I250" s="391">
        <v>7182.4</v>
      </c>
      <c r="J250" s="391">
        <v>7182.4</v>
      </c>
      <c r="K250" s="336">
        <v>7182.4</v>
      </c>
      <c r="L250" s="424">
        <f>L249*1.15+600</f>
        <v>5731.3919999999998</v>
      </c>
    </row>
    <row r="251" spans="1:12" x14ac:dyDescent="0.25">
      <c r="A251" s="59" t="s">
        <v>21</v>
      </c>
      <c r="B251" s="59"/>
      <c r="C251" s="59"/>
      <c r="D251" s="59"/>
      <c r="E251" s="59"/>
      <c r="F251" s="59"/>
      <c r="G251" s="141"/>
      <c r="H251" s="141"/>
      <c r="I251" s="141"/>
      <c r="J251" s="418"/>
      <c r="K251" s="141"/>
      <c r="L251" s="141"/>
    </row>
    <row r="252" spans="1:12" x14ac:dyDescent="0.25">
      <c r="A252" s="59" t="s">
        <v>22</v>
      </c>
      <c r="B252" s="391">
        <v>5489</v>
      </c>
      <c r="C252" s="391">
        <v>3720.78</v>
      </c>
      <c r="D252" s="391">
        <v>3231</v>
      </c>
      <c r="E252" s="391">
        <v>2371.0340000000001</v>
      </c>
      <c r="F252" s="391">
        <v>2231.75</v>
      </c>
      <c r="G252" s="336">
        <v>4941.848</v>
      </c>
      <c r="H252" s="336">
        <v>5852.39</v>
      </c>
      <c r="I252" s="336">
        <v>5514.3580000000002</v>
      </c>
      <c r="J252" s="336">
        <v>4823.0860000000002</v>
      </c>
      <c r="K252" s="336">
        <v>5718.49</v>
      </c>
      <c r="L252" s="336"/>
    </row>
    <row r="253" spans="1:12" x14ac:dyDescent="0.25">
      <c r="A253" s="59" t="s">
        <v>23</v>
      </c>
      <c r="B253" s="391">
        <v>4181</v>
      </c>
      <c r="C253" s="391">
        <v>4581.22</v>
      </c>
      <c r="D253" s="391">
        <v>6942</v>
      </c>
      <c r="E253" s="391">
        <v>6130.6959999999999</v>
      </c>
      <c r="F253" s="391">
        <v>7941.85</v>
      </c>
      <c r="G253" s="336">
        <v>5232.116</v>
      </c>
      <c r="H253" s="336">
        <v>1330.01</v>
      </c>
      <c r="I253" s="336">
        <v>1449.932</v>
      </c>
      <c r="J253" s="336">
        <v>2359.3139999999999</v>
      </c>
      <c r="K253" s="336">
        <f>K250-K252</f>
        <v>1463.9099999999999</v>
      </c>
      <c r="L253" s="336"/>
    </row>
    <row r="254" spans="1:12" x14ac:dyDescent="0.25">
      <c r="A254" s="59" t="s">
        <v>24</v>
      </c>
      <c r="B254" s="59">
        <v>2012</v>
      </c>
      <c r="C254" s="59">
        <v>2013</v>
      </c>
      <c r="D254" s="59">
        <v>2014</v>
      </c>
      <c r="E254" s="59">
        <v>2015</v>
      </c>
      <c r="F254" s="59">
        <v>2016</v>
      </c>
      <c r="G254" s="141">
        <v>2017</v>
      </c>
      <c r="H254" s="141">
        <v>2018</v>
      </c>
      <c r="I254" s="141">
        <v>2019</v>
      </c>
      <c r="J254" s="141">
        <v>2020</v>
      </c>
      <c r="K254" s="141">
        <v>2021</v>
      </c>
      <c r="L254" s="141">
        <v>2022</v>
      </c>
    </row>
    <row r="255" spans="1:12" x14ac:dyDescent="0.25">
      <c r="A255" s="376" t="s">
        <v>190</v>
      </c>
      <c r="B255" s="376"/>
      <c r="C255" s="376"/>
      <c r="D255" s="376"/>
      <c r="E255" s="376"/>
      <c r="F255" s="376"/>
      <c r="G255" s="284"/>
      <c r="H255" s="284"/>
      <c r="I255" s="284"/>
      <c r="J255" s="284"/>
      <c r="K255" s="284"/>
      <c r="L255" s="284"/>
    </row>
    <row r="256" spans="1:12" x14ac:dyDescent="0.25">
      <c r="A256" s="385" t="s">
        <v>198</v>
      </c>
      <c r="B256" s="116"/>
      <c r="C256" s="116"/>
      <c r="D256" s="116"/>
      <c r="E256" s="116"/>
      <c r="F256" s="116"/>
      <c r="G256" s="342"/>
      <c r="H256" s="342"/>
      <c r="I256" s="342"/>
      <c r="J256" s="342"/>
      <c r="K256" s="342"/>
      <c r="L256" s="166"/>
    </row>
    <row r="257" spans="1:12" x14ac:dyDescent="0.25">
      <c r="A257" s="386" t="s">
        <v>199</v>
      </c>
      <c r="B257" s="80"/>
      <c r="C257" s="80"/>
      <c r="D257" s="80"/>
      <c r="E257" s="80"/>
      <c r="F257" s="80"/>
      <c r="G257" s="144"/>
      <c r="H257" s="144"/>
      <c r="I257" s="144"/>
      <c r="J257" s="144"/>
      <c r="K257" s="144"/>
      <c r="L257" s="167"/>
    </row>
    <row r="258" spans="1:12" x14ac:dyDescent="0.25">
      <c r="A258" s="387" t="s">
        <v>467</v>
      </c>
      <c r="B258" s="343"/>
      <c r="C258" s="343"/>
      <c r="D258" s="343"/>
      <c r="E258" s="343"/>
      <c r="F258" s="343"/>
      <c r="G258" s="343"/>
      <c r="H258" s="343"/>
      <c r="I258" s="343"/>
      <c r="J258" s="343"/>
      <c r="K258" s="343"/>
      <c r="L258" s="285"/>
    </row>
    <row r="260" spans="1:12" x14ac:dyDescent="0.25">
      <c r="A260" s="112" t="s">
        <v>15</v>
      </c>
      <c r="B260" s="374" t="s">
        <v>92</v>
      </c>
      <c r="C260" s="374" t="s">
        <v>17</v>
      </c>
      <c r="D260" s="212"/>
      <c r="E260" s="212"/>
      <c r="F260" s="212"/>
      <c r="G260" s="212"/>
      <c r="H260" s="212"/>
      <c r="I260" s="212"/>
      <c r="J260" s="212"/>
      <c r="K260" s="212"/>
      <c r="L260" s="212"/>
    </row>
    <row r="261" spans="1:12" x14ac:dyDescent="0.25">
      <c r="A261" s="416" t="s">
        <v>18</v>
      </c>
      <c r="B261" s="420">
        <v>2010</v>
      </c>
      <c r="C261" s="392">
        <v>2011</v>
      </c>
      <c r="D261" s="392">
        <v>2012</v>
      </c>
      <c r="E261" s="392">
        <v>2013</v>
      </c>
      <c r="F261" s="392">
        <v>2014</v>
      </c>
      <c r="G261" s="392">
        <v>2015</v>
      </c>
      <c r="H261" s="392">
        <v>2016</v>
      </c>
      <c r="I261" s="392">
        <v>2017</v>
      </c>
      <c r="J261" s="392">
        <v>2018</v>
      </c>
      <c r="K261" s="69">
        <v>2019</v>
      </c>
      <c r="L261" s="69">
        <v>2020</v>
      </c>
    </row>
    <row r="262" spans="1:12" x14ac:dyDescent="0.25">
      <c r="A262" s="59" t="s">
        <v>19</v>
      </c>
      <c r="B262" s="391">
        <v>100.5</v>
      </c>
      <c r="C262" s="391">
        <v>100.5</v>
      </c>
      <c r="D262" s="391">
        <v>100.5</v>
      </c>
      <c r="E262" s="391">
        <v>45</v>
      </c>
      <c r="F262" s="391">
        <v>45</v>
      </c>
      <c r="G262" s="391">
        <v>45</v>
      </c>
      <c r="H262" s="391">
        <v>45</v>
      </c>
      <c r="I262" s="391">
        <v>45</v>
      </c>
      <c r="J262" s="426">
        <v>45</v>
      </c>
      <c r="K262" s="426">
        <v>45</v>
      </c>
      <c r="L262" s="426">
        <v>37.9</v>
      </c>
    </row>
    <row r="263" spans="1:12" x14ac:dyDescent="0.25">
      <c r="A263" s="59" t="s">
        <v>20</v>
      </c>
      <c r="B263" s="391">
        <v>100.5</v>
      </c>
      <c r="C263" s="391">
        <v>100.5</v>
      </c>
      <c r="D263" s="391">
        <v>100.5</v>
      </c>
      <c r="E263" s="391">
        <v>45</v>
      </c>
      <c r="F263" s="391">
        <v>45</v>
      </c>
      <c r="G263" s="391">
        <v>45</v>
      </c>
      <c r="H263" s="391">
        <v>50.34</v>
      </c>
      <c r="I263" s="391">
        <v>45.585000000000001</v>
      </c>
      <c r="J263" s="391">
        <v>45.628999999999998</v>
      </c>
      <c r="K263" s="426">
        <v>50.27</v>
      </c>
      <c r="L263" s="426">
        <f>L262+J266</f>
        <v>41.338000000000001</v>
      </c>
    </row>
    <row r="264" spans="1:12" x14ac:dyDescent="0.25">
      <c r="A264" s="59" t="s">
        <v>21</v>
      </c>
      <c r="B264" s="59"/>
      <c r="C264" s="59"/>
      <c r="D264" s="59"/>
      <c r="E264" s="59"/>
      <c r="F264" s="59"/>
      <c r="G264" s="111"/>
      <c r="H264" s="111"/>
      <c r="I264" s="111"/>
      <c r="J264" s="111"/>
      <c r="K264" s="111"/>
      <c r="L264" s="111"/>
    </row>
    <row r="265" spans="1:12" x14ac:dyDescent="0.25">
      <c r="A265" s="59" t="s">
        <v>22</v>
      </c>
      <c r="B265" s="391">
        <v>77</v>
      </c>
      <c r="C265" s="391">
        <v>99.5</v>
      </c>
      <c r="D265" s="391">
        <v>35</v>
      </c>
      <c r="E265" s="391">
        <v>44.86</v>
      </c>
      <c r="F265" s="391">
        <v>39.659999999999997</v>
      </c>
      <c r="G265" s="426">
        <v>44.414999999999999</v>
      </c>
      <c r="H265" s="426">
        <v>49.710999999999999</v>
      </c>
      <c r="I265" s="426">
        <v>40.31</v>
      </c>
      <c r="J265" s="426">
        <v>42.191000000000003</v>
      </c>
      <c r="K265" s="426">
        <v>46.4</v>
      </c>
      <c r="L265" s="426"/>
    </row>
    <row r="266" spans="1:12" x14ac:dyDescent="0.25">
      <c r="A266" s="59" t="s">
        <v>23</v>
      </c>
      <c r="B266" s="391">
        <v>23.5</v>
      </c>
      <c r="C266" s="391">
        <v>1</v>
      </c>
      <c r="D266" s="391">
        <v>65.5</v>
      </c>
      <c r="E266" s="391">
        <v>0.14199999999999999</v>
      </c>
      <c r="F266" s="391">
        <v>5.34</v>
      </c>
      <c r="G266" s="426">
        <v>0.58499999999999996</v>
      </c>
      <c r="H266" s="426">
        <v>0.629</v>
      </c>
      <c r="I266" s="426">
        <v>5.269999999999996</v>
      </c>
      <c r="J266" s="426">
        <v>3.4380000000000002</v>
      </c>
      <c r="K266" s="426">
        <f>K263-K265</f>
        <v>3.8700000000000045</v>
      </c>
      <c r="L266" s="426"/>
    </row>
    <row r="267" spans="1:12" x14ac:dyDescent="0.25">
      <c r="A267" s="59" t="s">
        <v>24</v>
      </c>
      <c r="B267" s="73" t="s">
        <v>200</v>
      </c>
      <c r="C267" s="73" t="s">
        <v>200</v>
      </c>
      <c r="D267" s="73" t="s">
        <v>200</v>
      </c>
      <c r="E267" s="73">
        <v>2015</v>
      </c>
      <c r="F267" s="73">
        <v>2016</v>
      </c>
      <c r="G267" s="427">
        <v>2017</v>
      </c>
      <c r="H267" s="427">
        <v>2018</v>
      </c>
      <c r="I267" s="427">
        <v>2019</v>
      </c>
      <c r="J267" s="427">
        <v>2020</v>
      </c>
      <c r="K267" s="427">
        <v>2021</v>
      </c>
      <c r="L267" s="73" t="s">
        <v>200</v>
      </c>
    </row>
    <row r="268" spans="1:12" x14ac:dyDescent="0.25">
      <c r="A268" s="111" t="s">
        <v>190</v>
      </c>
      <c r="B268" s="111"/>
      <c r="C268" s="111"/>
      <c r="D268" s="111"/>
      <c r="E268" s="111"/>
      <c r="F268" s="111"/>
      <c r="G268" s="111"/>
      <c r="H268" s="111"/>
      <c r="I268" s="111"/>
      <c r="J268" s="111"/>
      <c r="K268" s="111"/>
      <c r="L268" s="111"/>
    </row>
    <row r="269" spans="1:12" x14ac:dyDescent="0.25">
      <c r="A269" s="376" t="s">
        <v>201</v>
      </c>
      <c r="B269" s="376"/>
      <c r="C269" s="376"/>
      <c r="D269" s="376"/>
      <c r="E269" s="376"/>
      <c r="F269" s="376"/>
      <c r="G269" s="376"/>
      <c r="H269" s="376"/>
      <c r="I269" s="376"/>
      <c r="J269" s="376"/>
      <c r="K269" s="376"/>
      <c r="L269" s="376"/>
    </row>
    <row r="270" spans="1:12" x14ac:dyDescent="0.25">
      <c r="A270" s="385" t="s">
        <v>202</v>
      </c>
      <c r="B270" s="116"/>
      <c r="C270" s="116"/>
      <c r="D270" s="116"/>
      <c r="E270" s="116"/>
      <c r="F270" s="116"/>
      <c r="G270" s="116"/>
      <c r="H270" s="116"/>
      <c r="I270" s="116"/>
      <c r="J270" s="116"/>
      <c r="K270" s="116"/>
      <c r="L270" s="377"/>
    </row>
    <row r="271" spans="1:12" x14ac:dyDescent="0.25">
      <c r="A271" s="386" t="s">
        <v>468</v>
      </c>
      <c r="B271" s="80"/>
      <c r="C271" s="80"/>
      <c r="D271" s="80"/>
      <c r="E271" s="80"/>
      <c r="F271" s="80"/>
      <c r="G271" s="80"/>
      <c r="H271" s="80"/>
      <c r="I271" s="80"/>
      <c r="J271" s="80"/>
      <c r="K271" s="80"/>
      <c r="L271" s="384"/>
    </row>
    <row r="272" spans="1:12" x14ac:dyDescent="0.25">
      <c r="A272" s="378" t="s">
        <v>469</v>
      </c>
      <c r="B272" s="379"/>
      <c r="C272" s="379"/>
      <c r="D272" s="379"/>
      <c r="E272" s="379"/>
      <c r="F272" s="379"/>
      <c r="G272" s="379"/>
      <c r="H272" s="379"/>
      <c r="I272" s="379"/>
      <c r="J272" s="379"/>
      <c r="K272" s="379"/>
      <c r="L272" s="380"/>
    </row>
    <row r="274" spans="1:12" x14ac:dyDescent="0.25">
      <c r="A274" s="112" t="s">
        <v>15</v>
      </c>
      <c r="B274" s="425" t="s">
        <v>97</v>
      </c>
      <c r="C274" s="374" t="s">
        <v>17</v>
      </c>
      <c r="D274" s="226"/>
      <c r="E274" s="226"/>
      <c r="F274" s="226"/>
      <c r="G274" s="226"/>
      <c r="H274" s="226"/>
      <c r="I274" s="226"/>
      <c r="J274" s="226"/>
      <c r="K274" s="226"/>
      <c r="L274" s="226"/>
    </row>
    <row r="275" spans="1:12" x14ac:dyDescent="0.25">
      <c r="A275" s="416" t="s">
        <v>18</v>
      </c>
      <c r="B275" s="420">
        <v>2010</v>
      </c>
      <c r="C275" s="392">
        <v>2011</v>
      </c>
      <c r="D275" s="392">
        <v>2012</v>
      </c>
      <c r="E275" s="392">
        <v>2013</v>
      </c>
      <c r="F275" s="392">
        <v>2014</v>
      </c>
      <c r="G275" s="392">
        <v>2015</v>
      </c>
      <c r="H275" s="392">
        <v>2016</v>
      </c>
      <c r="I275" s="392">
        <v>2017</v>
      </c>
      <c r="J275" s="392">
        <v>2018</v>
      </c>
      <c r="K275" s="421">
        <v>2019</v>
      </c>
      <c r="L275" s="421">
        <v>2020</v>
      </c>
    </row>
    <row r="276" spans="1:12" x14ac:dyDescent="0.25">
      <c r="A276" s="59" t="s">
        <v>19</v>
      </c>
      <c r="B276" s="391">
        <v>9.9</v>
      </c>
      <c r="C276" s="391">
        <v>9.9</v>
      </c>
      <c r="D276" s="391">
        <v>9.9</v>
      </c>
      <c r="E276" s="391">
        <v>10</v>
      </c>
      <c r="F276" s="391">
        <v>10</v>
      </c>
      <c r="G276" s="391">
        <v>10</v>
      </c>
      <c r="H276" s="336">
        <v>10</v>
      </c>
      <c r="I276" s="336">
        <v>10</v>
      </c>
      <c r="J276" s="336">
        <v>10</v>
      </c>
      <c r="K276" s="336">
        <v>10</v>
      </c>
      <c r="L276" s="336">
        <v>10</v>
      </c>
    </row>
    <row r="277" spans="1:12" x14ac:dyDescent="0.25">
      <c r="A277" s="59" t="s">
        <v>20</v>
      </c>
      <c r="B277" s="391">
        <v>9.9</v>
      </c>
      <c r="C277" s="391">
        <v>9.9</v>
      </c>
      <c r="D277" s="391">
        <v>9.9</v>
      </c>
      <c r="E277" s="391">
        <v>10</v>
      </c>
      <c r="F277" s="391">
        <v>10</v>
      </c>
      <c r="G277" s="391">
        <v>12</v>
      </c>
      <c r="H277" s="336">
        <v>12</v>
      </c>
      <c r="I277" s="336">
        <v>12</v>
      </c>
      <c r="J277" s="391">
        <v>12</v>
      </c>
      <c r="K277" s="336">
        <v>12</v>
      </c>
      <c r="L277" s="336">
        <f>L276*1.2</f>
        <v>12</v>
      </c>
    </row>
    <row r="278" spans="1:12" x14ac:dyDescent="0.25">
      <c r="A278" s="59" t="s">
        <v>21</v>
      </c>
      <c r="B278" s="59"/>
      <c r="C278" s="59"/>
      <c r="D278" s="59"/>
      <c r="E278" s="59"/>
      <c r="F278" s="59"/>
      <c r="G278" s="141"/>
      <c r="H278" s="141"/>
      <c r="I278" s="141"/>
      <c r="J278" s="141"/>
      <c r="K278" s="141"/>
      <c r="L278" s="141"/>
    </row>
    <row r="279" spans="1:12" x14ac:dyDescent="0.25">
      <c r="A279" s="59" t="s">
        <v>22</v>
      </c>
      <c r="B279" s="391">
        <v>8</v>
      </c>
      <c r="C279" s="391">
        <v>0.73</v>
      </c>
      <c r="D279" s="391">
        <v>0.21</v>
      </c>
      <c r="E279" s="391">
        <v>2.1179999999999999</v>
      </c>
      <c r="F279" s="391">
        <v>0</v>
      </c>
      <c r="G279" s="336">
        <v>0.34799999999999998</v>
      </c>
      <c r="H279" s="336">
        <v>0.26300000000000001</v>
      </c>
      <c r="I279" s="336">
        <v>2.5299999999999998</v>
      </c>
      <c r="J279" s="336">
        <v>3.23</v>
      </c>
      <c r="K279" s="336">
        <v>2.88</v>
      </c>
      <c r="L279" s="336"/>
    </row>
    <row r="280" spans="1:12" x14ac:dyDescent="0.25">
      <c r="A280" s="59" t="s">
        <v>23</v>
      </c>
      <c r="B280" s="391">
        <v>1.9</v>
      </c>
      <c r="C280" s="391">
        <v>9.17</v>
      </c>
      <c r="D280" s="391">
        <v>9.69</v>
      </c>
      <c r="E280" s="391">
        <v>7.8819999999999997</v>
      </c>
      <c r="F280" s="391">
        <v>10</v>
      </c>
      <c r="G280" s="336">
        <v>11.651999999999999</v>
      </c>
      <c r="H280" s="336">
        <v>11.737</v>
      </c>
      <c r="I280" s="336">
        <v>9.4700000000000006</v>
      </c>
      <c r="J280" s="336">
        <v>8.77</v>
      </c>
      <c r="K280" s="336">
        <f>K277-K279</f>
        <v>9.120000000000001</v>
      </c>
      <c r="L280" s="336"/>
    </row>
    <row r="281" spans="1:12" x14ac:dyDescent="0.25">
      <c r="A281" s="59" t="s">
        <v>24</v>
      </c>
      <c r="B281" s="73" t="s">
        <v>200</v>
      </c>
      <c r="C281" s="73" t="s">
        <v>200</v>
      </c>
      <c r="D281" s="73" t="s">
        <v>200</v>
      </c>
      <c r="E281" s="73">
        <v>2015</v>
      </c>
      <c r="F281" s="73">
        <v>2016</v>
      </c>
      <c r="G281" s="423">
        <v>2017</v>
      </c>
      <c r="H281" s="423">
        <v>2018</v>
      </c>
      <c r="I281" s="423">
        <v>2019</v>
      </c>
      <c r="J281" s="423">
        <v>2020</v>
      </c>
      <c r="K281" s="423">
        <v>2021</v>
      </c>
      <c r="L281" s="73" t="s">
        <v>200</v>
      </c>
    </row>
    <row r="282" spans="1:12" x14ac:dyDescent="0.25">
      <c r="A282" s="376" t="s">
        <v>190</v>
      </c>
      <c r="B282" s="376"/>
      <c r="C282" s="376"/>
      <c r="D282" s="376"/>
      <c r="E282" s="376"/>
      <c r="F282" s="376"/>
      <c r="G282" s="284"/>
      <c r="H282" s="284"/>
      <c r="I282" s="284"/>
      <c r="J282" s="284"/>
      <c r="K282" s="284"/>
      <c r="L282" s="284"/>
    </row>
    <row r="283" spans="1:12" x14ac:dyDescent="0.25">
      <c r="A283" s="375" t="s">
        <v>201</v>
      </c>
      <c r="B283" s="116"/>
      <c r="C283" s="116"/>
      <c r="D283" s="116"/>
      <c r="E283" s="116"/>
      <c r="F283" s="116"/>
      <c r="G283" s="342"/>
      <c r="H283" s="342"/>
      <c r="I283" s="342"/>
      <c r="J283" s="342"/>
      <c r="K283" s="342"/>
      <c r="L283" s="166"/>
    </row>
    <row r="284" spans="1:12" x14ac:dyDescent="0.25">
      <c r="A284" s="428" t="s">
        <v>203</v>
      </c>
      <c r="B284" s="144"/>
      <c r="C284" s="144"/>
      <c r="D284" s="144"/>
      <c r="E284" s="144"/>
      <c r="F284" s="144"/>
      <c r="G284" s="144"/>
      <c r="H284" s="144"/>
      <c r="I284" s="144"/>
      <c r="J284" s="144"/>
      <c r="K284" s="144"/>
      <c r="L284" s="167"/>
    </row>
    <row r="285" spans="1:12" x14ac:dyDescent="0.25">
      <c r="A285" s="378" t="s">
        <v>470</v>
      </c>
      <c r="B285" s="343"/>
      <c r="C285" s="343"/>
      <c r="D285" s="343"/>
      <c r="E285" s="343"/>
      <c r="F285" s="343"/>
      <c r="G285" s="343"/>
      <c r="H285" s="343"/>
      <c r="I285" s="343"/>
      <c r="J285" s="343"/>
      <c r="K285" s="343"/>
      <c r="L285" s="285"/>
    </row>
    <row r="287" spans="1:12" x14ac:dyDescent="0.25">
      <c r="A287" s="1" t="s">
        <v>13</v>
      </c>
      <c r="B287" s="41" t="s">
        <v>103</v>
      </c>
      <c r="C287" s="226"/>
      <c r="D287" s="2"/>
      <c r="E287" s="2"/>
      <c r="F287" s="2"/>
      <c r="G287" s="2"/>
    </row>
    <row r="288" spans="1:12" x14ac:dyDescent="0.25">
      <c r="A288" s="3" t="s">
        <v>15</v>
      </c>
      <c r="B288" s="4" t="s">
        <v>104</v>
      </c>
      <c r="C288" s="5" t="s">
        <v>17</v>
      </c>
      <c r="D288" s="2"/>
      <c r="E288" s="2"/>
      <c r="F288" s="2"/>
      <c r="G288" s="2"/>
    </row>
    <row r="289" spans="1:7" x14ac:dyDescent="0.25">
      <c r="A289" s="6" t="s">
        <v>18</v>
      </c>
      <c r="B289" s="433">
        <v>2015</v>
      </c>
      <c r="C289" s="434">
        <v>2016</v>
      </c>
      <c r="D289" s="433">
        <v>2017</v>
      </c>
      <c r="E289" s="435">
        <v>2018</v>
      </c>
      <c r="F289" s="435">
        <v>2019</v>
      </c>
      <c r="G289" s="433">
        <v>2020</v>
      </c>
    </row>
    <row r="290" spans="1:7" x14ac:dyDescent="0.25">
      <c r="A290" s="6" t="s">
        <v>19</v>
      </c>
      <c r="B290" s="437">
        <v>3271.7</v>
      </c>
      <c r="C290" s="438">
        <v>3271.7</v>
      </c>
      <c r="D290" s="437">
        <v>3271.7</v>
      </c>
      <c r="E290" s="439">
        <v>3926</v>
      </c>
      <c r="F290" s="439">
        <v>3926</v>
      </c>
      <c r="G290" s="437">
        <v>3926</v>
      </c>
    </row>
    <row r="291" spans="1:7" x14ac:dyDescent="0.25">
      <c r="A291" s="6" t="s">
        <v>20</v>
      </c>
      <c r="B291" s="437">
        <v>3789.62</v>
      </c>
      <c r="C291" s="438">
        <v>3789.62</v>
      </c>
      <c r="D291" s="437">
        <v>3789.62</v>
      </c>
      <c r="E291" s="439">
        <v>4281.62</v>
      </c>
      <c r="F291" s="440">
        <v>4607.5</v>
      </c>
      <c r="G291" s="437">
        <f>G290*1.25-300</f>
        <v>4607.5</v>
      </c>
    </row>
    <row r="292" spans="1:7" ht="26.4" x14ac:dyDescent="0.25">
      <c r="A292" s="6" t="s">
        <v>21</v>
      </c>
      <c r="B292" s="134" t="s">
        <v>105</v>
      </c>
      <c r="C292" s="134" t="s">
        <v>105</v>
      </c>
      <c r="D292" s="134" t="s">
        <v>105</v>
      </c>
      <c r="E292" s="135" t="s">
        <v>106</v>
      </c>
      <c r="F292" s="436" t="s">
        <v>107</v>
      </c>
      <c r="G292" s="132" t="s">
        <v>473</v>
      </c>
    </row>
    <row r="293" spans="1:7" x14ac:dyDescent="0.25">
      <c r="A293" s="6" t="s">
        <v>22</v>
      </c>
      <c r="B293" s="437">
        <v>2857</v>
      </c>
      <c r="C293" s="438">
        <v>3134</v>
      </c>
      <c r="D293" s="437">
        <v>2385</v>
      </c>
      <c r="E293" s="437">
        <v>2926</v>
      </c>
      <c r="F293" s="439">
        <v>2770</v>
      </c>
      <c r="G293" s="437"/>
    </row>
    <row r="294" spans="1:7" x14ac:dyDescent="0.25">
      <c r="A294" s="6" t="s">
        <v>23</v>
      </c>
      <c r="B294" s="437">
        <v>932.62</v>
      </c>
      <c r="C294" s="438">
        <v>655.62</v>
      </c>
      <c r="D294" s="437">
        <v>1404.62</v>
      </c>
      <c r="E294" s="437">
        <v>1355.62</v>
      </c>
      <c r="F294" s="439"/>
      <c r="G294" s="437"/>
    </row>
    <row r="295" spans="1:7" x14ac:dyDescent="0.25">
      <c r="A295" s="8" t="s">
        <v>24</v>
      </c>
      <c r="B295" s="65">
        <v>2017</v>
      </c>
      <c r="C295" s="66">
        <v>2018</v>
      </c>
      <c r="D295" s="65">
        <v>2019</v>
      </c>
      <c r="E295" s="67">
        <v>2020</v>
      </c>
      <c r="F295" s="67">
        <v>2021</v>
      </c>
      <c r="G295" s="65">
        <v>2022</v>
      </c>
    </row>
    <row r="296" spans="1:7" x14ac:dyDescent="0.25">
      <c r="A296" s="8" t="s">
        <v>25</v>
      </c>
      <c r="B296" s="9"/>
      <c r="C296" s="9"/>
      <c r="D296" s="9"/>
      <c r="E296" s="9"/>
      <c r="F296" s="9"/>
      <c r="G296" s="10"/>
    </row>
    <row r="297" spans="1:7" x14ac:dyDescent="0.25">
      <c r="A297" s="441" t="s">
        <v>108</v>
      </c>
      <c r="B297" s="442"/>
      <c r="C297" s="442"/>
      <c r="D297" s="442"/>
      <c r="E297" s="442"/>
      <c r="F297" s="442"/>
      <c r="G297" s="10"/>
    </row>
    <row r="298" spans="1:7" ht="30" customHeight="1" x14ac:dyDescent="0.25">
      <c r="A298" s="476" t="s">
        <v>109</v>
      </c>
      <c r="B298" s="477"/>
      <c r="C298" s="477"/>
      <c r="D298" s="477"/>
      <c r="E298" s="477"/>
      <c r="F298" s="477"/>
      <c r="G298" s="478"/>
    </row>
    <row r="299" spans="1:7" x14ac:dyDescent="0.25">
      <c r="A299" s="444" t="s">
        <v>471</v>
      </c>
      <c r="B299" s="443"/>
      <c r="C299" s="443"/>
      <c r="D299" s="443"/>
      <c r="E299" s="443"/>
      <c r="F299" s="443"/>
      <c r="G299" s="57"/>
    </row>
    <row r="300" spans="1:7" ht="37.5" customHeight="1" x14ac:dyDescent="0.25">
      <c r="A300" s="473" t="s">
        <v>472</v>
      </c>
      <c r="B300" s="474"/>
      <c r="C300" s="474"/>
      <c r="D300" s="474"/>
      <c r="E300" s="474"/>
      <c r="F300" s="474"/>
      <c r="G300" s="475"/>
    </row>
    <row r="301" spans="1:7" x14ac:dyDescent="0.25">
      <c r="G301" s="54"/>
    </row>
    <row r="302" spans="1:7" x14ac:dyDescent="0.25">
      <c r="A302" s="3" t="s">
        <v>15</v>
      </c>
      <c r="B302" s="4" t="s">
        <v>110</v>
      </c>
      <c r="C302" s="5" t="s">
        <v>17</v>
      </c>
      <c r="D302" s="2"/>
      <c r="E302" s="2"/>
      <c r="F302" s="2"/>
      <c r="G302" s="2"/>
    </row>
    <row r="303" spans="1:7" x14ac:dyDescent="0.25">
      <c r="A303" s="6" t="s">
        <v>18</v>
      </c>
      <c r="B303" s="433">
        <v>2015</v>
      </c>
      <c r="C303" s="434">
        <v>2016</v>
      </c>
      <c r="D303" s="433">
        <v>2017</v>
      </c>
      <c r="E303" s="435">
        <v>2018</v>
      </c>
      <c r="F303" s="435">
        <v>2019</v>
      </c>
      <c r="G303" s="393">
        <v>2020</v>
      </c>
    </row>
    <row r="304" spans="1:7" x14ac:dyDescent="0.25">
      <c r="A304" s="6" t="s">
        <v>19</v>
      </c>
      <c r="B304" s="437">
        <v>9400</v>
      </c>
      <c r="C304" s="438">
        <v>9400</v>
      </c>
      <c r="D304" s="437">
        <v>9400</v>
      </c>
      <c r="E304" s="439">
        <v>9400</v>
      </c>
      <c r="F304" s="439">
        <v>9400</v>
      </c>
      <c r="G304" s="437">
        <v>9400</v>
      </c>
    </row>
    <row r="305" spans="1:7" x14ac:dyDescent="0.25">
      <c r="A305" s="6" t="s">
        <v>20</v>
      </c>
      <c r="B305" s="437">
        <v>11506.75</v>
      </c>
      <c r="C305" s="438">
        <v>11750</v>
      </c>
      <c r="D305" s="437">
        <v>11750</v>
      </c>
      <c r="E305" s="439">
        <v>11750</v>
      </c>
      <c r="F305" s="439">
        <f>F304*1.25</f>
        <v>11750</v>
      </c>
      <c r="G305" s="437">
        <f>G304*1.25-200</f>
        <v>11550</v>
      </c>
    </row>
    <row r="306" spans="1:7" x14ac:dyDescent="0.25">
      <c r="A306" s="6" t="s">
        <v>21</v>
      </c>
      <c r="B306" s="134" t="s">
        <v>111</v>
      </c>
      <c r="C306" s="134" t="s">
        <v>112</v>
      </c>
      <c r="D306" s="134" t="s">
        <v>112</v>
      </c>
      <c r="E306" s="135" t="s">
        <v>112</v>
      </c>
      <c r="F306" s="135" t="s">
        <v>112</v>
      </c>
      <c r="G306" s="447" t="s">
        <v>475</v>
      </c>
    </row>
    <row r="307" spans="1:7" x14ac:dyDescent="0.25">
      <c r="A307" s="6" t="s">
        <v>22</v>
      </c>
      <c r="B307" s="437">
        <v>7157</v>
      </c>
      <c r="C307" s="438">
        <v>8907</v>
      </c>
      <c r="D307" s="437">
        <v>9090</v>
      </c>
      <c r="E307" s="437">
        <v>9227</v>
      </c>
      <c r="F307" s="439">
        <v>9626</v>
      </c>
      <c r="G307" s="437"/>
    </row>
    <row r="308" spans="1:7" x14ac:dyDescent="0.25">
      <c r="A308" s="6" t="s">
        <v>23</v>
      </c>
      <c r="B308" s="437">
        <v>4349.75</v>
      </c>
      <c r="C308" s="438">
        <v>2843</v>
      </c>
      <c r="D308" s="437">
        <v>2660</v>
      </c>
      <c r="E308" s="437">
        <v>2523</v>
      </c>
      <c r="F308" s="439">
        <f>F305-F307</f>
        <v>2124</v>
      </c>
      <c r="G308" s="437"/>
    </row>
    <row r="309" spans="1:7" x14ac:dyDescent="0.25">
      <c r="A309" s="8" t="s">
        <v>24</v>
      </c>
      <c r="B309" s="65">
        <v>2017</v>
      </c>
      <c r="C309" s="66">
        <v>2018</v>
      </c>
      <c r="D309" s="65">
        <v>2019</v>
      </c>
      <c r="E309" s="67">
        <v>2020</v>
      </c>
      <c r="F309" s="67">
        <v>2021</v>
      </c>
      <c r="G309" s="67">
        <v>2022</v>
      </c>
    </row>
    <row r="310" spans="1:7" x14ac:dyDescent="0.25">
      <c r="A310" s="6" t="s">
        <v>25</v>
      </c>
      <c r="B310" s="61"/>
      <c r="C310" s="61"/>
      <c r="D310" s="61"/>
      <c r="E310" s="61"/>
      <c r="F310" s="61"/>
      <c r="G310" s="55"/>
    </row>
    <row r="311" spans="1:7" x14ac:dyDescent="0.25">
      <c r="A311" s="489" t="s">
        <v>113</v>
      </c>
      <c r="B311" s="490"/>
      <c r="C311" s="490"/>
      <c r="D311" s="490"/>
      <c r="E311" s="490"/>
      <c r="F311" s="490"/>
      <c r="G311" s="10"/>
    </row>
    <row r="312" spans="1:7" x14ac:dyDescent="0.25">
      <c r="A312" s="446" t="s">
        <v>474</v>
      </c>
      <c r="B312" s="431"/>
      <c r="C312" s="431"/>
      <c r="D312" s="431"/>
      <c r="E312" s="431"/>
      <c r="F312" s="431"/>
      <c r="G312" s="170"/>
    </row>
    <row r="313" spans="1:7" x14ac:dyDescent="0.25">
      <c r="A313" s="2"/>
      <c r="B313" s="2"/>
      <c r="C313" s="2"/>
      <c r="D313" s="2"/>
      <c r="E313" s="2"/>
      <c r="F313" s="2"/>
    </row>
    <row r="314" spans="1:7" x14ac:dyDescent="0.25">
      <c r="A314" s="448" t="s">
        <v>15</v>
      </c>
      <c r="B314" s="449" t="s">
        <v>114</v>
      </c>
      <c r="C314" s="218" t="s">
        <v>17</v>
      </c>
    </row>
    <row r="315" spans="1:7" x14ac:dyDescent="0.25">
      <c r="A315" s="450" t="s">
        <v>18</v>
      </c>
      <c r="B315" s="393">
        <v>2015</v>
      </c>
      <c r="C315" s="451">
        <v>2016</v>
      </c>
      <c r="D315" s="393">
        <v>2017</v>
      </c>
      <c r="E315" s="452">
        <v>2018</v>
      </c>
      <c r="F315" s="452">
        <v>2019</v>
      </c>
      <c r="G315" s="393">
        <v>2020</v>
      </c>
    </row>
    <row r="316" spans="1:7" x14ac:dyDescent="0.25">
      <c r="A316" s="450" t="s">
        <v>19</v>
      </c>
      <c r="B316" s="417">
        <v>270</v>
      </c>
      <c r="C316" s="461">
        <v>270</v>
      </c>
      <c r="D316" s="417">
        <v>270</v>
      </c>
      <c r="E316" s="462">
        <v>270</v>
      </c>
      <c r="F316" s="462">
        <v>270</v>
      </c>
      <c r="G316" s="417">
        <v>270</v>
      </c>
    </row>
    <row r="317" spans="1:7" x14ac:dyDescent="0.25">
      <c r="A317" s="450" t="s">
        <v>20</v>
      </c>
      <c r="B317" s="417">
        <v>370</v>
      </c>
      <c r="C317" s="461">
        <v>370</v>
      </c>
      <c r="D317" s="417">
        <v>370</v>
      </c>
      <c r="E317" s="462">
        <v>343</v>
      </c>
      <c r="F317" s="463">
        <v>343</v>
      </c>
      <c r="G317" s="417">
        <f>G316*1.4-35-20</f>
        <v>323</v>
      </c>
    </row>
    <row r="318" spans="1:7" x14ac:dyDescent="0.25">
      <c r="A318" s="450" t="s">
        <v>21</v>
      </c>
      <c r="B318" s="453" t="s">
        <v>115</v>
      </c>
      <c r="C318" s="453" t="s">
        <v>115</v>
      </c>
      <c r="D318" s="453" t="s">
        <v>115</v>
      </c>
      <c r="E318" s="454" t="s">
        <v>116</v>
      </c>
      <c r="F318" s="455" t="s">
        <v>116</v>
      </c>
      <c r="G318" s="466" t="s">
        <v>480</v>
      </c>
    </row>
    <row r="319" spans="1:7" x14ac:dyDescent="0.25">
      <c r="A319" s="450" t="s">
        <v>22</v>
      </c>
      <c r="B319" s="417">
        <v>115</v>
      </c>
      <c r="C319" s="461">
        <v>148</v>
      </c>
      <c r="D319" s="417">
        <v>78</v>
      </c>
      <c r="E319" s="336">
        <v>169.22</v>
      </c>
      <c r="F319" s="462">
        <v>122.25</v>
      </c>
      <c r="G319" s="417"/>
    </row>
    <row r="320" spans="1:7" x14ac:dyDescent="0.25">
      <c r="A320" s="450" t="s">
        <v>23</v>
      </c>
      <c r="B320" s="417">
        <v>255</v>
      </c>
      <c r="C320" s="461">
        <v>222</v>
      </c>
      <c r="D320" s="417">
        <v>292</v>
      </c>
      <c r="E320" s="336">
        <v>173.78</v>
      </c>
      <c r="F320" s="462">
        <f>F317-F319</f>
        <v>220.75</v>
      </c>
      <c r="G320" s="417"/>
    </row>
    <row r="321" spans="1:7" x14ac:dyDescent="0.25">
      <c r="A321" s="456" t="s">
        <v>24</v>
      </c>
      <c r="B321" s="457">
        <v>2017</v>
      </c>
      <c r="C321" s="458">
        <v>2018</v>
      </c>
      <c r="D321" s="457">
        <v>2019</v>
      </c>
      <c r="E321" s="459">
        <v>2020</v>
      </c>
      <c r="F321" s="459">
        <v>2021</v>
      </c>
      <c r="G321" s="459">
        <v>2022</v>
      </c>
    </row>
    <row r="322" spans="1:7" x14ac:dyDescent="0.25">
      <c r="A322" s="450" t="s">
        <v>25</v>
      </c>
      <c r="B322" s="460"/>
      <c r="C322" s="460"/>
      <c r="D322" s="460"/>
      <c r="E322" s="460"/>
      <c r="F322" s="460"/>
      <c r="G322" s="445"/>
    </row>
    <row r="323" spans="1:7" x14ac:dyDescent="0.25">
      <c r="A323" s="491" t="s">
        <v>117</v>
      </c>
      <c r="B323" s="492"/>
      <c r="C323" s="492"/>
      <c r="D323" s="492"/>
      <c r="E323" s="492"/>
      <c r="F323" s="492"/>
      <c r="G323" s="140"/>
    </row>
    <row r="324" spans="1:7" x14ac:dyDescent="0.25">
      <c r="A324" s="465" t="s">
        <v>477</v>
      </c>
      <c r="B324" s="464"/>
      <c r="C324" s="464"/>
      <c r="D324" s="464"/>
      <c r="E324" s="464"/>
      <c r="F324" s="464"/>
      <c r="G324" s="140"/>
    </row>
    <row r="325" spans="1:7" x14ac:dyDescent="0.25">
      <c r="A325" s="465" t="s">
        <v>478</v>
      </c>
      <c r="B325" s="464"/>
      <c r="C325" s="464"/>
      <c r="D325" s="464"/>
      <c r="E325" s="464"/>
      <c r="F325" s="464"/>
      <c r="G325" s="140"/>
    </row>
    <row r="326" spans="1:7" ht="25.8" customHeight="1" x14ac:dyDescent="0.25">
      <c r="A326" s="516" t="s">
        <v>479</v>
      </c>
      <c r="B326" s="517"/>
      <c r="C326" s="517"/>
      <c r="D326" s="517"/>
      <c r="E326" s="517"/>
      <c r="F326" s="517"/>
      <c r="G326" s="518"/>
    </row>
    <row r="328" spans="1:7" x14ac:dyDescent="0.25">
      <c r="A328" s="3" t="s">
        <v>15</v>
      </c>
      <c r="B328" s="4" t="s">
        <v>118</v>
      </c>
      <c r="C328" s="5" t="s">
        <v>17</v>
      </c>
      <c r="D328" s="2"/>
      <c r="E328" s="2"/>
      <c r="F328" s="2"/>
      <c r="G328" s="2"/>
    </row>
    <row r="329" spans="1:7" x14ac:dyDescent="0.25">
      <c r="A329" s="6" t="s">
        <v>18</v>
      </c>
      <c r="B329" s="433">
        <v>2015</v>
      </c>
      <c r="C329" s="434">
        <v>2016</v>
      </c>
      <c r="D329" s="433">
        <v>2017</v>
      </c>
      <c r="E329" s="435">
        <v>2018</v>
      </c>
      <c r="F329" s="435">
        <v>2019</v>
      </c>
      <c r="G329" s="433">
        <v>2020</v>
      </c>
    </row>
    <row r="330" spans="1:7" x14ac:dyDescent="0.25">
      <c r="A330" s="6" t="s">
        <v>19</v>
      </c>
      <c r="B330" s="437">
        <v>459</v>
      </c>
      <c r="C330" s="438">
        <v>459</v>
      </c>
      <c r="D330" s="437">
        <v>459</v>
      </c>
      <c r="E330" s="439">
        <v>459</v>
      </c>
      <c r="F330" s="439">
        <v>459</v>
      </c>
      <c r="G330" s="437">
        <v>459</v>
      </c>
    </row>
    <row r="331" spans="1:7" x14ac:dyDescent="0.25">
      <c r="A331" s="6" t="s">
        <v>20</v>
      </c>
      <c r="B331" s="437">
        <v>587.9</v>
      </c>
      <c r="C331" s="438">
        <v>535.9</v>
      </c>
      <c r="D331" s="437">
        <v>516.9</v>
      </c>
      <c r="E331" s="439">
        <v>559.9</v>
      </c>
      <c r="F331" s="440">
        <v>550.79999999999995</v>
      </c>
      <c r="G331" s="437">
        <f>1.2*G330</f>
        <v>550.79999999999995</v>
      </c>
    </row>
    <row r="332" spans="1:7" x14ac:dyDescent="0.25">
      <c r="A332" s="6" t="s">
        <v>21</v>
      </c>
      <c r="B332" s="134" t="s">
        <v>119</v>
      </c>
      <c r="C332" s="134" t="s">
        <v>120</v>
      </c>
      <c r="D332" s="134" t="s">
        <v>121</v>
      </c>
      <c r="E332" s="135" t="s">
        <v>122</v>
      </c>
      <c r="F332" s="436" t="s">
        <v>123</v>
      </c>
      <c r="G332" s="7" t="s">
        <v>481</v>
      </c>
    </row>
    <row r="333" spans="1:7" x14ac:dyDescent="0.25">
      <c r="A333" s="6" t="s">
        <v>22</v>
      </c>
      <c r="B333" s="437">
        <v>511</v>
      </c>
      <c r="C333" s="438">
        <v>478</v>
      </c>
      <c r="D333" s="437">
        <v>416</v>
      </c>
      <c r="E333" s="437">
        <v>446</v>
      </c>
      <c r="F333" s="439">
        <v>346</v>
      </c>
      <c r="G333" s="437"/>
    </row>
    <row r="334" spans="1:7" x14ac:dyDescent="0.25">
      <c r="A334" s="6" t="s">
        <v>23</v>
      </c>
      <c r="B334" s="437">
        <v>76.900000000000006</v>
      </c>
      <c r="C334" s="438">
        <v>57.9</v>
      </c>
      <c r="D334" s="437">
        <v>100.9</v>
      </c>
      <c r="E334" s="437">
        <v>113.9</v>
      </c>
      <c r="F334" s="439">
        <f>F331-F333</f>
        <v>204.79999999999995</v>
      </c>
      <c r="G334" s="437"/>
    </row>
    <row r="335" spans="1:7" x14ac:dyDescent="0.25">
      <c r="A335" s="8" t="s">
        <v>24</v>
      </c>
      <c r="B335" s="65">
        <v>2016</v>
      </c>
      <c r="C335" s="66">
        <v>2017</v>
      </c>
      <c r="D335" s="65">
        <v>2018</v>
      </c>
      <c r="E335" s="67">
        <v>2019</v>
      </c>
      <c r="F335" s="67">
        <v>2020</v>
      </c>
      <c r="G335" s="67">
        <v>2021</v>
      </c>
    </row>
    <row r="336" spans="1:7" x14ac:dyDescent="0.25">
      <c r="A336" s="6" t="s">
        <v>25</v>
      </c>
      <c r="B336" s="61"/>
      <c r="C336" s="61"/>
      <c r="D336" s="61"/>
      <c r="E336" s="61"/>
      <c r="F336" s="61"/>
      <c r="G336" s="55"/>
    </row>
    <row r="337" spans="1:7" x14ac:dyDescent="0.25">
      <c r="A337" s="503" t="s">
        <v>124</v>
      </c>
      <c r="B337" s="504"/>
      <c r="C337" s="504"/>
      <c r="D337" s="504"/>
      <c r="E337" s="504"/>
      <c r="F337" s="504"/>
      <c r="G337" s="10"/>
    </row>
    <row r="338" spans="1:7" x14ac:dyDescent="0.25">
      <c r="A338" s="476" t="s">
        <v>125</v>
      </c>
      <c r="B338" s="477"/>
      <c r="C338" s="477"/>
      <c r="D338" s="477"/>
      <c r="E338" s="477"/>
      <c r="F338" s="477"/>
      <c r="G338" s="57"/>
    </row>
    <row r="339" spans="1:7" x14ac:dyDescent="0.25">
      <c r="A339" s="386" t="s">
        <v>482</v>
      </c>
      <c r="B339" s="432"/>
      <c r="C339" s="432"/>
      <c r="D339" s="432"/>
      <c r="E339" s="432"/>
      <c r="F339" s="432"/>
      <c r="G339" s="57"/>
    </row>
    <row r="340" spans="1:7" x14ac:dyDescent="0.25">
      <c r="A340" s="387" t="s">
        <v>483</v>
      </c>
      <c r="B340" s="429"/>
      <c r="C340" s="429"/>
      <c r="D340" s="429"/>
      <c r="E340" s="429"/>
      <c r="F340" s="429"/>
      <c r="G340" s="13"/>
    </row>
    <row r="341" spans="1:7" x14ac:dyDescent="0.25">
      <c r="A341" s="2"/>
      <c r="B341" s="2"/>
      <c r="C341" s="2"/>
      <c r="D341" s="2"/>
      <c r="E341" s="2"/>
      <c r="F341" s="2"/>
    </row>
    <row r="342" spans="1:7" x14ac:dyDescent="0.25">
      <c r="A342" s="3" t="s">
        <v>15</v>
      </c>
      <c r="B342" s="4" t="s">
        <v>126</v>
      </c>
      <c r="C342" s="5" t="s">
        <v>17</v>
      </c>
      <c r="D342" s="2"/>
      <c r="E342" s="2"/>
      <c r="F342" s="2"/>
    </row>
    <row r="343" spans="1:7" x14ac:dyDescent="0.25">
      <c r="A343" s="6" t="s">
        <v>18</v>
      </c>
      <c r="B343" s="433">
        <v>2015</v>
      </c>
      <c r="C343" s="434">
        <v>2016</v>
      </c>
      <c r="D343" s="433">
        <v>2017</v>
      </c>
      <c r="E343" s="435">
        <v>2018</v>
      </c>
      <c r="F343" s="435">
        <v>2019</v>
      </c>
      <c r="G343" s="433">
        <v>2020</v>
      </c>
    </row>
    <row r="344" spans="1:7" x14ac:dyDescent="0.25">
      <c r="A344" s="6" t="s">
        <v>19</v>
      </c>
      <c r="B344" s="113">
        <v>48.76</v>
      </c>
      <c r="C344" s="351">
        <v>58.28</v>
      </c>
      <c r="D344" s="113">
        <v>69.97</v>
      </c>
      <c r="E344" s="353">
        <v>79</v>
      </c>
      <c r="F344" s="353">
        <v>84</v>
      </c>
      <c r="G344" s="113">
        <v>90</v>
      </c>
    </row>
    <row r="345" spans="1:7" x14ac:dyDescent="0.25">
      <c r="A345" s="6" t="s">
        <v>20</v>
      </c>
      <c r="B345" s="113">
        <v>38.76</v>
      </c>
      <c r="C345" s="351">
        <v>48.28</v>
      </c>
      <c r="D345" s="113">
        <v>59.97</v>
      </c>
      <c r="E345" s="353">
        <v>29</v>
      </c>
      <c r="F345" s="353">
        <v>34</v>
      </c>
      <c r="G345" s="113">
        <f>G344-50</f>
        <v>40</v>
      </c>
    </row>
    <row r="346" spans="1:7" x14ac:dyDescent="0.25">
      <c r="A346" s="6" t="s">
        <v>21</v>
      </c>
      <c r="B346" s="62" t="s">
        <v>127</v>
      </c>
      <c r="C346" s="62" t="s">
        <v>128</v>
      </c>
      <c r="D346" s="62" t="s">
        <v>129</v>
      </c>
      <c r="E346" s="63" t="s">
        <v>130</v>
      </c>
      <c r="F346" s="63" t="s">
        <v>131</v>
      </c>
      <c r="G346" s="447" t="s">
        <v>484</v>
      </c>
    </row>
    <row r="347" spans="1:7" x14ac:dyDescent="0.25">
      <c r="A347" s="6" t="s">
        <v>22</v>
      </c>
      <c r="B347" s="113">
        <v>0</v>
      </c>
      <c r="C347" s="351">
        <v>0</v>
      </c>
      <c r="D347" s="113">
        <v>0</v>
      </c>
      <c r="E347" s="113">
        <v>0</v>
      </c>
      <c r="F347" s="353">
        <v>0</v>
      </c>
      <c r="G347" s="113"/>
    </row>
    <row r="348" spans="1:7" x14ac:dyDescent="0.25">
      <c r="A348" s="6" t="s">
        <v>23</v>
      </c>
      <c r="B348" s="113">
        <v>38.76</v>
      </c>
      <c r="C348" s="351">
        <v>48.28</v>
      </c>
      <c r="D348" s="113">
        <v>59.97</v>
      </c>
      <c r="E348" s="113">
        <v>29</v>
      </c>
      <c r="F348" s="353">
        <f>F345-F347</f>
        <v>34</v>
      </c>
      <c r="G348" s="113"/>
    </row>
    <row r="349" spans="1:7" x14ac:dyDescent="0.25">
      <c r="A349" s="8" t="s">
        <v>24</v>
      </c>
      <c r="B349" s="65">
        <v>2017</v>
      </c>
      <c r="C349" s="66">
        <v>2018</v>
      </c>
      <c r="D349" s="65">
        <v>2019</v>
      </c>
      <c r="E349" s="65">
        <v>2020</v>
      </c>
      <c r="F349" s="65">
        <v>2021</v>
      </c>
      <c r="G349" s="65">
        <v>2022</v>
      </c>
    </row>
    <row r="350" spans="1:7" x14ac:dyDescent="0.25">
      <c r="A350" s="6" t="s">
        <v>25</v>
      </c>
      <c r="B350" s="61"/>
      <c r="C350" s="61"/>
      <c r="D350" s="61"/>
      <c r="E350" s="61"/>
      <c r="F350" s="61"/>
      <c r="G350" s="445"/>
    </row>
    <row r="351" spans="1:7" x14ac:dyDescent="0.25">
      <c r="A351" s="56" t="s">
        <v>132</v>
      </c>
      <c r="B351" s="54"/>
      <c r="C351" s="54"/>
      <c r="D351" s="54"/>
      <c r="E351" s="54"/>
      <c r="F351" s="54"/>
      <c r="G351" s="140"/>
    </row>
    <row r="352" spans="1:7" x14ac:dyDescent="0.25">
      <c r="A352" s="11" t="s">
        <v>485</v>
      </c>
      <c r="B352" s="12"/>
      <c r="C352" s="12"/>
      <c r="D352" s="12"/>
      <c r="E352" s="12"/>
      <c r="F352" s="12"/>
      <c r="G352" s="170"/>
    </row>
    <row r="353" spans="1:7" x14ac:dyDescent="0.25">
      <c r="A353" s="64"/>
      <c r="B353" s="12"/>
      <c r="C353" s="54"/>
      <c r="D353" s="54"/>
      <c r="E353" s="54"/>
      <c r="F353" s="54"/>
    </row>
    <row r="354" spans="1:7" x14ac:dyDescent="0.25">
      <c r="A354" s="3" t="s">
        <v>15</v>
      </c>
      <c r="B354" s="4" t="s">
        <v>133</v>
      </c>
      <c r="C354" s="5" t="s">
        <v>17</v>
      </c>
      <c r="D354" s="2"/>
      <c r="E354" s="2"/>
      <c r="F354" s="2"/>
    </row>
    <row r="355" spans="1:7" x14ac:dyDescent="0.25">
      <c r="A355" s="6" t="s">
        <v>18</v>
      </c>
      <c r="B355" s="433">
        <v>2015</v>
      </c>
      <c r="C355" s="434">
        <v>2016</v>
      </c>
      <c r="D355" s="433">
        <v>2017</v>
      </c>
      <c r="E355" s="435">
        <v>2018</v>
      </c>
      <c r="F355" s="435">
        <v>2019</v>
      </c>
      <c r="G355" s="393">
        <v>2020</v>
      </c>
    </row>
    <row r="356" spans="1:7" x14ac:dyDescent="0.25">
      <c r="A356" s="450" t="s">
        <v>19</v>
      </c>
      <c r="B356" s="417">
        <v>15583</v>
      </c>
      <c r="C356" s="461">
        <v>11679</v>
      </c>
      <c r="D356" s="417">
        <v>11679</v>
      </c>
      <c r="E356" s="462">
        <v>11679</v>
      </c>
      <c r="F356" s="462">
        <v>11679</v>
      </c>
      <c r="G356" s="417">
        <v>9226.41</v>
      </c>
    </row>
    <row r="357" spans="1:7" x14ac:dyDescent="0.25">
      <c r="A357" s="450" t="s">
        <v>20</v>
      </c>
      <c r="B357" s="417">
        <v>20187.900000000001</v>
      </c>
      <c r="C357" s="461">
        <v>16353.9</v>
      </c>
      <c r="D357" s="417">
        <f>14016.45</f>
        <v>14016.45</v>
      </c>
      <c r="E357" s="462">
        <v>13653.85</v>
      </c>
      <c r="F357" s="462">
        <v>13653.85</v>
      </c>
      <c r="G357" s="417">
        <f>G356+E356*0.15+223</f>
        <v>11201.26</v>
      </c>
    </row>
    <row r="358" spans="1:7" ht="26.4" x14ac:dyDescent="0.25">
      <c r="A358" s="450" t="s">
        <v>21</v>
      </c>
      <c r="B358" s="453" t="s">
        <v>134</v>
      </c>
      <c r="C358" s="453" t="s">
        <v>135</v>
      </c>
      <c r="D358" s="453" t="s">
        <v>136</v>
      </c>
      <c r="E358" s="454" t="s">
        <v>137</v>
      </c>
      <c r="F358" s="454" t="s">
        <v>137</v>
      </c>
      <c r="G358" s="142"/>
    </row>
    <row r="359" spans="1:7" x14ac:dyDescent="0.25">
      <c r="A359" s="450" t="s">
        <v>22</v>
      </c>
      <c r="B359" s="417">
        <v>16453</v>
      </c>
      <c r="C359" s="461">
        <v>13115</v>
      </c>
      <c r="D359" s="417">
        <v>11845</v>
      </c>
      <c r="E359" s="417">
        <v>11630</v>
      </c>
      <c r="F359" s="462">
        <v>11288</v>
      </c>
      <c r="G359" s="417"/>
    </row>
    <row r="360" spans="1:7" x14ac:dyDescent="0.25">
      <c r="A360" s="450" t="s">
        <v>23</v>
      </c>
      <c r="B360" s="417">
        <v>3734.9</v>
      </c>
      <c r="C360" s="461">
        <v>3238.9</v>
      </c>
      <c r="D360" s="417">
        <v>2171.4499999999998</v>
      </c>
      <c r="E360" s="417">
        <v>2023.85</v>
      </c>
      <c r="F360" s="462">
        <f>F357-F359</f>
        <v>2365.8500000000004</v>
      </c>
      <c r="G360" s="417"/>
    </row>
    <row r="361" spans="1:7" x14ac:dyDescent="0.25">
      <c r="A361" s="456" t="s">
        <v>24</v>
      </c>
      <c r="B361" s="457">
        <v>2017</v>
      </c>
      <c r="C361" s="458">
        <v>2018</v>
      </c>
      <c r="D361" s="457">
        <v>2019</v>
      </c>
      <c r="E361" s="457">
        <v>2020</v>
      </c>
      <c r="F361" s="459">
        <v>2021</v>
      </c>
      <c r="G361" s="457">
        <v>2022</v>
      </c>
    </row>
    <row r="362" spans="1:7" x14ac:dyDescent="0.25">
      <c r="A362" s="450" t="s">
        <v>25</v>
      </c>
      <c r="B362" s="460"/>
      <c r="C362" s="460"/>
      <c r="D362" s="460"/>
      <c r="E362" s="460"/>
      <c r="F362" s="460"/>
      <c r="G362" s="445"/>
    </row>
    <row r="363" spans="1:7" x14ac:dyDescent="0.25">
      <c r="A363" s="469" t="s">
        <v>138</v>
      </c>
      <c r="B363" s="470"/>
      <c r="C363" s="470"/>
      <c r="D363" s="470"/>
      <c r="E363" s="470"/>
      <c r="F363" s="470"/>
      <c r="G363" s="140"/>
    </row>
    <row r="364" spans="1:7" x14ac:dyDescent="0.25">
      <c r="A364" s="468" t="s">
        <v>486</v>
      </c>
      <c r="B364" s="467"/>
      <c r="C364" s="467"/>
      <c r="D364" s="467"/>
      <c r="E364" s="467"/>
      <c r="F364" s="467"/>
      <c r="G364" s="170"/>
    </row>
    <row r="365" spans="1:7" x14ac:dyDescent="0.25">
      <c r="A365" s="2"/>
      <c r="B365" s="2"/>
      <c r="C365" s="2"/>
      <c r="D365" s="2"/>
      <c r="E365" s="2"/>
      <c r="F365" s="2"/>
    </row>
    <row r="366" spans="1:7" x14ac:dyDescent="0.25">
      <c r="A366" s="3" t="s">
        <v>15</v>
      </c>
      <c r="B366" s="4" t="s">
        <v>139</v>
      </c>
      <c r="C366" s="5" t="s">
        <v>17</v>
      </c>
      <c r="D366" s="2"/>
      <c r="E366" s="2"/>
      <c r="F366" s="2"/>
    </row>
    <row r="367" spans="1:7" x14ac:dyDescent="0.25">
      <c r="A367" s="6" t="s">
        <v>18</v>
      </c>
      <c r="B367" s="433">
        <v>2015</v>
      </c>
      <c r="C367" s="434">
        <v>2016</v>
      </c>
      <c r="D367" s="433">
        <v>2017</v>
      </c>
      <c r="E367" s="435">
        <v>2018</v>
      </c>
      <c r="F367" s="435">
        <v>2019</v>
      </c>
      <c r="G367" s="393">
        <v>2020</v>
      </c>
    </row>
    <row r="368" spans="1:7" x14ac:dyDescent="0.25">
      <c r="A368" s="6" t="s">
        <v>19</v>
      </c>
      <c r="B368" s="113">
        <v>150</v>
      </c>
      <c r="C368" s="351">
        <v>150</v>
      </c>
      <c r="D368" s="113">
        <v>150</v>
      </c>
      <c r="E368" s="353">
        <v>150</v>
      </c>
      <c r="F368" s="353">
        <v>150</v>
      </c>
      <c r="G368" s="113">
        <v>126.2</v>
      </c>
    </row>
    <row r="369" spans="1:7" x14ac:dyDescent="0.25">
      <c r="A369" s="6" t="s">
        <v>20</v>
      </c>
      <c r="B369" s="113">
        <v>165</v>
      </c>
      <c r="C369" s="351">
        <v>165</v>
      </c>
      <c r="D369" s="113">
        <v>165</v>
      </c>
      <c r="E369" s="353">
        <v>165</v>
      </c>
      <c r="F369" s="353">
        <v>165</v>
      </c>
      <c r="G369" s="113">
        <f>G368+0.1*E368</f>
        <v>141.19999999999999</v>
      </c>
    </row>
    <row r="370" spans="1:7" x14ac:dyDescent="0.25">
      <c r="A370" s="6" t="s">
        <v>21</v>
      </c>
      <c r="B370" s="62" t="s">
        <v>140</v>
      </c>
      <c r="C370" s="62" t="s">
        <v>140</v>
      </c>
      <c r="D370" s="62" t="s">
        <v>140</v>
      </c>
      <c r="E370" s="63" t="s">
        <v>140</v>
      </c>
      <c r="F370" s="63" t="s">
        <v>140</v>
      </c>
      <c r="G370" s="63" t="s">
        <v>487</v>
      </c>
    </row>
    <row r="371" spans="1:7" x14ac:dyDescent="0.25">
      <c r="A371" s="6" t="s">
        <v>22</v>
      </c>
      <c r="B371" s="113">
        <v>61</v>
      </c>
      <c r="C371" s="351">
        <v>75</v>
      </c>
      <c r="D371" s="113">
        <v>73</v>
      </c>
      <c r="E371" s="113">
        <v>74</v>
      </c>
      <c r="F371" s="353">
        <v>40</v>
      </c>
      <c r="G371" s="113"/>
    </row>
    <row r="372" spans="1:7" x14ac:dyDescent="0.25">
      <c r="A372" s="6" t="s">
        <v>23</v>
      </c>
      <c r="B372" s="113">
        <v>104</v>
      </c>
      <c r="C372" s="351">
        <v>90</v>
      </c>
      <c r="D372" s="113">
        <v>92</v>
      </c>
      <c r="E372" s="113">
        <v>91</v>
      </c>
      <c r="F372" s="353">
        <f>F369-F371</f>
        <v>125</v>
      </c>
      <c r="G372" s="113"/>
    </row>
    <row r="373" spans="1:7" x14ac:dyDescent="0.25">
      <c r="A373" s="8" t="s">
        <v>24</v>
      </c>
      <c r="B373" s="65">
        <v>2017</v>
      </c>
      <c r="C373" s="66">
        <v>2018</v>
      </c>
      <c r="D373" s="65">
        <v>2019</v>
      </c>
      <c r="E373" s="65">
        <v>2020</v>
      </c>
      <c r="F373" s="67">
        <v>2021</v>
      </c>
      <c r="G373" s="65" t="s">
        <v>200</v>
      </c>
    </row>
    <row r="374" spans="1:7" x14ac:dyDescent="0.25">
      <c r="A374" s="6" t="s">
        <v>25</v>
      </c>
      <c r="B374" s="61"/>
      <c r="C374" s="61"/>
      <c r="D374" s="61"/>
      <c r="E374" s="61"/>
      <c r="F374" s="61"/>
      <c r="G374" s="55"/>
    </row>
    <row r="375" spans="1:7" x14ac:dyDescent="0.25">
      <c r="A375" s="493" t="s">
        <v>141</v>
      </c>
      <c r="B375" s="494"/>
      <c r="C375" s="494"/>
      <c r="D375" s="494"/>
      <c r="E375" s="494"/>
      <c r="F375" s="494"/>
      <c r="G375" s="57"/>
    </row>
    <row r="376" spans="1:7" x14ac:dyDescent="0.25">
      <c r="A376" s="446" t="s">
        <v>488</v>
      </c>
      <c r="B376" s="430"/>
      <c r="C376" s="430"/>
      <c r="D376" s="430"/>
      <c r="E376" s="430"/>
      <c r="F376" s="430"/>
      <c r="G376" s="13"/>
    </row>
    <row r="378" spans="1:7" x14ac:dyDescent="0.25">
      <c r="A378" s="3" t="s">
        <v>15</v>
      </c>
      <c r="B378" s="4" t="s">
        <v>142</v>
      </c>
      <c r="C378" s="5" t="s">
        <v>17</v>
      </c>
      <c r="D378" s="2"/>
      <c r="E378" s="2"/>
      <c r="F378" s="2"/>
    </row>
    <row r="379" spans="1:7" x14ac:dyDescent="0.25">
      <c r="A379" s="6" t="s">
        <v>18</v>
      </c>
      <c r="B379" s="433">
        <v>2015</v>
      </c>
      <c r="C379" s="434">
        <v>2016</v>
      </c>
      <c r="D379" s="433">
        <v>2017</v>
      </c>
      <c r="E379" s="435">
        <v>2018</v>
      </c>
      <c r="F379" s="435">
        <v>2019</v>
      </c>
      <c r="G379" s="393">
        <v>2020</v>
      </c>
    </row>
    <row r="380" spans="1:7" x14ac:dyDescent="0.25">
      <c r="A380" s="6" t="s">
        <v>19</v>
      </c>
      <c r="B380" s="113">
        <v>50</v>
      </c>
      <c r="C380" s="351">
        <v>50</v>
      </c>
      <c r="D380" s="113">
        <v>50</v>
      </c>
      <c r="E380" s="353">
        <v>50</v>
      </c>
      <c r="F380" s="353">
        <v>50</v>
      </c>
      <c r="G380" s="113">
        <v>50</v>
      </c>
    </row>
    <row r="381" spans="1:7" x14ac:dyDescent="0.25">
      <c r="A381" s="6" t="s">
        <v>20</v>
      </c>
      <c r="B381" s="113">
        <v>55</v>
      </c>
      <c r="C381" s="351">
        <v>55</v>
      </c>
      <c r="D381" s="113">
        <v>55</v>
      </c>
      <c r="E381" s="353">
        <v>55</v>
      </c>
      <c r="F381" s="353">
        <v>55</v>
      </c>
      <c r="G381" s="113">
        <f>G380*1.1</f>
        <v>55.000000000000007</v>
      </c>
    </row>
    <row r="382" spans="1:7" x14ac:dyDescent="0.25">
      <c r="A382" s="6" t="s">
        <v>21</v>
      </c>
      <c r="B382" s="62" t="s">
        <v>143</v>
      </c>
      <c r="C382" s="62" t="s">
        <v>143</v>
      </c>
      <c r="D382" s="62" t="s">
        <v>143</v>
      </c>
      <c r="E382" s="63" t="s">
        <v>143</v>
      </c>
      <c r="F382" s="63" t="s">
        <v>143</v>
      </c>
      <c r="G382" s="63" t="s">
        <v>143</v>
      </c>
    </row>
    <row r="383" spans="1:7" x14ac:dyDescent="0.25">
      <c r="A383" s="6" t="s">
        <v>22</v>
      </c>
      <c r="B383" s="113">
        <v>12</v>
      </c>
      <c r="C383" s="351">
        <v>11</v>
      </c>
      <c r="D383" s="113">
        <v>7</v>
      </c>
      <c r="E383" s="74">
        <v>9</v>
      </c>
      <c r="F383" s="353">
        <v>3</v>
      </c>
      <c r="G383" s="113"/>
    </row>
    <row r="384" spans="1:7" x14ac:dyDescent="0.25">
      <c r="A384" s="6" t="s">
        <v>23</v>
      </c>
      <c r="B384" s="113">
        <v>43</v>
      </c>
      <c r="C384" s="351">
        <v>44</v>
      </c>
      <c r="D384" s="113">
        <v>48</v>
      </c>
      <c r="E384" s="74">
        <v>46</v>
      </c>
      <c r="F384" s="353">
        <f>F381-F383</f>
        <v>52</v>
      </c>
      <c r="G384" s="113"/>
    </row>
    <row r="385" spans="1:8" x14ac:dyDescent="0.25">
      <c r="A385" s="8" t="s">
        <v>24</v>
      </c>
      <c r="B385" s="65">
        <v>2017</v>
      </c>
      <c r="C385" s="66">
        <v>2018</v>
      </c>
      <c r="D385" s="65">
        <v>2019</v>
      </c>
      <c r="E385" s="65">
        <v>2020</v>
      </c>
      <c r="F385" s="67">
        <v>2021</v>
      </c>
      <c r="G385" s="65" t="s">
        <v>200</v>
      </c>
    </row>
    <row r="386" spans="1:8" s="138" customFormat="1" x14ac:dyDescent="0.25">
      <c r="A386" s="6" t="s">
        <v>25</v>
      </c>
      <c r="B386" s="61"/>
      <c r="C386" s="61"/>
      <c r="D386" s="61"/>
      <c r="E386" s="61"/>
      <c r="F386" s="61"/>
      <c r="G386" s="445"/>
    </row>
    <row r="387" spans="1:8" s="138" customFormat="1" x14ac:dyDescent="0.25">
      <c r="A387" s="493" t="s">
        <v>144</v>
      </c>
      <c r="B387" s="494"/>
      <c r="C387" s="494"/>
      <c r="D387" s="494"/>
      <c r="E387" s="494"/>
      <c r="F387" s="494"/>
      <c r="G387" s="140"/>
    </row>
    <row r="388" spans="1:8" s="138" customFormat="1" x14ac:dyDescent="0.25">
      <c r="A388" s="446" t="s">
        <v>489</v>
      </c>
      <c r="B388" s="431"/>
      <c r="C388" s="431"/>
      <c r="D388" s="431"/>
      <c r="E388" s="431"/>
      <c r="F388" s="431"/>
      <c r="G388" s="170"/>
    </row>
    <row r="391" spans="1:8" x14ac:dyDescent="0.25">
      <c r="A391" s="1" t="s">
        <v>13</v>
      </c>
      <c r="B391" s="68" t="s">
        <v>315</v>
      </c>
      <c r="C391" s="226"/>
    </row>
    <row r="392" spans="1:8" x14ac:dyDescent="0.25">
      <c r="A392" s="294" t="s">
        <v>15</v>
      </c>
      <c r="B392" s="94" t="s">
        <v>262</v>
      </c>
      <c r="C392" s="93" t="s">
        <v>188</v>
      </c>
      <c r="D392" s="83"/>
      <c r="E392" s="83"/>
      <c r="F392" s="83"/>
      <c r="G392" s="83"/>
    </row>
    <row r="393" spans="1:8" x14ac:dyDescent="0.25">
      <c r="A393" s="87" t="s">
        <v>18</v>
      </c>
      <c r="B393" s="88"/>
      <c r="C393" s="471">
        <v>2015</v>
      </c>
      <c r="D393" s="471">
        <v>2016</v>
      </c>
      <c r="E393" s="471" t="s">
        <v>310</v>
      </c>
      <c r="F393" s="471" t="s">
        <v>311</v>
      </c>
      <c r="G393" s="471" t="s">
        <v>312</v>
      </c>
      <c r="H393" s="471" t="s">
        <v>386</v>
      </c>
    </row>
    <row r="394" spans="1:8" x14ac:dyDescent="0.25">
      <c r="A394" s="87" t="s">
        <v>19</v>
      </c>
      <c r="B394" s="88"/>
      <c r="C394" s="157">
        <v>50</v>
      </c>
      <c r="D394" s="157">
        <v>50</v>
      </c>
      <c r="E394" s="157">
        <v>50</v>
      </c>
      <c r="F394" s="296">
        <v>50</v>
      </c>
      <c r="G394" s="296">
        <v>50</v>
      </c>
      <c r="H394" s="296">
        <v>50</v>
      </c>
    </row>
    <row r="395" spans="1:8" x14ac:dyDescent="0.25">
      <c r="A395" s="87" t="s">
        <v>20</v>
      </c>
      <c r="B395" s="153"/>
      <c r="C395" s="157">
        <v>75</v>
      </c>
      <c r="D395" s="157">
        <v>75</v>
      </c>
      <c r="E395" s="157">
        <v>75</v>
      </c>
      <c r="F395" s="296">
        <v>70</v>
      </c>
      <c r="G395" s="296">
        <v>70</v>
      </c>
      <c r="H395" s="296">
        <f>H394+F398</f>
        <v>62.6</v>
      </c>
    </row>
    <row r="396" spans="1:8" ht="39.6" x14ac:dyDescent="0.25">
      <c r="A396" s="87" t="s">
        <v>21</v>
      </c>
      <c r="B396" s="154"/>
      <c r="C396" s="155" t="s">
        <v>177</v>
      </c>
      <c r="D396" s="155" t="s">
        <v>177</v>
      </c>
      <c r="E396" s="155" t="s">
        <v>177</v>
      </c>
      <c r="F396" s="95" t="s">
        <v>313</v>
      </c>
      <c r="G396" s="95" t="s">
        <v>313</v>
      </c>
      <c r="H396" s="299" t="s">
        <v>454</v>
      </c>
    </row>
    <row r="397" spans="1:8" x14ac:dyDescent="0.25">
      <c r="A397" s="87" t="s">
        <v>22</v>
      </c>
      <c r="B397" s="88"/>
      <c r="C397" s="157">
        <v>0</v>
      </c>
      <c r="D397" s="157">
        <v>27.449000000000002</v>
      </c>
      <c r="E397" s="157">
        <v>21.13</v>
      </c>
      <c r="F397" s="296">
        <v>57.4</v>
      </c>
      <c r="G397" s="296">
        <v>21.8</v>
      </c>
      <c r="H397" s="296"/>
    </row>
    <row r="398" spans="1:8" x14ac:dyDescent="0.25">
      <c r="A398" s="87" t="s">
        <v>23</v>
      </c>
      <c r="B398" s="88"/>
      <c r="C398" s="157">
        <v>75</v>
      </c>
      <c r="D398" s="157">
        <f>D395-D397</f>
        <v>47.551000000000002</v>
      </c>
      <c r="E398" s="157">
        <f>E395-E397</f>
        <v>53.870000000000005</v>
      </c>
      <c r="F398" s="296">
        <f>F395-F397</f>
        <v>12.600000000000001</v>
      </c>
      <c r="G398" s="296">
        <f>G395-G397</f>
        <v>48.2</v>
      </c>
      <c r="H398" s="296"/>
    </row>
    <row r="399" spans="1:8" x14ac:dyDescent="0.25">
      <c r="A399" s="87" t="s">
        <v>24</v>
      </c>
      <c r="B399" s="88"/>
      <c r="C399" s="471">
        <v>2017</v>
      </c>
      <c r="D399" s="471">
        <v>2018</v>
      </c>
      <c r="E399" s="471">
        <v>2019</v>
      </c>
      <c r="F399" s="581">
        <v>2020</v>
      </c>
      <c r="G399" s="581">
        <v>2021</v>
      </c>
      <c r="H399" s="581">
        <v>2022</v>
      </c>
    </row>
    <row r="400" spans="1:8" ht="39.6" customHeight="1" x14ac:dyDescent="0.25">
      <c r="A400" s="486" t="s">
        <v>314</v>
      </c>
      <c r="B400" s="487"/>
      <c r="C400" s="487"/>
      <c r="D400" s="487"/>
      <c r="E400" s="487"/>
      <c r="F400" s="487"/>
      <c r="G400" s="487"/>
      <c r="H400" s="488"/>
    </row>
    <row r="401" spans="1:8" x14ac:dyDescent="0.25">
      <c r="A401" s="200"/>
      <c r="B401" s="200"/>
      <c r="C401" s="200"/>
      <c r="D401" s="200"/>
      <c r="E401" s="200"/>
      <c r="F401" s="200"/>
      <c r="G401" s="200"/>
    </row>
    <row r="402" spans="1:8" x14ac:dyDescent="0.25">
      <c r="A402" s="401" t="s">
        <v>15</v>
      </c>
      <c r="B402" s="400" t="s">
        <v>270</v>
      </c>
      <c r="C402" s="402" t="s">
        <v>188</v>
      </c>
      <c r="D402" s="403"/>
      <c r="E402" s="403"/>
      <c r="F402" s="403"/>
      <c r="G402" s="403"/>
      <c r="H402" s="114"/>
    </row>
    <row r="403" spans="1:8" x14ac:dyDescent="0.25">
      <c r="A403" s="404" t="s">
        <v>18</v>
      </c>
      <c r="B403" s="367"/>
      <c r="C403" s="582">
        <v>2015</v>
      </c>
      <c r="D403" s="582">
        <v>2016</v>
      </c>
      <c r="E403" s="582" t="s">
        <v>310</v>
      </c>
      <c r="F403" s="582" t="s">
        <v>311</v>
      </c>
      <c r="G403" s="582" t="s">
        <v>312</v>
      </c>
      <c r="H403" s="582" t="s">
        <v>386</v>
      </c>
    </row>
    <row r="404" spans="1:8" x14ac:dyDescent="0.25">
      <c r="A404" s="404" t="s">
        <v>19</v>
      </c>
      <c r="B404" s="367"/>
      <c r="C404" s="405">
        <v>125</v>
      </c>
      <c r="D404" s="405">
        <v>125</v>
      </c>
      <c r="E404" s="405">
        <v>125</v>
      </c>
      <c r="F404" s="405">
        <v>125</v>
      </c>
      <c r="G404" s="405">
        <v>125</v>
      </c>
      <c r="H404" s="405">
        <v>125</v>
      </c>
    </row>
    <row r="405" spans="1:8" x14ac:dyDescent="0.25">
      <c r="A405" s="404" t="s">
        <v>20</v>
      </c>
      <c r="B405" s="406"/>
      <c r="C405" s="405">
        <f>C404*1.3</f>
        <v>162.5</v>
      </c>
      <c r="D405" s="405">
        <f>D404*1.3+25</f>
        <v>187.5</v>
      </c>
      <c r="E405" s="405">
        <f t="shared" ref="E405" si="8">E404*1.3+25</f>
        <v>187.5</v>
      </c>
      <c r="F405" s="405">
        <f>F404*1.2+25</f>
        <v>175</v>
      </c>
      <c r="G405" s="405">
        <f t="shared" ref="G405:H405" si="9">G404*1.2+25</f>
        <v>175</v>
      </c>
      <c r="H405" s="405">
        <f t="shared" si="9"/>
        <v>175</v>
      </c>
    </row>
    <row r="406" spans="1:8" ht="26.4" x14ac:dyDescent="0.25">
      <c r="A406" s="404" t="s">
        <v>21</v>
      </c>
      <c r="B406" s="407"/>
      <c r="C406" s="408" t="s">
        <v>458</v>
      </c>
      <c r="D406" s="408" t="s">
        <v>459</v>
      </c>
      <c r="E406" s="408" t="s">
        <v>459</v>
      </c>
      <c r="F406" s="408" t="s">
        <v>460</v>
      </c>
      <c r="G406" s="408" t="s">
        <v>460</v>
      </c>
      <c r="H406" s="408" t="s">
        <v>460</v>
      </c>
    </row>
    <row r="407" spans="1:8" x14ac:dyDescent="0.25">
      <c r="A407" s="404" t="s">
        <v>22</v>
      </c>
      <c r="B407" s="367"/>
      <c r="C407" s="405">
        <v>41.9</v>
      </c>
      <c r="D407" s="405">
        <v>25.21</v>
      </c>
      <c r="E407" s="405">
        <v>16.8</v>
      </c>
      <c r="F407" s="395">
        <v>46.8</v>
      </c>
      <c r="G407" s="395">
        <v>101.46</v>
      </c>
      <c r="H407" s="395"/>
    </row>
    <row r="408" spans="1:8" x14ac:dyDescent="0.25">
      <c r="A408" s="404" t="s">
        <v>23</v>
      </c>
      <c r="B408" s="367"/>
      <c r="C408" s="405">
        <f>C405-C407</f>
        <v>120.6</v>
      </c>
      <c r="D408" s="405">
        <f t="shared" ref="D408:G408" si="10">D405-D407</f>
        <v>162.29</v>
      </c>
      <c r="E408" s="405">
        <f t="shared" si="10"/>
        <v>170.7</v>
      </c>
      <c r="F408" s="405">
        <f t="shared" si="10"/>
        <v>128.19999999999999</v>
      </c>
      <c r="G408" s="405">
        <f t="shared" si="10"/>
        <v>73.540000000000006</v>
      </c>
      <c r="H408" s="395"/>
    </row>
    <row r="409" spans="1:8" x14ac:dyDescent="0.25">
      <c r="A409" s="409" t="s">
        <v>24</v>
      </c>
      <c r="B409" s="410"/>
      <c r="C409" s="583">
        <v>2017</v>
      </c>
      <c r="D409" s="583">
        <v>2018</v>
      </c>
      <c r="E409" s="583">
        <v>2019</v>
      </c>
      <c r="F409" s="584">
        <v>2020</v>
      </c>
      <c r="G409" s="584">
        <v>2021</v>
      </c>
      <c r="H409" s="584">
        <v>2022</v>
      </c>
    </row>
    <row r="410" spans="1:8" x14ac:dyDescent="0.25">
      <c r="A410" s="496" t="s">
        <v>456</v>
      </c>
      <c r="B410" s="497"/>
      <c r="C410" s="497"/>
      <c r="D410" s="497"/>
      <c r="E410" s="497"/>
      <c r="F410" s="497"/>
      <c r="G410" s="497"/>
      <c r="H410" s="498"/>
    </row>
    <row r="411" spans="1:8" x14ac:dyDescent="0.25">
      <c r="A411" s="413" t="s">
        <v>457</v>
      </c>
      <c r="B411" s="414"/>
      <c r="C411" s="414"/>
      <c r="D411" s="414"/>
      <c r="E411" s="414"/>
      <c r="F411" s="414"/>
      <c r="G411" s="414"/>
      <c r="H411" s="415"/>
    </row>
    <row r="412" spans="1:8" ht="13.2" customHeight="1" x14ac:dyDescent="0.25">
      <c r="A412" s="413" t="s">
        <v>455</v>
      </c>
      <c r="B412" s="414"/>
      <c r="C412" s="414"/>
      <c r="D412" s="414"/>
      <c r="E412" s="414"/>
      <c r="F412" s="414"/>
      <c r="G412" s="414"/>
      <c r="H412" s="415"/>
    </row>
    <row r="413" spans="1:8" x14ac:dyDescent="0.25">
      <c r="A413" s="411"/>
      <c r="B413" s="412"/>
      <c r="C413" s="412"/>
      <c r="D413" s="412"/>
      <c r="E413" s="412"/>
      <c r="F413" s="412"/>
      <c r="G413" s="412"/>
      <c r="H413" s="170"/>
    </row>
    <row r="414" spans="1:8" x14ac:dyDescent="0.25">
      <c r="A414" s="200"/>
      <c r="B414" s="200"/>
      <c r="C414" s="200"/>
      <c r="D414" s="200"/>
      <c r="E414" s="200"/>
      <c r="F414" s="200"/>
      <c r="G414" s="200"/>
    </row>
    <row r="415" spans="1:8" x14ac:dyDescent="0.25">
      <c r="A415" s="200"/>
      <c r="B415" s="200"/>
      <c r="C415" s="200"/>
      <c r="D415" s="200"/>
      <c r="E415" s="200"/>
      <c r="F415" s="200"/>
      <c r="G415" s="200"/>
    </row>
    <row r="416" spans="1:8" x14ac:dyDescent="0.25">
      <c r="A416" s="1" t="s">
        <v>13</v>
      </c>
      <c r="B416" s="68" t="s">
        <v>339</v>
      </c>
      <c r="C416" s="226"/>
    </row>
    <row r="417" spans="1:9" x14ac:dyDescent="0.25">
      <c r="A417" s="203" t="s">
        <v>15</v>
      </c>
      <c r="B417" s="37" t="s">
        <v>83</v>
      </c>
      <c r="C417" s="180" t="s">
        <v>188</v>
      </c>
      <c r="D417" s="204"/>
      <c r="E417" s="204"/>
      <c r="F417" s="204"/>
      <c r="G417" s="204"/>
    </row>
    <row r="418" spans="1:9" x14ac:dyDescent="0.25">
      <c r="A418" s="182" t="s">
        <v>18</v>
      </c>
      <c r="B418" s="37"/>
      <c r="C418" s="37"/>
      <c r="D418" s="37"/>
      <c r="E418" s="37"/>
      <c r="F418" s="585" t="s">
        <v>311</v>
      </c>
      <c r="G418" s="585" t="s">
        <v>312</v>
      </c>
    </row>
    <row r="419" spans="1:9" x14ac:dyDescent="0.25">
      <c r="A419" s="182" t="s">
        <v>19</v>
      </c>
      <c r="B419" s="37"/>
      <c r="C419" s="37"/>
      <c r="D419" s="37"/>
      <c r="E419" s="37"/>
      <c r="F419" s="37" t="s">
        <v>61</v>
      </c>
      <c r="G419" s="37" t="s">
        <v>61</v>
      </c>
    </row>
    <row r="420" spans="1:9" x14ac:dyDescent="0.25">
      <c r="A420" s="182" t="s">
        <v>20</v>
      </c>
      <c r="B420" s="201"/>
      <c r="C420" s="37"/>
      <c r="D420" s="37"/>
      <c r="E420" s="37"/>
      <c r="F420" s="37" t="s">
        <v>61</v>
      </c>
      <c r="G420" s="37" t="s">
        <v>61</v>
      </c>
    </row>
    <row r="421" spans="1:9" x14ac:dyDescent="0.25">
      <c r="A421" s="182" t="s">
        <v>21</v>
      </c>
      <c r="B421" s="202"/>
      <c r="C421" s="205"/>
      <c r="D421" s="205"/>
      <c r="E421" s="205"/>
      <c r="F421" s="206"/>
      <c r="G421" s="206"/>
    </row>
    <row r="422" spans="1:9" x14ac:dyDescent="0.25">
      <c r="A422" s="182" t="s">
        <v>22</v>
      </c>
      <c r="B422" s="37"/>
      <c r="C422" s="37"/>
      <c r="D422" s="37"/>
      <c r="E422" s="207"/>
      <c r="F422" s="37">
        <v>2634</v>
      </c>
      <c r="G422" s="37">
        <v>2452</v>
      </c>
    </row>
    <row r="423" spans="1:9" x14ac:dyDescent="0.25">
      <c r="A423" s="182" t="s">
        <v>23</v>
      </c>
      <c r="B423" s="37"/>
      <c r="C423" s="37"/>
      <c r="D423" s="37"/>
      <c r="E423" s="37"/>
      <c r="F423" s="37" t="s">
        <v>61</v>
      </c>
      <c r="G423" s="37" t="s">
        <v>61</v>
      </c>
    </row>
    <row r="424" spans="1:9" x14ac:dyDescent="0.25">
      <c r="A424" s="182" t="s">
        <v>24</v>
      </c>
      <c r="B424" s="37"/>
      <c r="C424" s="37"/>
      <c r="D424" s="37"/>
      <c r="E424" s="37"/>
      <c r="F424" s="37"/>
      <c r="G424" s="37"/>
    </row>
    <row r="425" spans="1:9" ht="37.799999999999997" customHeight="1" x14ac:dyDescent="0.25">
      <c r="A425" s="486" t="s">
        <v>340</v>
      </c>
      <c r="B425" s="487"/>
      <c r="C425" s="487"/>
      <c r="D425" s="487"/>
      <c r="E425" s="487"/>
      <c r="F425" s="487"/>
      <c r="G425" s="488"/>
    </row>
    <row r="427" spans="1:9" ht="13.2" customHeight="1" x14ac:dyDescent="0.25"/>
    <row r="428" spans="1:9" x14ac:dyDescent="0.25">
      <c r="A428" s="1" t="s">
        <v>13</v>
      </c>
      <c r="B428" s="68" t="s">
        <v>51</v>
      </c>
      <c r="C428" s="226"/>
      <c r="D428" s="2"/>
      <c r="E428" s="2"/>
      <c r="F428" s="2"/>
      <c r="G428" s="2"/>
      <c r="H428" s="2"/>
    </row>
    <row r="429" spans="1:9" x14ac:dyDescent="0.25">
      <c r="A429" s="3" t="s">
        <v>15</v>
      </c>
      <c r="B429" s="69" t="s">
        <v>52</v>
      </c>
      <c r="C429" s="5" t="s">
        <v>17</v>
      </c>
      <c r="D429" s="2"/>
      <c r="E429" s="2"/>
      <c r="F429" s="2"/>
      <c r="G429" s="2"/>
      <c r="H429" s="2"/>
    </row>
    <row r="430" spans="1:9" x14ac:dyDescent="0.25">
      <c r="A430" s="6" t="s">
        <v>18</v>
      </c>
      <c r="B430" s="69">
        <v>2014</v>
      </c>
      <c r="C430" s="69">
        <v>2015</v>
      </c>
      <c r="D430" s="69">
        <v>2016</v>
      </c>
      <c r="E430" s="69">
        <v>2017</v>
      </c>
      <c r="F430" s="69">
        <v>2018</v>
      </c>
      <c r="G430" s="69">
        <v>2019</v>
      </c>
      <c r="H430" s="69">
        <v>2020</v>
      </c>
      <c r="I430" s="69">
        <v>2021</v>
      </c>
    </row>
    <row r="431" spans="1:9" x14ac:dyDescent="0.25">
      <c r="A431" s="6" t="s">
        <v>19</v>
      </c>
      <c r="B431" s="71">
        <v>21551.3</v>
      </c>
      <c r="C431" s="71">
        <v>21551.3</v>
      </c>
      <c r="D431" s="71">
        <v>21551.3</v>
      </c>
      <c r="E431" s="71">
        <v>21551.3</v>
      </c>
      <c r="F431" s="71">
        <v>25861.599999999999</v>
      </c>
      <c r="G431" s="71">
        <v>25861.599999999999</v>
      </c>
      <c r="H431" s="71">
        <v>25861.599999999999</v>
      </c>
      <c r="I431" s="142" t="s">
        <v>84</v>
      </c>
    </row>
    <row r="432" spans="1:9" x14ac:dyDescent="0.25">
      <c r="A432" s="6" t="s">
        <v>20</v>
      </c>
      <c r="B432" s="71">
        <v>26534.959999999999</v>
      </c>
      <c r="C432" s="71">
        <v>26939.13</v>
      </c>
      <c r="D432" s="71">
        <v>24541.7</v>
      </c>
      <c r="E432" s="71">
        <v>26939.125</v>
      </c>
      <c r="F432" s="71">
        <v>26094.649999999998</v>
      </c>
      <c r="G432" s="71">
        <v>29536.849000000002</v>
      </c>
      <c r="H432" s="71">
        <v>26869.420999999995</v>
      </c>
      <c r="I432" s="142"/>
    </row>
    <row r="433" spans="1:9" ht="39.6" x14ac:dyDescent="0.25">
      <c r="A433" s="6" t="s">
        <v>21</v>
      </c>
      <c r="B433" s="72" t="s">
        <v>53</v>
      </c>
      <c r="C433" s="72" t="s">
        <v>54</v>
      </c>
      <c r="D433" s="72" t="s">
        <v>55</v>
      </c>
      <c r="E433" s="73" t="s">
        <v>56</v>
      </c>
      <c r="F433" s="73" t="s">
        <v>57</v>
      </c>
      <c r="G433" s="73" t="s">
        <v>58</v>
      </c>
      <c r="H433" s="73" t="s">
        <v>59</v>
      </c>
      <c r="I433" s="216" t="s">
        <v>347</v>
      </c>
    </row>
    <row r="434" spans="1:9" ht="12.6" customHeight="1" x14ac:dyDescent="0.25">
      <c r="A434" s="6" t="s">
        <v>22</v>
      </c>
      <c r="B434" s="74">
        <v>23544.560000000001</v>
      </c>
      <c r="C434" s="74">
        <v>20891.8</v>
      </c>
      <c r="D434" s="74">
        <v>24308.65</v>
      </c>
      <c r="E434" s="74">
        <v>23263.875999999997</v>
      </c>
      <c r="F434" s="74">
        <v>25086.829000000002</v>
      </c>
      <c r="G434" s="143">
        <v>30076.887999999999</v>
      </c>
      <c r="H434" s="143"/>
      <c r="I434" s="161"/>
    </row>
    <row r="435" spans="1:9" x14ac:dyDescent="0.25">
      <c r="A435" s="6" t="s">
        <v>23</v>
      </c>
      <c r="B435" s="74">
        <v>2990.4</v>
      </c>
      <c r="C435" s="74">
        <v>6047.33</v>
      </c>
      <c r="D435" s="74">
        <v>233.04999999999927</v>
      </c>
      <c r="E435" s="74">
        <v>3675.2490000000034</v>
      </c>
      <c r="F435" s="74">
        <v>1007.8209999999963</v>
      </c>
      <c r="G435" s="143">
        <f>G432-G434</f>
        <v>-540.03899999999703</v>
      </c>
      <c r="H435" s="141"/>
      <c r="I435" s="142"/>
    </row>
    <row r="436" spans="1:9" x14ac:dyDescent="0.25">
      <c r="A436" s="6" t="s">
        <v>24</v>
      </c>
      <c r="B436" s="69">
        <v>2016</v>
      </c>
      <c r="C436" s="69">
        <v>2017</v>
      </c>
      <c r="D436" s="69">
        <v>2018</v>
      </c>
      <c r="E436" s="69">
        <v>2019</v>
      </c>
      <c r="F436" s="69">
        <v>2020</v>
      </c>
      <c r="G436" s="69">
        <v>2021</v>
      </c>
      <c r="H436" s="69">
        <v>2022</v>
      </c>
      <c r="I436" s="393">
        <v>2023</v>
      </c>
    </row>
    <row r="437" spans="1:9" ht="61.8" customHeight="1" x14ac:dyDescent="0.25">
      <c r="A437" s="508" t="s">
        <v>348</v>
      </c>
      <c r="B437" s="509"/>
      <c r="C437" s="509"/>
      <c r="D437" s="509"/>
      <c r="E437" s="509"/>
      <c r="F437" s="509"/>
      <c r="G437" s="509"/>
      <c r="H437" s="509"/>
      <c r="I437" s="510"/>
    </row>
    <row r="439" spans="1:9" x14ac:dyDescent="0.25">
      <c r="A439" s="3" t="s">
        <v>15</v>
      </c>
      <c r="B439" s="69" t="s">
        <v>60</v>
      </c>
      <c r="C439" s="5" t="s">
        <v>17</v>
      </c>
      <c r="D439" s="2"/>
      <c r="E439" s="2"/>
      <c r="F439" s="2"/>
      <c r="G439" s="2"/>
      <c r="H439" s="2"/>
    </row>
    <row r="440" spans="1:9" x14ac:dyDescent="0.25">
      <c r="A440" s="6" t="s">
        <v>18</v>
      </c>
      <c r="B440" s="69">
        <v>2014</v>
      </c>
      <c r="C440" s="69">
        <v>2015</v>
      </c>
      <c r="D440" s="69">
        <v>2016</v>
      </c>
      <c r="E440" s="69">
        <v>2017</v>
      </c>
      <c r="F440" s="69">
        <v>2018</v>
      </c>
      <c r="G440" s="69">
        <v>2019</v>
      </c>
      <c r="H440" s="69">
        <v>2020</v>
      </c>
      <c r="I440" s="393">
        <v>2021</v>
      </c>
    </row>
    <row r="441" spans="1:9" x14ac:dyDescent="0.25">
      <c r="A441" s="6" t="s">
        <v>19</v>
      </c>
      <c r="B441" s="71">
        <v>1470</v>
      </c>
      <c r="C441" s="71">
        <v>1470</v>
      </c>
      <c r="D441" s="71">
        <v>1470</v>
      </c>
      <c r="E441" s="71">
        <v>1470</v>
      </c>
      <c r="F441" s="71">
        <v>1470</v>
      </c>
      <c r="G441" s="71">
        <v>1470</v>
      </c>
      <c r="H441" s="71">
        <v>1470</v>
      </c>
      <c r="I441" s="142">
        <v>1470</v>
      </c>
    </row>
    <row r="442" spans="1:9" x14ac:dyDescent="0.25">
      <c r="A442" s="6" t="s">
        <v>20</v>
      </c>
      <c r="B442" s="71">
        <v>1470</v>
      </c>
      <c r="C442" s="71">
        <v>1719</v>
      </c>
      <c r="D442" s="71">
        <v>1837.5</v>
      </c>
      <c r="E442" s="71">
        <v>1837.5</v>
      </c>
      <c r="F442" s="71">
        <v>1837.5</v>
      </c>
      <c r="G442" s="71">
        <v>1837.5</v>
      </c>
      <c r="H442" s="75">
        <v>1837.5</v>
      </c>
      <c r="I442" s="75">
        <f>+I441+G441*0.25</f>
        <v>1837.5</v>
      </c>
    </row>
    <row r="443" spans="1:9" ht="39.6" x14ac:dyDescent="0.25">
      <c r="A443" s="6" t="s">
        <v>21</v>
      </c>
      <c r="B443" s="72" t="s">
        <v>61</v>
      </c>
      <c r="C443" s="72" t="s">
        <v>62</v>
      </c>
      <c r="D443" s="72" t="s">
        <v>63</v>
      </c>
      <c r="E443" s="73" t="s">
        <v>56</v>
      </c>
      <c r="F443" s="73" t="s">
        <v>64</v>
      </c>
      <c r="G443" s="73" t="s">
        <v>65</v>
      </c>
      <c r="H443" s="73" t="s">
        <v>66</v>
      </c>
      <c r="I443" s="216" t="s">
        <v>350</v>
      </c>
    </row>
    <row r="444" spans="1:9" x14ac:dyDescent="0.25">
      <c r="A444" s="6" t="s">
        <v>22</v>
      </c>
      <c r="B444" s="74">
        <v>335.36</v>
      </c>
      <c r="C444" s="74">
        <v>472.71</v>
      </c>
      <c r="D444" s="74">
        <v>54.77</v>
      </c>
      <c r="E444" s="74">
        <v>178.2</v>
      </c>
      <c r="F444" s="74">
        <v>102.81099999999999</v>
      </c>
      <c r="G444" s="219">
        <v>81.733813276999982</v>
      </c>
      <c r="H444" s="143"/>
      <c r="I444" s="161"/>
    </row>
    <row r="445" spans="1:9" x14ac:dyDescent="0.25">
      <c r="A445" s="6" t="s">
        <v>23</v>
      </c>
      <c r="B445" s="74">
        <v>1135</v>
      </c>
      <c r="C445" s="74">
        <v>1246.29</v>
      </c>
      <c r="D445" s="74">
        <v>1782.73</v>
      </c>
      <c r="E445" s="74">
        <v>1659.3</v>
      </c>
      <c r="F445" s="74">
        <v>1734.6890000000001</v>
      </c>
      <c r="G445" s="219">
        <f>G442-G444</f>
        <v>1755.7661867229999</v>
      </c>
      <c r="H445" s="143"/>
      <c r="I445" s="161"/>
    </row>
    <row r="446" spans="1:9" x14ac:dyDescent="0.25">
      <c r="A446" s="6" t="s">
        <v>24</v>
      </c>
      <c r="B446" s="69">
        <v>2016</v>
      </c>
      <c r="C446" s="69">
        <v>2017</v>
      </c>
      <c r="D446" s="69">
        <v>2018</v>
      </c>
      <c r="E446" s="69">
        <v>2019</v>
      </c>
      <c r="F446" s="69">
        <v>2020</v>
      </c>
      <c r="G446" s="69">
        <v>2021</v>
      </c>
      <c r="H446" s="69">
        <v>2022</v>
      </c>
      <c r="I446" s="69">
        <v>2023</v>
      </c>
    </row>
    <row r="447" spans="1:9" ht="62.4" customHeight="1" x14ac:dyDescent="0.25">
      <c r="A447" s="508" t="s">
        <v>349</v>
      </c>
      <c r="B447" s="509"/>
      <c r="C447" s="509"/>
      <c r="D447" s="509"/>
      <c r="E447" s="509"/>
      <c r="F447" s="509"/>
      <c r="G447" s="509"/>
      <c r="H447" s="509"/>
      <c r="I447" s="510"/>
    </row>
    <row r="449" spans="1:9" x14ac:dyDescent="0.25">
      <c r="A449" s="3" t="s">
        <v>15</v>
      </c>
      <c r="B449" s="69" t="s">
        <v>67</v>
      </c>
      <c r="C449" s="5" t="s">
        <v>17</v>
      </c>
      <c r="D449" s="2"/>
      <c r="E449" s="2"/>
      <c r="F449" s="2"/>
      <c r="G449" s="2"/>
      <c r="H449" s="2"/>
    </row>
    <row r="450" spans="1:9" x14ac:dyDescent="0.25">
      <c r="A450" s="6" t="s">
        <v>18</v>
      </c>
      <c r="B450" s="70">
        <v>2014</v>
      </c>
      <c r="C450" s="70">
        <v>2015</v>
      </c>
      <c r="D450" s="70">
        <v>2016</v>
      </c>
      <c r="E450" s="70">
        <v>2017</v>
      </c>
      <c r="F450" s="70">
        <v>2018</v>
      </c>
      <c r="G450" s="70">
        <v>2019</v>
      </c>
      <c r="H450" s="70">
        <v>2020</v>
      </c>
      <c r="I450" s="70">
        <v>2021</v>
      </c>
    </row>
    <row r="451" spans="1:9" x14ac:dyDescent="0.25">
      <c r="A451" s="6" t="s">
        <v>19</v>
      </c>
      <c r="B451" s="71">
        <v>6718</v>
      </c>
      <c r="C451" s="71">
        <v>6718</v>
      </c>
      <c r="D451" s="71">
        <v>6718</v>
      </c>
      <c r="E451" s="71">
        <v>6718</v>
      </c>
      <c r="F451" s="71">
        <v>6718</v>
      </c>
      <c r="G451" s="71">
        <v>6718</v>
      </c>
      <c r="H451" s="71">
        <v>6718</v>
      </c>
      <c r="I451" s="142">
        <v>6718</v>
      </c>
    </row>
    <row r="452" spans="1:9" x14ac:dyDescent="0.25">
      <c r="A452" s="6" t="s">
        <v>20</v>
      </c>
      <c r="B452" s="71">
        <v>7887.5</v>
      </c>
      <c r="C452" s="71">
        <v>7897.5</v>
      </c>
      <c r="D452" s="71">
        <v>7390.7</v>
      </c>
      <c r="E452" s="71">
        <v>7425.7</v>
      </c>
      <c r="F452" s="71">
        <v>7385.7</v>
      </c>
      <c r="G452" s="71">
        <v>7385.7</v>
      </c>
      <c r="H452" s="71">
        <f>H451+F451*0.15-300-40</f>
        <v>7385.7</v>
      </c>
      <c r="I452" s="71">
        <f>I451+G451*0.15-300-40</f>
        <v>7385.7</v>
      </c>
    </row>
    <row r="453" spans="1:9" ht="52.8" x14ac:dyDescent="0.25">
      <c r="A453" s="6" t="s">
        <v>21</v>
      </c>
      <c r="B453" s="72" t="s">
        <v>68</v>
      </c>
      <c r="C453" s="72" t="s">
        <v>69</v>
      </c>
      <c r="D453" s="72" t="s">
        <v>70</v>
      </c>
      <c r="E453" s="73" t="s">
        <v>71</v>
      </c>
      <c r="F453" s="73" t="s">
        <v>72</v>
      </c>
      <c r="G453" s="73" t="s">
        <v>73</v>
      </c>
      <c r="H453" s="73" t="s">
        <v>74</v>
      </c>
      <c r="I453" s="217" t="s">
        <v>351</v>
      </c>
    </row>
    <row r="454" spans="1:9" s="221" customFormat="1" x14ac:dyDescent="0.25">
      <c r="A454" s="220" t="s">
        <v>22</v>
      </c>
      <c r="B454" s="74">
        <v>5020.43</v>
      </c>
      <c r="C454" s="74">
        <v>5449.08</v>
      </c>
      <c r="D454" s="74">
        <v>5765.63</v>
      </c>
      <c r="E454" s="74">
        <v>5573.6610000000001</v>
      </c>
      <c r="F454" s="74">
        <v>4966.4159999999993</v>
      </c>
      <c r="G454" s="143">
        <v>5586.1889999999985</v>
      </c>
      <c r="H454" s="143"/>
      <c r="I454" s="161"/>
    </row>
    <row r="455" spans="1:9" x14ac:dyDescent="0.25">
      <c r="A455" s="6" t="s">
        <v>23</v>
      </c>
      <c r="B455" s="74">
        <v>2867.0699999999997</v>
      </c>
      <c r="C455" s="74">
        <v>2448.42</v>
      </c>
      <c r="D455" s="74">
        <v>1625.0699999999997</v>
      </c>
      <c r="E455" s="74">
        <v>1852.039</v>
      </c>
      <c r="F455" s="74">
        <v>2419.2840000000006</v>
      </c>
      <c r="G455" s="143">
        <f>G452-G454</f>
        <v>1799.5110000000013</v>
      </c>
      <c r="H455" s="141"/>
      <c r="I455" s="142"/>
    </row>
    <row r="456" spans="1:9" x14ac:dyDescent="0.25">
      <c r="A456" s="6" t="s">
        <v>24</v>
      </c>
      <c r="B456" s="70">
        <v>2016</v>
      </c>
      <c r="C456" s="70">
        <v>2017</v>
      </c>
      <c r="D456" s="70">
        <v>2018</v>
      </c>
      <c r="E456" s="70">
        <v>2019</v>
      </c>
      <c r="F456" s="70">
        <v>2020</v>
      </c>
      <c r="G456" s="70">
        <v>2021</v>
      </c>
      <c r="H456" s="70">
        <v>2022</v>
      </c>
      <c r="I456" s="218">
        <v>2023</v>
      </c>
    </row>
    <row r="457" spans="1:9" ht="85.8" customHeight="1" x14ac:dyDescent="0.25">
      <c r="A457" s="511" t="s">
        <v>352</v>
      </c>
      <c r="B457" s="512"/>
      <c r="C457" s="512"/>
      <c r="D457" s="512"/>
      <c r="E457" s="512"/>
      <c r="F457" s="512"/>
      <c r="G457" s="512"/>
      <c r="H457" s="512"/>
      <c r="I457" s="513"/>
    </row>
    <row r="459" spans="1:9" x14ac:dyDescent="0.25">
      <c r="A459" s="3" t="s">
        <v>15</v>
      </c>
      <c r="B459" s="69" t="s">
        <v>75</v>
      </c>
      <c r="C459" s="5" t="s">
        <v>17</v>
      </c>
      <c r="D459" s="2"/>
      <c r="E459" s="2"/>
      <c r="F459" s="2"/>
      <c r="G459" s="2"/>
      <c r="H459" s="2"/>
    </row>
    <row r="460" spans="1:9" x14ac:dyDescent="0.25">
      <c r="A460" s="6" t="s">
        <v>18</v>
      </c>
      <c r="B460" s="69">
        <v>2014</v>
      </c>
      <c r="C460" s="69">
        <v>2015</v>
      </c>
      <c r="D460" s="69">
        <v>2016</v>
      </c>
      <c r="E460" s="69">
        <v>2017</v>
      </c>
      <c r="F460" s="69">
        <v>2018</v>
      </c>
      <c r="G460" s="69">
        <v>2019</v>
      </c>
      <c r="H460" s="69">
        <v>2020</v>
      </c>
      <c r="I460" s="69">
        <v>2021</v>
      </c>
    </row>
    <row r="461" spans="1:9" x14ac:dyDescent="0.25">
      <c r="A461" s="6" t="s">
        <v>19</v>
      </c>
      <c r="B461" s="71">
        <v>4824</v>
      </c>
      <c r="C461" s="71">
        <v>4824</v>
      </c>
      <c r="D461" s="71">
        <v>4824</v>
      </c>
      <c r="E461" s="71">
        <v>4824</v>
      </c>
      <c r="F461" s="71">
        <v>4824</v>
      </c>
      <c r="G461" s="71">
        <v>4824</v>
      </c>
      <c r="H461" s="71">
        <v>4824</v>
      </c>
      <c r="I461" s="71">
        <v>4824</v>
      </c>
    </row>
    <row r="462" spans="1:9" x14ac:dyDescent="0.25">
      <c r="A462" s="6" t="s">
        <v>20</v>
      </c>
      <c r="B462" s="71">
        <v>5141.7</v>
      </c>
      <c r="C462" s="71">
        <v>5695.4</v>
      </c>
      <c r="D462" s="71">
        <v>5601.06</v>
      </c>
      <c r="E462" s="71">
        <v>5224.38</v>
      </c>
      <c r="F462" s="71">
        <v>4963.5200000000004</v>
      </c>
      <c r="G462" s="71">
        <v>4928.1499999999996</v>
      </c>
      <c r="H462" s="71">
        <v>5011.2030000000004</v>
      </c>
      <c r="I462" s="71">
        <f>+I461+G465</f>
        <v>5089.0329999999994</v>
      </c>
    </row>
    <row r="463" spans="1:9" ht="39.6" x14ac:dyDescent="0.25">
      <c r="A463" s="6" t="s">
        <v>21</v>
      </c>
      <c r="B463" s="72" t="s">
        <v>76</v>
      </c>
      <c r="C463" s="72" t="s">
        <v>77</v>
      </c>
      <c r="D463" s="72" t="s">
        <v>78</v>
      </c>
      <c r="E463" s="73" t="s">
        <v>79</v>
      </c>
      <c r="F463" s="73" t="s">
        <v>80</v>
      </c>
      <c r="G463" s="73" t="s">
        <v>81</v>
      </c>
      <c r="H463" s="73" t="s">
        <v>82</v>
      </c>
      <c r="I463" s="217" t="s">
        <v>353</v>
      </c>
    </row>
    <row r="464" spans="1:9" s="221" customFormat="1" x14ac:dyDescent="0.25">
      <c r="A464" s="220" t="s">
        <v>22</v>
      </c>
      <c r="B464" s="74">
        <v>4364.6400000000003</v>
      </c>
      <c r="C464" s="74">
        <v>5295.02</v>
      </c>
      <c r="D464" s="74">
        <v>5461.54</v>
      </c>
      <c r="E464" s="74">
        <v>5120.2</v>
      </c>
      <c r="F464" s="74">
        <v>4776.317</v>
      </c>
      <c r="G464" s="143">
        <v>4663.1170000000002</v>
      </c>
      <c r="H464" s="143"/>
      <c r="I464" s="161"/>
    </row>
    <row r="465" spans="1:9" x14ac:dyDescent="0.25">
      <c r="A465" s="6" t="s">
        <v>23</v>
      </c>
      <c r="B465" s="74">
        <v>777.06</v>
      </c>
      <c r="C465" s="74">
        <v>400.38</v>
      </c>
      <c r="D465" s="74">
        <v>139.52000000000001</v>
      </c>
      <c r="E465" s="74">
        <v>104.2</v>
      </c>
      <c r="F465" s="74">
        <v>187.20300000000043</v>
      </c>
      <c r="G465" s="143">
        <f>G462-G464</f>
        <v>265.03299999999945</v>
      </c>
      <c r="H465" s="141"/>
      <c r="I465" s="142"/>
    </row>
    <row r="466" spans="1:9" x14ac:dyDescent="0.25">
      <c r="A466" s="6" t="s">
        <v>24</v>
      </c>
      <c r="B466" s="69">
        <v>2016</v>
      </c>
      <c r="C466" s="69">
        <v>2017</v>
      </c>
      <c r="D466" s="69">
        <v>2018</v>
      </c>
      <c r="E466" s="69">
        <v>2019</v>
      </c>
      <c r="F466" s="69">
        <v>2020</v>
      </c>
      <c r="G466" s="69">
        <v>2021</v>
      </c>
      <c r="H466" s="69">
        <v>2022</v>
      </c>
      <c r="I466" s="69">
        <v>2023</v>
      </c>
    </row>
    <row r="467" spans="1:9" ht="88.8" customHeight="1" x14ac:dyDescent="0.25">
      <c r="A467" s="554" t="s">
        <v>354</v>
      </c>
      <c r="B467" s="555"/>
      <c r="C467" s="555"/>
      <c r="D467" s="555"/>
      <c r="E467" s="555"/>
      <c r="F467" s="555"/>
      <c r="G467" s="555"/>
      <c r="H467" s="555"/>
      <c r="I467" s="556"/>
    </row>
    <row r="469" spans="1:9" x14ac:dyDescent="0.25">
      <c r="A469" s="3" t="s">
        <v>15</v>
      </c>
      <c r="B469" s="69" t="s">
        <v>83</v>
      </c>
      <c r="C469" s="5" t="s">
        <v>17</v>
      </c>
      <c r="D469" s="2"/>
      <c r="E469" s="2"/>
      <c r="F469" s="2"/>
      <c r="G469" s="2"/>
      <c r="H469" s="2"/>
    </row>
    <row r="470" spans="1:9" x14ac:dyDescent="0.25">
      <c r="A470" s="6" t="s">
        <v>18</v>
      </c>
      <c r="B470" s="69">
        <v>2014</v>
      </c>
      <c r="C470" s="69">
        <v>2015</v>
      </c>
      <c r="D470" s="69">
        <v>2016</v>
      </c>
      <c r="E470" s="69">
        <v>2017</v>
      </c>
      <c r="F470" s="69">
        <v>2018</v>
      </c>
      <c r="G470" s="69">
        <v>2019</v>
      </c>
      <c r="H470" s="69">
        <v>2020</v>
      </c>
      <c r="I470" s="393">
        <v>2021</v>
      </c>
    </row>
    <row r="471" spans="1:9" x14ac:dyDescent="0.25">
      <c r="A471" s="6" t="s">
        <v>19</v>
      </c>
      <c r="B471" s="71">
        <v>22667</v>
      </c>
      <c r="C471" s="71">
        <v>22667</v>
      </c>
      <c r="D471" s="71">
        <v>16989</v>
      </c>
      <c r="E471" s="71">
        <v>16989</v>
      </c>
      <c r="F471" s="71">
        <v>16989</v>
      </c>
      <c r="G471" s="71">
        <v>16989</v>
      </c>
      <c r="H471" s="76">
        <v>13421.3</v>
      </c>
      <c r="I471" s="142">
        <v>13421.3</v>
      </c>
    </row>
    <row r="472" spans="1:9" x14ac:dyDescent="0.25">
      <c r="A472" s="6" t="s">
        <v>20</v>
      </c>
      <c r="B472" s="71">
        <v>29467.1</v>
      </c>
      <c r="C472" s="71">
        <v>29467.1</v>
      </c>
      <c r="D472" s="71">
        <v>23789.1</v>
      </c>
      <c r="E472" s="71">
        <v>20389.099999999999</v>
      </c>
      <c r="F472" s="71">
        <v>19537.400000000001</v>
      </c>
      <c r="G472" s="71">
        <v>17157.5</v>
      </c>
      <c r="H472" s="71">
        <f>H471+F475+300</f>
        <v>15842.646000000001</v>
      </c>
      <c r="I472" s="161">
        <f>I471+G475</f>
        <v>13668.274999999998</v>
      </c>
    </row>
    <row r="473" spans="1:9" ht="52.8" x14ac:dyDescent="0.25">
      <c r="A473" s="6" t="s">
        <v>21</v>
      </c>
      <c r="B473" s="72" t="s">
        <v>85</v>
      </c>
      <c r="C473" s="72" t="s">
        <v>85</v>
      </c>
      <c r="D473" s="72" t="s">
        <v>86</v>
      </c>
      <c r="E473" s="73" t="s">
        <v>87</v>
      </c>
      <c r="F473" s="73" t="s">
        <v>88</v>
      </c>
      <c r="G473" s="73" t="s">
        <v>89</v>
      </c>
      <c r="H473" s="73" t="s">
        <v>355</v>
      </c>
      <c r="I473" s="217" t="s">
        <v>356</v>
      </c>
    </row>
    <row r="474" spans="1:9" x14ac:dyDescent="0.25">
      <c r="A474" s="220" t="s">
        <v>22</v>
      </c>
      <c r="B474" s="74">
        <v>18152.900000000001</v>
      </c>
      <c r="C474" s="74">
        <v>15741.23</v>
      </c>
      <c r="D474" s="74">
        <v>18059.400000000001</v>
      </c>
      <c r="E474" s="74">
        <v>20220.53</v>
      </c>
      <c r="F474" s="74">
        <v>17416.054</v>
      </c>
      <c r="G474" s="143">
        <v>16910.525000000001</v>
      </c>
      <c r="H474" s="143"/>
      <c r="I474" s="161"/>
    </row>
    <row r="475" spans="1:9" x14ac:dyDescent="0.25">
      <c r="A475" s="220" t="s">
        <v>23</v>
      </c>
      <c r="B475" s="74">
        <v>11314.2</v>
      </c>
      <c r="C475" s="74">
        <v>13725.87</v>
      </c>
      <c r="D475" s="74">
        <v>5729.68</v>
      </c>
      <c r="E475" s="74">
        <v>168.52</v>
      </c>
      <c r="F475" s="74">
        <v>2121.3460000000014</v>
      </c>
      <c r="G475" s="143">
        <f>G472-G474</f>
        <v>246.97499999999854</v>
      </c>
      <c r="H475" s="143"/>
      <c r="I475" s="161"/>
    </row>
    <row r="476" spans="1:9" x14ac:dyDescent="0.25">
      <c r="A476" s="6" t="s">
        <v>24</v>
      </c>
      <c r="B476" s="69">
        <v>2016</v>
      </c>
      <c r="C476" s="69">
        <v>2017</v>
      </c>
      <c r="D476" s="69">
        <v>2018</v>
      </c>
      <c r="E476" s="69">
        <v>2019</v>
      </c>
      <c r="F476" s="69" t="s">
        <v>90</v>
      </c>
      <c r="G476" s="69" t="s">
        <v>91</v>
      </c>
      <c r="H476" s="69">
        <v>2022</v>
      </c>
      <c r="I476" s="393">
        <v>2022</v>
      </c>
    </row>
    <row r="477" spans="1:9" ht="87.6" customHeight="1" x14ac:dyDescent="0.25">
      <c r="A477" s="508" t="s">
        <v>357</v>
      </c>
      <c r="B477" s="509"/>
      <c r="C477" s="509"/>
      <c r="D477" s="509"/>
      <c r="E477" s="509"/>
      <c r="F477" s="509"/>
      <c r="G477" s="509"/>
      <c r="H477" s="509"/>
      <c r="I477" s="510"/>
    </row>
    <row r="479" spans="1:9" x14ac:dyDescent="0.25">
      <c r="A479" s="112" t="s">
        <v>15</v>
      </c>
      <c r="B479" s="421" t="s">
        <v>92</v>
      </c>
      <c r="C479" s="335" t="s">
        <v>17</v>
      </c>
      <c r="D479" s="226"/>
      <c r="E479" s="226"/>
      <c r="F479" s="226"/>
      <c r="G479" s="226"/>
      <c r="H479" s="226"/>
    </row>
    <row r="480" spans="1:9" x14ac:dyDescent="0.25">
      <c r="A480" s="110" t="s">
        <v>18</v>
      </c>
      <c r="B480" s="421">
        <v>2014</v>
      </c>
      <c r="C480" s="421">
        <v>2015</v>
      </c>
      <c r="D480" s="421">
        <v>2016</v>
      </c>
      <c r="E480" s="421">
        <v>2017</v>
      </c>
      <c r="F480" s="421">
        <v>2018</v>
      </c>
      <c r="G480" s="421">
        <v>2019</v>
      </c>
      <c r="H480" s="421">
        <v>2020</v>
      </c>
      <c r="I480" s="393">
        <v>2021</v>
      </c>
    </row>
    <row r="481" spans="1:10" x14ac:dyDescent="0.25">
      <c r="A481" s="110" t="s">
        <v>19</v>
      </c>
      <c r="B481" s="586">
        <v>480</v>
      </c>
      <c r="C481" s="586">
        <v>480</v>
      </c>
      <c r="D481" s="586">
        <v>480</v>
      </c>
      <c r="E481" s="586">
        <v>480</v>
      </c>
      <c r="F481" s="586">
        <v>480</v>
      </c>
      <c r="G481" s="586">
        <v>480</v>
      </c>
      <c r="H481" s="587">
        <v>403.8</v>
      </c>
      <c r="I481" s="142">
        <v>403.8</v>
      </c>
      <c r="J481" s="221"/>
    </row>
    <row r="482" spans="1:10" x14ac:dyDescent="0.25">
      <c r="A482" s="110" t="s">
        <v>20</v>
      </c>
      <c r="B482" s="586">
        <v>480</v>
      </c>
      <c r="C482" s="586">
        <v>528</v>
      </c>
      <c r="D482" s="586">
        <v>407.63</v>
      </c>
      <c r="E482" s="586">
        <v>414.75</v>
      </c>
      <c r="F482" s="586">
        <v>462.75</v>
      </c>
      <c r="G482" s="586">
        <v>528</v>
      </c>
      <c r="H482" s="586">
        <v>449.8</v>
      </c>
      <c r="I482" s="142">
        <v>449.8</v>
      </c>
    </row>
    <row r="483" spans="1:10" ht="39.6" x14ac:dyDescent="0.25">
      <c r="A483" s="110" t="s">
        <v>21</v>
      </c>
      <c r="B483" s="588">
        <v>480</v>
      </c>
      <c r="C483" s="588">
        <v>528</v>
      </c>
      <c r="D483" s="588" t="s">
        <v>93</v>
      </c>
      <c r="E483" s="589" t="s">
        <v>94</v>
      </c>
      <c r="F483" s="589" t="s">
        <v>95</v>
      </c>
      <c r="G483" s="589" t="s">
        <v>96</v>
      </c>
      <c r="H483" s="589" t="s">
        <v>358</v>
      </c>
      <c r="I483" s="216" t="s">
        <v>359</v>
      </c>
    </row>
    <row r="484" spans="1:10" x14ac:dyDescent="0.25">
      <c r="A484" s="110" t="s">
        <v>22</v>
      </c>
      <c r="B484" s="143">
        <v>552.37</v>
      </c>
      <c r="C484" s="143">
        <v>658.51</v>
      </c>
      <c r="D484" s="143">
        <v>355.07</v>
      </c>
      <c r="E484" s="143">
        <v>338.75</v>
      </c>
      <c r="F484" s="143">
        <v>120.791</v>
      </c>
      <c r="G484" s="143">
        <v>79.62</v>
      </c>
      <c r="H484" s="143"/>
      <c r="I484" s="142"/>
    </row>
    <row r="485" spans="1:10" x14ac:dyDescent="0.25">
      <c r="A485" s="110" t="s">
        <v>23</v>
      </c>
      <c r="B485" s="143">
        <v>-72.37</v>
      </c>
      <c r="C485" s="143">
        <v>-130.51</v>
      </c>
      <c r="D485" s="143">
        <f>D482-D484</f>
        <v>52.56</v>
      </c>
      <c r="E485" s="143">
        <f>E482-E484</f>
        <v>76</v>
      </c>
      <c r="F485" s="143">
        <v>341.959</v>
      </c>
      <c r="G485" s="143">
        <f>G482-G484</f>
        <v>448.38</v>
      </c>
      <c r="H485" s="143"/>
      <c r="I485" s="142"/>
    </row>
    <row r="486" spans="1:10" x14ac:dyDescent="0.25">
      <c r="A486" s="110" t="s">
        <v>24</v>
      </c>
      <c r="B486" s="69">
        <v>2016</v>
      </c>
      <c r="C486" s="69">
        <v>2017</v>
      </c>
      <c r="D486" s="69">
        <v>2018</v>
      </c>
      <c r="E486" s="69">
        <v>2019</v>
      </c>
      <c r="F486" s="69" t="s">
        <v>90</v>
      </c>
      <c r="G486" s="69" t="s">
        <v>91</v>
      </c>
      <c r="H486" s="69">
        <v>2022</v>
      </c>
      <c r="I486" s="393">
        <v>2023</v>
      </c>
    </row>
    <row r="487" spans="1:10" ht="44.25" customHeight="1" x14ac:dyDescent="0.25">
      <c r="A487" s="505" t="s">
        <v>360</v>
      </c>
      <c r="B487" s="506"/>
      <c r="C487" s="506"/>
      <c r="D487" s="506"/>
      <c r="E487" s="506"/>
      <c r="F487" s="506"/>
      <c r="G487" s="506"/>
      <c r="H487" s="507"/>
      <c r="I487" s="142"/>
    </row>
    <row r="488" spans="1:10" x14ac:dyDescent="0.25">
      <c r="A488" s="212"/>
      <c r="B488" s="212"/>
      <c r="C488" s="212"/>
      <c r="D488" s="212"/>
      <c r="E488" s="212"/>
      <c r="F488" s="212"/>
      <c r="G488" s="212"/>
      <c r="H488" s="212"/>
    </row>
    <row r="489" spans="1:10" x14ac:dyDescent="0.25">
      <c r="A489" s="112" t="s">
        <v>15</v>
      </c>
      <c r="B489" s="421" t="s">
        <v>97</v>
      </c>
      <c r="C489" s="335" t="s">
        <v>17</v>
      </c>
      <c r="D489" s="226"/>
      <c r="E489" s="226"/>
      <c r="F489" s="226"/>
      <c r="G489" s="212"/>
      <c r="H489" s="212"/>
    </row>
    <row r="490" spans="1:10" x14ac:dyDescent="0.25">
      <c r="A490" s="110" t="s">
        <v>18</v>
      </c>
      <c r="B490" s="421">
        <v>2014</v>
      </c>
      <c r="C490" s="421">
        <v>2015</v>
      </c>
      <c r="D490" s="421">
        <v>2016</v>
      </c>
      <c r="E490" s="421">
        <v>2017</v>
      </c>
      <c r="F490" s="421">
        <v>2018</v>
      </c>
      <c r="G490" s="69">
        <v>2019</v>
      </c>
      <c r="H490" s="69">
        <v>2020</v>
      </c>
      <c r="I490" s="393">
        <v>2021</v>
      </c>
    </row>
    <row r="491" spans="1:10" x14ac:dyDescent="0.25">
      <c r="A491" s="110" t="s">
        <v>19</v>
      </c>
      <c r="B491" s="586">
        <v>50</v>
      </c>
      <c r="C491" s="586">
        <v>50</v>
      </c>
      <c r="D491" s="586">
        <v>50</v>
      </c>
      <c r="E491" s="586">
        <v>50</v>
      </c>
      <c r="F491" s="586">
        <v>50</v>
      </c>
      <c r="G491" s="71">
        <v>50</v>
      </c>
      <c r="H491" s="77">
        <v>50</v>
      </c>
      <c r="I491" s="161">
        <v>50</v>
      </c>
    </row>
    <row r="492" spans="1:10" x14ac:dyDescent="0.25">
      <c r="A492" s="110" t="s">
        <v>20</v>
      </c>
      <c r="B492" s="586">
        <v>50</v>
      </c>
      <c r="C492" s="586">
        <v>52.5</v>
      </c>
      <c r="D492" s="586">
        <v>23.9</v>
      </c>
      <c r="E492" s="586">
        <v>23.9</v>
      </c>
      <c r="F492" s="586">
        <v>27.6</v>
      </c>
      <c r="G492" s="71">
        <v>27.6</v>
      </c>
      <c r="H492" s="71">
        <v>32.6</v>
      </c>
      <c r="I492" s="161">
        <v>55</v>
      </c>
    </row>
    <row r="493" spans="1:10" ht="66" x14ac:dyDescent="0.25">
      <c r="A493" s="110" t="s">
        <v>21</v>
      </c>
      <c r="B493" s="590">
        <v>50</v>
      </c>
      <c r="C493" s="590">
        <v>52.5</v>
      </c>
      <c r="D493" s="588" t="s">
        <v>98</v>
      </c>
      <c r="E493" s="589" t="s">
        <v>99</v>
      </c>
      <c r="F493" s="589" t="s">
        <v>100</v>
      </c>
      <c r="G493" s="73" t="s">
        <v>101</v>
      </c>
      <c r="H493" s="73" t="s">
        <v>102</v>
      </c>
      <c r="I493" s="217" t="s">
        <v>361</v>
      </c>
    </row>
    <row r="494" spans="1:10" x14ac:dyDescent="0.25">
      <c r="A494" s="110" t="s">
        <v>22</v>
      </c>
      <c r="B494" s="143">
        <v>102.21</v>
      </c>
      <c r="C494" s="143">
        <v>119.69</v>
      </c>
      <c r="D494" s="143">
        <v>101.54</v>
      </c>
      <c r="E494" s="143">
        <v>14.67</v>
      </c>
      <c r="F494" s="143">
        <v>0.17</v>
      </c>
      <c r="G494" s="74">
        <v>0.7</v>
      </c>
      <c r="H494" s="74"/>
      <c r="I494" s="161"/>
    </row>
    <row r="495" spans="1:10" x14ac:dyDescent="0.25">
      <c r="A495" s="110" t="s">
        <v>23</v>
      </c>
      <c r="B495" s="143">
        <v>-52.21</v>
      </c>
      <c r="C495" s="143">
        <v>-67.19</v>
      </c>
      <c r="D495" s="143">
        <v>-77.640000000000015</v>
      </c>
      <c r="E495" s="143">
        <f>E492-E494</f>
        <v>9.2299999999999986</v>
      </c>
      <c r="F495" s="143">
        <f>F492-F494</f>
        <v>27.43</v>
      </c>
      <c r="G495" s="74">
        <f>G492-G494</f>
        <v>26.900000000000002</v>
      </c>
      <c r="H495" s="74"/>
      <c r="I495" s="161"/>
    </row>
    <row r="496" spans="1:10" x14ac:dyDescent="0.25">
      <c r="A496" s="110" t="s">
        <v>24</v>
      </c>
      <c r="B496" s="69">
        <v>2016</v>
      </c>
      <c r="C496" s="69">
        <v>2017</v>
      </c>
      <c r="D496" s="69">
        <v>2018</v>
      </c>
      <c r="E496" s="69">
        <v>2019</v>
      </c>
      <c r="F496" s="69" t="s">
        <v>90</v>
      </c>
      <c r="G496" s="69" t="s">
        <v>91</v>
      </c>
      <c r="H496" s="69">
        <v>2022</v>
      </c>
      <c r="I496" s="393">
        <v>2023</v>
      </c>
    </row>
    <row r="497" spans="1:9" ht="80.25" customHeight="1" x14ac:dyDescent="0.25">
      <c r="A497" s="505" t="s">
        <v>267</v>
      </c>
      <c r="B497" s="506"/>
      <c r="C497" s="506"/>
      <c r="D497" s="506"/>
      <c r="E497" s="506"/>
      <c r="F497" s="506"/>
      <c r="G497" s="506"/>
      <c r="H497" s="506"/>
      <c r="I497" s="507"/>
    </row>
    <row r="498" spans="1:9" ht="13.5" customHeight="1" x14ac:dyDescent="0.25">
      <c r="A498" s="133"/>
      <c r="B498" s="133"/>
      <c r="C498" s="133"/>
      <c r="D498" s="133"/>
      <c r="E498" s="133"/>
      <c r="F498" s="133"/>
      <c r="G498" s="133"/>
      <c r="H498" s="133"/>
    </row>
    <row r="500" spans="1:9" x14ac:dyDescent="0.25">
      <c r="A500" s="26" t="s">
        <v>13</v>
      </c>
      <c r="B500" s="16" t="s">
        <v>318</v>
      </c>
      <c r="C500" s="102"/>
      <c r="D500" s="27"/>
      <c r="E500" s="27"/>
      <c r="F500" s="27"/>
      <c r="G500" s="144"/>
      <c r="H500" s="54"/>
    </row>
    <row r="501" spans="1:9" x14ac:dyDescent="0.25">
      <c r="A501" s="372" t="s">
        <v>15</v>
      </c>
      <c r="B501" s="291" t="s">
        <v>83</v>
      </c>
      <c r="C501" s="203" t="s">
        <v>17</v>
      </c>
      <c r="D501" s="204"/>
      <c r="E501" s="204"/>
      <c r="F501" s="204"/>
      <c r="G501" s="226"/>
    </row>
    <row r="502" spans="1:9" x14ac:dyDescent="0.25">
      <c r="A502" s="182" t="s">
        <v>18</v>
      </c>
      <c r="B502" s="585">
        <v>2015</v>
      </c>
      <c r="C502" s="585">
        <v>2016</v>
      </c>
      <c r="D502" s="592">
        <v>2017</v>
      </c>
      <c r="E502" s="585">
        <v>2018</v>
      </c>
      <c r="F502" s="593">
        <v>2019</v>
      </c>
      <c r="G502" s="593">
        <v>2020</v>
      </c>
    </row>
    <row r="503" spans="1:9" x14ac:dyDescent="0.25">
      <c r="A503" s="182" t="s">
        <v>19</v>
      </c>
      <c r="B503" s="74">
        <v>4722</v>
      </c>
      <c r="C503" s="74">
        <v>4250</v>
      </c>
      <c r="D503" s="74">
        <v>4250</v>
      </c>
      <c r="E503" s="74">
        <v>4250</v>
      </c>
      <c r="F503" s="74">
        <v>4250</v>
      </c>
      <c r="G503" s="74">
        <v>3716</v>
      </c>
      <c r="H503" s="54"/>
    </row>
    <row r="504" spans="1:9" x14ac:dyDescent="0.25">
      <c r="A504" s="182" t="s">
        <v>20</v>
      </c>
      <c r="B504" s="74">
        <v>6614.6</v>
      </c>
      <c r="C504" s="74">
        <f>C503-337+70</f>
        <v>3983</v>
      </c>
      <c r="D504" s="74">
        <f>D503-337+70+637.5+C507</f>
        <v>3790.5</v>
      </c>
      <c r="E504" s="74">
        <f>E503-337+70+D507</f>
        <v>3687.5</v>
      </c>
      <c r="F504" s="74">
        <f>F503+70</f>
        <v>4320</v>
      </c>
      <c r="G504" s="74"/>
    </row>
    <row r="505" spans="1:9" x14ac:dyDescent="0.25">
      <c r="A505" s="182" t="s">
        <v>21</v>
      </c>
      <c r="B505" s="371"/>
      <c r="C505" s="371">
        <v>1</v>
      </c>
      <c r="D505" s="371">
        <v>2</v>
      </c>
      <c r="E505" s="371">
        <v>3</v>
      </c>
      <c r="F505" s="371">
        <v>4</v>
      </c>
      <c r="G505" s="371"/>
    </row>
    <row r="506" spans="1:9" x14ac:dyDescent="0.25">
      <c r="A506" s="182" t="s">
        <v>22</v>
      </c>
      <c r="B506" s="74">
        <v>5749.6769999999997</v>
      </c>
      <c r="C506" s="74">
        <v>4813</v>
      </c>
      <c r="D506" s="74">
        <v>4086</v>
      </c>
      <c r="E506" s="74">
        <v>3571</v>
      </c>
      <c r="F506" s="74">
        <v>2864.5</v>
      </c>
      <c r="G506" s="74"/>
      <c r="H506" s="54"/>
    </row>
    <row r="507" spans="1:9" x14ac:dyDescent="0.25">
      <c r="A507" s="182" t="s">
        <v>23</v>
      </c>
      <c r="B507" s="74">
        <v>864.92</v>
      </c>
      <c r="C507" s="74">
        <f>C504-C506</f>
        <v>-830</v>
      </c>
      <c r="D507" s="74">
        <f>D504-D506</f>
        <v>-295.5</v>
      </c>
      <c r="E507" s="74">
        <f>E504-E506</f>
        <v>116.5</v>
      </c>
      <c r="F507" s="74">
        <f>F504-F506</f>
        <v>1455.5</v>
      </c>
      <c r="G507" s="74"/>
    </row>
    <row r="508" spans="1:9" x14ac:dyDescent="0.25">
      <c r="A508" s="183" t="s">
        <v>24</v>
      </c>
      <c r="B508" s="591">
        <v>2017</v>
      </c>
      <c r="C508" s="591">
        <v>2018</v>
      </c>
      <c r="D508" s="591">
        <v>2019</v>
      </c>
      <c r="E508" s="591">
        <v>2020</v>
      </c>
      <c r="F508" s="591">
        <v>2021</v>
      </c>
      <c r="G508" s="591">
        <v>2022</v>
      </c>
    </row>
    <row r="509" spans="1:9" x14ac:dyDescent="0.25">
      <c r="A509" s="163"/>
      <c r="B509" s="164"/>
      <c r="C509" s="165"/>
      <c r="D509" s="116"/>
      <c r="E509" s="116"/>
      <c r="F509" s="342"/>
      <c r="G509" s="166"/>
      <c r="H509" s="54"/>
    </row>
    <row r="510" spans="1:9" x14ac:dyDescent="0.25">
      <c r="A510" s="139" t="s">
        <v>319</v>
      </c>
      <c r="B510" s="138"/>
      <c r="C510" s="138"/>
      <c r="D510" s="138"/>
      <c r="E510" s="138"/>
      <c r="F510" s="138"/>
      <c r="G510" s="140"/>
    </row>
    <row r="511" spans="1:9" ht="32.4" customHeight="1" x14ac:dyDescent="0.25">
      <c r="A511" s="514" t="s">
        <v>321</v>
      </c>
      <c r="B511" s="515"/>
      <c r="C511" s="515"/>
      <c r="D511" s="515"/>
      <c r="E511" s="515"/>
      <c r="F511" s="515"/>
      <c r="G511" s="140"/>
    </row>
    <row r="512" spans="1:9" x14ac:dyDescent="0.25">
      <c r="A512" s="139" t="s">
        <v>320</v>
      </c>
      <c r="B512" s="138"/>
      <c r="C512" s="79"/>
      <c r="D512" s="80"/>
      <c r="E512" s="80"/>
      <c r="F512" s="144"/>
      <c r="G512" s="167"/>
      <c r="H512" s="54"/>
    </row>
    <row r="513" spans="1:15" x14ac:dyDescent="0.25">
      <c r="A513" s="139" t="s">
        <v>445</v>
      </c>
      <c r="B513" s="138"/>
      <c r="C513" s="79"/>
      <c r="D513" s="80"/>
      <c r="E513" s="80"/>
      <c r="F513" s="144"/>
      <c r="G513" s="167"/>
      <c r="H513" s="54"/>
    </row>
    <row r="514" spans="1:15" x14ac:dyDescent="0.25">
      <c r="A514" s="168"/>
      <c r="B514" s="169"/>
      <c r="C514" s="169"/>
      <c r="D514" s="169"/>
      <c r="E514" s="169"/>
      <c r="F514" s="169"/>
      <c r="G514" s="170"/>
    </row>
    <row r="516" spans="1:15" x14ac:dyDescent="0.25">
      <c r="A516" s="78"/>
      <c r="B516" s="138"/>
      <c r="C516" s="79"/>
      <c r="D516" s="80"/>
      <c r="E516" s="80"/>
      <c r="F516" s="144"/>
      <c r="G516" s="144"/>
      <c r="H516" s="54"/>
    </row>
    <row r="517" spans="1:15" x14ac:dyDescent="0.25">
      <c r="A517" s="100" t="s">
        <v>13</v>
      </c>
      <c r="B517" s="101" t="s">
        <v>222</v>
      </c>
      <c r="C517" s="102"/>
      <c r="D517" s="102"/>
      <c r="E517" s="102"/>
      <c r="F517" s="102"/>
      <c r="G517" s="102"/>
      <c r="H517" s="102"/>
      <c r="I517" s="102"/>
      <c r="J517" s="102"/>
      <c r="K517" s="102"/>
    </row>
    <row r="518" spans="1:15" x14ac:dyDescent="0.25">
      <c r="A518" s="276" t="s">
        <v>15</v>
      </c>
      <c r="B518" s="103" t="s">
        <v>52</v>
      </c>
      <c r="C518" s="103" t="s">
        <v>17</v>
      </c>
      <c r="D518" s="102"/>
      <c r="E518" s="102"/>
      <c r="F518" s="102"/>
      <c r="G518" s="102"/>
      <c r="H518" s="102"/>
      <c r="I518" s="102"/>
      <c r="J518" s="102"/>
      <c r="K518" s="102"/>
      <c r="L518" s="226"/>
      <c r="M518" s="226"/>
      <c r="N518" s="226"/>
      <c r="O518" s="226"/>
    </row>
    <row r="519" spans="1:15" customFormat="1" ht="14.4" x14ac:dyDescent="0.3">
      <c r="A519" s="104" t="s">
        <v>18</v>
      </c>
      <c r="B519" s="145">
        <v>2009</v>
      </c>
      <c r="C519" s="145">
        <v>2010</v>
      </c>
      <c r="D519" s="145">
        <v>2011</v>
      </c>
      <c r="E519" s="145">
        <v>2012</v>
      </c>
      <c r="F519" s="145">
        <v>2013</v>
      </c>
      <c r="G519" s="145">
        <v>2014</v>
      </c>
      <c r="H519" s="145">
        <v>2015</v>
      </c>
      <c r="I519" s="145">
        <v>2016</v>
      </c>
      <c r="J519" s="145">
        <v>2017</v>
      </c>
      <c r="K519" s="145">
        <v>2018</v>
      </c>
      <c r="L519" s="145">
        <v>2019</v>
      </c>
      <c r="M519" s="227"/>
      <c r="N519" s="228"/>
      <c r="O519" s="228"/>
    </row>
    <row r="520" spans="1:15" customFormat="1" ht="14.4" x14ac:dyDescent="0.3">
      <c r="A520" s="104" t="s">
        <v>19</v>
      </c>
      <c r="B520" s="229"/>
      <c r="C520" s="229"/>
      <c r="D520" s="229"/>
      <c r="E520" s="229"/>
      <c r="F520" s="229"/>
      <c r="G520" s="229"/>
      <c r="H520" s="229"/>
      <c r="I520" s="229"/>
      <c r="J520" s="229"/>
      <c r="K520" s="229"/>
      <c r="L520" s="229"/>
      <c r="M520" s="227"/>
      <c r="N520" s="228"/>
      <c r="O520" s="228"/>
    </row>
    <row r="521" spans="1:15" customFormat="1" ht="14.4" x14ac:dyDescent="0.3">
      <c r="A521" s="104" t="s">
        <v>20</v>
      </c>
      <c r="B521" s="229">
        <v>525.11158760000001</v>
      </c>
      <c r="C521" s="229">
        <v>516.79334119999999</v>
      </c>
      <c r="D521" s="229">
        <v>478.68400000000003</v>
      </c>
      <c r="E521" s="229">
        <v>638.87599999999998</v>
      </c>
      <c r="F521" s="229">
        <v>573.67999999999995</v>
      </c>
      <c r="G521" s="229">
        <v>503.80800000000005</v>
      </c>
      <c r="H521" s="229">
        <v>407.19200000000001</v>
      </c>
      <c r="I521" s="229">
        <v>449.52</v>
      </c>
      <c r="J521" s="229">
        <v>394.88799999999998</v>
      </c>
      <c r="K521" s="229">
        <v>393.98364000000004</v>
      </c>
      <c r="L521" s="229">
        <v>285.85000239999999</v>
      </c>
      <c r="M521" s="227"/>
      <c r="N521" s="228"/>
      <c r="O521" s="228"/>
    </row>
    <row r="522" spans="1:15" customFormat="1" ht="14.4" x14ac:dyDescent="0.3">
      <c r="A522" s="104" t="s">
        <v>21</v>
      </c>
      <c r="B522" s="229"/>
      <c r="C522" s="229"/>
      <c r="D522" s="229"/>
      <c r="E522" s="229"/>
      <c r="F522" s="229"/>
      <c r="G522" s="229"/>
      <c r="H522" s="229"/>
      <c r="I522" s="229"/>
      <c r="J522" s="229"/>
      <c r="K522" s="229"/>
      <c r="L522" s="229"/>
      <c r="M522" s="227"/>
      <c r="N522" s="228"/>
      <c r="O522" s="228"/>
    </row>
    <row r="523" spans="1:15" customFormat="1" ht="14.4" x14ac:dyDescent="0.3">
      <c r="A523" s="104" t="s">
        <v>22</v>
      </c>
      <c r="B523" s="229">
        <v>419.55900000000003</v>
      </c>
      <c r="C523" s="229">
        <v>483.41500000000002</v>
      </c>
      <c r="D523" s="229">
        <v>285.3</v>
      </c>
      <c r="E523" s="229">
        <v>1822.1</v>
      </c>
      <c r="F523" s="229">
        <v>266.39999999999998</v>
      </c>
      <c r="G523" s="229">
        <v>305.2</v>
      </c>
      <c r="H523" s="229">
        <v>329.8</v>
      </c>
      <c r="I523" s="229">
        <v>254.9</v>
      </c>
      <c r="J523" s="229">
        <v>335</v>
      </c>
      <c r="K523" s="229">
        <v>210.6</v>
      </c>
      <c r="L523" s="229">
        <v>283.77600000000001</v>
      </c>
      <c r="M523" s="227"/>
      <c r="N523" s="228"/>
      <c r="O523" s="228"/>
    </row>
    <row r="524" spans="1:15" customFormat="1" ht="14.4" x14ac:dyDescent="0.3">
      <c r="A524" s="104" t="s">
        <v>23</v>
      </c>
      <c r="B524" s="229">
        <v>105.55258759999998</v>
      </c>
      <c r="C524" s="229">
        <v>33.378341199999966</v>
      </c>
      <c r="D524" s="229">
        <v>193.38400000000001</v>
      </c>
      <c r="E524" s="230">
        <v>-1183.2239999999999</v>
      </c>
      <c r="F524" s="229">
        <v>307.28000000000009</v>
      </c>
      <c r="G524" s="229">
        <v>198.60800000000006</v>
      </c>
      <c r="H524" s="229">
        <v>77.391999999999996</v>
      </c>
      <c r="I524" s="229">
        <v>194.61999999999998</v>
      </c>
      <c r="J524" s="229">
        <v>59.888000000000034</v>
      </c>
      <c r="K524" s="229">
        <v>183.38364000000004</v>
      </c>
      <c r="L524" s="229">
        <f>L521-L523</f>
        <v>2.0740023999999835</v>
      </c>
      <c r="M524" s="227"/>
      <c r="N524" s="228"/>
      <c r="O524" s="228"/>
    </row>
    <row r="525" spans="1:15" customFormat="1" ht="14.4" x14ac:dyDescent="0.3">
      <c r="A525" s="104" t="s">
        <v>24</v>
      </c>
      <c r="B525" s="229"/>
      <c r="C525" s="229"/>
      <c r="D525" s="229"/>
      <c r="E525" s="229"/>
      <c r="F525" s="229"/>
      <c r="G525" s="229"/>
      <c r="H525" s="229"/>
      <c r="I525" s="229"/>
      <c r="J525" s="229"/>
      <c r="K525" s="229"/>
      <c r="L525" s="229"/>
      <c r="M525" s="227"/>
      <c r="N525" s="228"/>
      <c r="O525" s="228"/>
    </row>
    <row r="526" spans="1:15" customFormat="1" ht="14.4" x14ac:dyDescent="0.3">
      <c r="A526" s="231" t="s">
        <v>25</v>
      </c>
      <c r="B526" s="232"/>
      <c r="C526" s="232"/>
      <c r="D526" s="232"/>
      <c r="E526" s="232"/>
      <c r="F526" s="232"/>
      <c r="G526" s="232"/>
      <c r="H526" s="232"/>
      <c r="I526" s="232"/>
      <c r="J526" s="232"/>
      <c r="K526" s="232"/>
      <c r="L526" s="233"/>
      <c r="M526" s="227"/>
      <c r="N526" s="228"/>
      <c r="O526" s="228"/>
    </row>
    <row r="527" spans="1:15" customFormat="1" ht="14.4" x14ac:dyDescent="0.3">
      <c r="A527" s="234" t="s">
        <v>223</v>
      </c>
      <c r="B527" s="102"/>
      <c r="C527" s="102"/>
      <c r="D527" s="102"/>
      <c r="E527" s="102"/>
      <c r="F527" s="102"/>
      <c r="G527" s="102"/>
      <c r="H527" s="102"/>
      <c r="I527" s="102"/>
      <c r="J527" s="102"/>
      <c r="K527" s="102"/>
      <c r="L527" s="235"/>
      <c r="M527" s="227"/>
      <c r="N527" s="228"/>
      <c r="O527" s="228"/>
    </row>
    <row r="528" spans="1:15" customFormat="1" ht="14.4" x14ac:dyDescent="0.3">
      <c r="A528" s="212" t="s">
        <v>285</v>
      </c>
      <c r="B528" s="102"/>
      <c r="C528" s="102"/>
      <c r="D528" s="102"/>
      <c r="E528" s="102"/>
      <c r="F528" s="102"/>
      <c r="G528" s="102"/>
      <c r="H528" s="102"/>
      <c r="I528" s="102"/>
      <c r="J528" s="102"/>
      <c r="K528" s="102"/>
      <c r="L528" s="235"/>
      <c r="M528" s="227"/>
      <c r="N528" s="228"/>
      <c r="O528" s="236"/>
    </row>
    <row r="529" spans="1:17" customFormat="1" ht="14.4" x14ac:dyDescent="0.3">
      <c r="A529" s="234" t="s">
        <v>364</v>
      </c>
      <c r="B529" s="102"/>
      <c r="C529" s="102"/>
      <c r="D529" s="102"/>
      <c r="E529" s="102"/>
      <c r="F529" s="102"/>
      <c r="G529" s="102"/>
      <c r="H529" s="102"/>
      <c r="I529" s="102"/>
      <c r="J529" s="102"/>
      <c r="K529" s="102"/>
      <c r="L529" s="235"/>
      <c r="M529" s="227"/>
      <c r="N529" s="228"/>
      <c r="O529" s="228"/>
    </row>
    <row r="530" spans="1:17" customFormat="1" ht="14.4" x14ac:dyDescent="0.3">
      <c r="A530" s="234"/>
      <c r="B530" s="102"/>
      <c r="C530" s="102"/>
      <c r="D530" s="102"/>
      <c r="E530" s="102"/>
      <c r="F530" s="102"/>
      <c r="G530" s="102"/>
      <c r="H530" s="102"/>
      <c r="I530" s="102"/>
      <c r="J530" s="102"/>
      <c r="K530" s="102"/>
      <c r="L530" s="235"/>
      <c r="M530" s="227"/>
      <c r="N530" s="228"/>
      <c r="O530" s="228"/>
    </row>
    <row r="531" spans="1:17" customFormat="1" ht="14.4" x14ac:dyDescent="0.3">
      <c r="A531" s="234"/>
      <c r="B531" s="102"/>
      <c r="C531" s="102"/>
      <c r="D531" s="102"/>
      <c r="E531" s="102"/>
      <c r="F531" s="102" t="s">
        <v>224</v>
      </c>
      <c r="G531" s="102"/>
      <c r="H531" s="102"/>
      <c r="I531" s="102"/>
      <c r="J531" s="102"/>
      <c r="K531" s="102"/>
      <c r="L531" s="235"/>
      <c r="M531" s="227"/>
      <c r="N531" s="228"/>
      <c r="O531" s="228"/>
    </row>
    <row r="532" spans="1:17" customFormat="1" ht="14.4" x14ac:dyDescent="0.3">
      <c r="A532" s="234"/>
      <c r="B532" s="237" t="s">
        <v>225</v>
      </c>
      <c r="C532" s="238"/>
      <c r="D532" s="277">
        <v>3.9709777522114867E-2</v>
      </c>
      <c r="E532" s="102"/>
      <c r="F532" s="239" t="s">
        <v>226</v>
      </c>
      <c r="G532" s="238">
        <v>2019</v>
      </c>
      <c r="H532" s="102"/>
      <c r="I532" s="102"/>
      <c r="J532" s="102"/>
      <c r="K532" s="102"/>
      <c r="L532" s="235"/>
      <c r="M532" s="227"/>
      <c r="N532" s="228"/>
      <c r="O532" s="228"/>
    </row>
    <row r="533" spans="1:17" customFormat="1" ht="14.4" x14ac:dyDescent="0.3">
      <c r="A533" s="234"/>
      <c r="B533" s="102"/>
      <c r="C533" s="102"/>
      <c r="D533" s="102"/>
      <c r="E533" s="102"/>
      <c r="F533" s="239" t="s">
        <v>15</v>
      </c>
      <c r="G533" s="238" t="s">
        <v>83</v>
      </c>
      <c r="H533" s="102"/>
      <c r="I533" s="102"/>
      <c r="J533" s="102"/>
      <c r="K533" s="102"/>
      <c r="L533" s="235"/>
      <c r="M533" s="227"/>
      <c r="N533" s="228"/>
      <c r="O533" s="228"/>
    </row>
    <row r="534" spans="1:17" customFormat="1" ht="14.4" x14ac:dyDescent="0.3">
      <c r="A534" s="234"/>
      <c r="B534" s="102"/>
      <c r="C534" s="102"/>
      <c r="D534" s="102"/>
      <c r="E534" s="102"/>
      <c r="F534" s="239" t="s">
        <v>227</v>
      </c>
      <c r="G534" s="278">
        <v>7146.2500600000003</v>
      </c>
      <c r="H534" s="102"/>
      <c r="I534" s="102"/>
      <c r="J534" s="102"/>
      <c r="K534" s="102"/>
      <c r="L534" s="235"/>
      <c r="M534" s="227"/>
      <c r="N534" s="228"/>
      <c r="O534" s="228"/>
    </row>
    <row r="535" spans="1:17" customFormat="1" ht="14.4" x14ac:dyDescent="0.3">
      <c r="A535" s="240"/>
      <c r="B535" s="241"/>
      <c r="C535" s="241"/>
      <c r="D535" s="241"/>
      <c r="E535" s="241"/>
      <c r="F535" s="241"/>
      <c r="G535" s="241"/>
      <c r="H535" s="241"/>
      <c r="I535" s="241"/>
      <c r="J535" s="241"/>
      <c r="K535" s="241"/>
      <c r="L535" s="242"/>
      <c r="M535" s="227"/>
      <c r="N535" s="228"/>
      <c r="O535" s="228"/>
    </row>
    <row r="536" spans="1:17" x14ac:dyDescent="0.25">
      <c r="A536" s="78"/>
      <c r="B536" s="144"/>
      <c r="C536" s="243"/>
      <c r="D536" s="80"/>
      <c r="E536" s="80"/>
      <c r="F536" s="144"/>
      <c r="G536" s="144"/>
      <c r="H536" s="80"/>
      <c r="I536" s="226"/>
      <c r="J536" s="226"/>
      <c r="K536" s="226"/>
      <c r="L536" s="226"/>
      <c r="M536" s="226"/>
      <c r="N536" s="226"/>
      <c r="O536" s="226"/>
    </row>
    <row r="537" spans="1:17" x14ac:dyDescent="0.25">
      <c r="A537" s="276" t="s">
        <v>15</v>
      </c>
      <c r="B537" s="279" t="s">
        <v>60</v>
      </c>
      <c r="C537" s="103" t="s">
        <v>17</v>
      </c>
      <c r="D537" s="102"/>
      <c r="E537" s="102"/>
      <c r="F537" s="102"/>
      <c r="G537" s="102"/>
      <c r="H537" s="102"/>
      <c r="I537" s="102"/>
      <c r="J537" s="102"/>
      <c r="K537" s="102"/>
      <c r="L537" s="102"/>
      <c r="M537" s="102"/>
      <c r="N537" s="102"/>
      <c r="O537" s="102"/>
      <c r="P537" s="102"/>
      <c r="Q537" s="102"/>
    </row>
    <row r="538" spans="1:17" s="151" customFormat="1" ht="13.8" x14ac:dyDescent="0.25">
      <c r="A538" s="104" t="s">
        <v>18</v>
      </c>
      <c r="B538" s="145">
        <v>2009</v>
      </c>
      <c r="C538" s="145">
        <v>2010</v>
      </c>
      <c r="D538" s="145">
        <v>2011</v>
      </c>
      <c r="E538" s="145">
        <v>2012</v>
      </c>
      <c r="F538" s="145">
        <v>2013</v>
      </c>
      <c r="G538" s="145">
        <v>2014</v>
      </c>
      <c r="H538" s="145">
        <v>2015</v>
      </c>
      <c r="I538" s="145">
        <v>2016</v>
      </c>
      <c r="J538" s="145">
        <v>2017</v>
      </c>
      <c r="K538" s="145">
        <v>2018</v>
      </c>
      <c r="L538" s="145">
        <v>2019</v>
      </c>
      <c r="M538" s="145">
        <v>2020</v>
      </c>
      <c r="N538" s="145">
        <v>2021</v>
      </c>
      <c r="O538" s="102"/>
      <c r="P538" s="106"/>
      <c r="Q538" s="106"/>
    </row>
    <row r="539" spans="1:17" s="151" customFormat="1" ht="13.8" x14ac:dyDescent="0.25">
      <c r="A539" s="104" t="s">
        <v>19</v>
      </c>
      <c r="B539" s="280"/>
      <c r="C539" s="280"/>
      <c r="D539" s="280"/>
      <c r="E539" s="280"/>
      <c r="F539" s="280"/>
      <c r="G539" s="280">
        <v>1355</v>
      </c>
      <c r="H539" s="280">
        <v>1355</v>
      </c>
      <c r="I539" s="280">
        <v>1355</v>
      </c>
      <c r="J539" s="280">
        <v>1355</v>
      </c>
      <c r="K539" s="280">
        <v>1355</v>
      </c>
      <c r="L539" s="280">
        <v>1355</v>
      </c>
      <c r="M539" s="280">
        <v>1355</v>
      </c>
      <c r="N539" s="280">
        <v>1355</v>
      </c>
      <c r="O539" s="102"/>
      <c r="P539" s="106"/>
      <c r="Q539" s="106"/>
    </row>
    <row r="540" spans="1:17" s="151" customFormat="1" ht="13.8" x14ac:dyDescent="0.25">
      <c r="A540" s="104" t="s">
        <v>20</v>
      </c>
      <c r="B540" s="280">
        <v>237.31834029985683</v>
      </c>
      <c r="C540" s="280">
        <v>315.5295404143024</v>
      </c>
      <c r="D540" s="280">
        <v>275.05599999999998</v>
      </c>
      <c r="E540" s="280">
        <v>415.68</v>
      </c>
      <c r="F540" s="280">
        <v>341.67599999999999</v>
      </c>
      <c r="G540" s="280">
        <v>1725</v>
      </c>
      <c r="H540" s="280">
        <v>1555</v>
      </c>
      <c r="I540" s="280">
        <v>1693.75</v>
      </c>
      <c r="J540" s="280">
        <v>1717.1</v>
      </c>
      <c r="K540" s="280">
        <v>1893.75</v>
      </c>
      <c r="L540" s="280">
        <v>1936.3</v>
      </c>
      <c r="M540" s="280">
        <v>2693.75</v>
      </c>
      <c r="N540" s="280">
        <v>1693.75</v>
      </c>
      <c r="O540" s="102"/>
      <c r="P540" s="106"/>
      <c r="Q540" s="106"/>
    </row>
    <row r="541" spans="1:17" s="151" customFormat="1" ht="13.8" x14ac:dyDescent="0.25">
      <c r="A541" s="104" t="s">
        <v>21</v>
      </c>
      <c r="B541" s="280"/>
      <c r="C541" s="280"/>
      <c r="D541" s="280"/>
      <c r="E541" s="280"/>
      <c r="F541" s="280"/>
      <c r="G541" s="280"/>
      <c r="H541" s="280"/>
      <c r="I541" s="280"/>
      <c r="J541" s="280"/>
      <c r="K541" s="280"/>
      <c r="L541" s="280"/>
      <c r="M541" s="280"/>
      <c r="N541" s="280"/>
      <c r="O541" s="102"/>
      <c r="P541" s="106"/>
      <c r="Q541" s="106"/>
    </row>
    <row r="542" spans="1:17" s="151" customFormat="1" ht="13.8" x14ac:dyDescent="0.25">
      <c r="A542" s="104" t="s">
        <v>22</v>
      </c>
      <c r="B542" s="280">
        <v>958.10900000000004</v>
      </c>
      <c r="C542" s="280">
        <v>1217.827</v>
      </c>
      <c r="D542" s="280">
        <v>1776.4</v>
      </c>
      <c r="E542" s="280">
        <v>3550.6</v>
      </c>
      <c r="F542" s="280">
        <v>1713.8</v>
      </c>
      <c r="G542" s="280">
        <v>1198.9000000000001</v>
      </c>
      <c r="H542" s="280">
        <v>1392.9</v>
      </c>
      <c r="I542" s="280">
        <v>1212.8</v>
      </c>
      <c r="J542" s="280">
        <v>2135.8000000000002</v>
      </c>
      <c r="K542" s="280">
        <v>1654.5</v>
      </c>
      <c r="L542" s="280">
        <v>1203.133</v>
      </c>
      <c r="M542" s="280"/>
      <c r="N542" s="280"/>
      <c r="O542" s="102"/>
      <c r="P542" s="106"/>
      <c r="Q542" s="106"/>
    </row>
    <row r="543" spans="1:17" s="151" customFormat="1" ht="13.8" x14ac:dyDescent="0.25">
      <c r="A543" s="104" t="s">
        <v>23</v>
      </c>
      <c r="B543" s="280">
        <v>-720.79065970014324</v>
      </c>
      <c r="C543" s="280">
        <v>-902.29745958569765</v>
      </c>
      <c r="D543" s="280">
        <v>-1501.3440000000001</v>
      </c>
      <c r="E543" s="280">
        <v>-3134.92</v>
      </c>
      <c r="F543" s="280">
        <v>-1372.124</v>
      </c>
      <c r="G543" s="280">
        <v>526.09999999999991</v>
      </c>
      <c r="H543" s="280">
        <v>162.09999999999991</v>
      </c>
      <c r="I543" s="280">
        <v>480.95000000000005</v>
      </c>
      <c r="J543" s="280">
        <v>-418.70000000000027</v>
      </c>
      <c r="K543" s="280">
        <v>239.25</v>
      </c>
      <c r="L543" s="280">
        <f>L540-L542</f>
        <v>733.16699999999992</v>
      </c>
      <c r="M543" s="280"/>
      <c r="N543" s="280"/>
      <c r="O543" s="102"/>
      <c r="P543" s="106"/>
      <c r="Q543" s="106"/>
    </row>
    <row r="544" spans="1:17" s="151" customFormat="1" ht="13.8" x14ac:dyDescent="0.25">
      <c r="A544" s="104" t="s">
        <v>24</v>
      </c>
      <c r="B544" s="239"/>
      <c r="C544" s="239"/>
      <c r="D544" s="239"/>
      <c r="E544" s="239"/>
      <c r="F544" s="239"/>
      <c r="G544" s="239"/>
      <c r="H544" s="239"/>
      <c r="I544" s="239"/>
      <c r="J544" s="239"/>
      <c r="K544" s="239"/>
      <c r="L544" s="239"/>
      <c r="M544" s="239"/>
      <c r="N544" s="229"/>
      <c r="O544" s="102"/>
      <c r="P544" s="106"/>
      <c r="Q544" s="106"/>
    </row>
    <row r="545" spans="1:17" s="151" customFormat="1" ht="13.8" x14ac:dyDescent="0.25">
      <c r="A545" s="231" t="s">
        <v>228</v>
      </c>
      <c r="B545" s="232"/>
      <c r="C545" s="232"/>
      <c r="D545" s="232"/>
      <c r="E545" s="232"/>
      <c r="F545" s="232"/>
      <c r="G545" s="232"/>
      <c r="H545" s="232"/>
      <c r="I545" s="232"/>
      <c r="J545" s="232"/>
      <c r="K545" s="232"/>
      <c r="L545" s="232"/>
      <c r="M545" s="232"/>
      <c r="N545" s="233"/>
      <c r="O545" s="102"/>
      <c r="P545" s="106"/>
      <c r="Q545" s="106"/>
    </row>
    <row r="546" spans="1:17" s="151" customFormat="1" ht="13.8" x14ac:dyDescent="0.25">
      <c r="A546" s="234" t="s">
        <v>229</v>
      </c>
      <c r="B546" s="105"/>
      <c r="C546" s="105"/>
      <c r="D546" s="105"/>
      <c r="E546" s="105"/>
      <c r="F546" s="105"/>
      <c r="G546" s="105"/>
      <c r="H546" s="105"/>
      <c r="I546" s="105"/>
      <c r="J546" s="105"/>
      <c r="K546" s="105"/>
      <c r="L546" s="105"/>
      <c r="M546" s="105"/>
      <c r="N546" s="235"/>
      <c r="O546" s="102"/>
      <c r="P546" s="106"/>
      <c r="Q546" s="106"/>
    </row>
    <row r="547" spans="1:17" s="151" customFormat="1" ht="13.8" x14ac:dyDescent="0.25">
      <c r="A547" s="234" t="s">
        <v>230</v>
      </c>
      <c r="B547" s="105"/>
      <c r="C547" s="105"/>
      <c r="D547" s="105"/>
      <c r="E547" s="105"/>
      <c r="F547" s="105"/>
      <c r="G547" s="105"/>
      <c r="H547" s="105"/>
      <c r="I547" s="105"/>
      <c r="J547" s="105"/>
      <c r="K547" s="105"/>
      <c r="L547" s="105"/>
      <c r="M547" s="105"/>
      <c r="N547" s="235"/>
      <c r="O547" s="102"/>
      <c r="P547" s="106"/>
      <c r="Q547" s="106"/>
    </row>
    <row r="548" spans="1:17" s="151" customFormat="1" ht="13.8" x14ac:dyDescent="0.25">
      <c r="A548" s="234" t="s">
        <v>231</v>
      </c>
      <c r="B548" s="105"/>
      <c r="C548" s="105"/>
      <c r="D548" s="105"/>
      <c r="E548" s="105"/>
      <c r="F548" s="105"/>
      <c r="G548" s="105"/>
      <c r="H548" s="105"/>
      <c r="I548" s="105"/>
      <c r="J548" s="105"/>
      <c r="K548" s="105"/>
      <c r="L548" s="105"/>
      <c r="M548" s="105"/>
      <c r="N548" s="235"/>
      <c r="O548" s="102"/>
      <c r="P548" s="106"/>
      <c r="Q548" s="106"/>
    </row>
    <row r="549" spans="1:17" s="151" customFormat="1" ht="13.8" x14ac:dyDescent="0.25">
      <c r="A549" s="234" t="s">
        <v>232</v>
      </c>
      <c r="B549" s="246"/>
      <c r="C549" s="247"/>
      <c r="D549" s="248"/>
      <c r="E549" s="105"/>
      <c r="F549" s="105"/>
      <c r="G549" s="247"/>
      <c r="H549" s="105"/>
      <c r="I549" s="105"/>
      <c r="J549" s="105"/>
      <c r="K549" s="105"/>
      <c r="L549" s="105"/>
      <c r="M549" s="105"/>
      <c r="N549" s="235"/>
      <c r="O549" s="102"/>
      <c r="P549" s="106"/>
      <c r="Q549" s="106"/>
    </row>
    <row r="550" spans="1:17" s="151" customFormat="1" ht="13.8" x14ac:dyDescent="0.25">
      <c r="A550" s="234" t="s">
        <v>233</v>
      </c>
      <c r="B550" s="105"/>
      <c r="C550" s="105"/>
      <c r="D550" s="105"/>
      <c r="E550" s="105"/>
      <c r="F550" s="105"/>
      <c r="G550" s="105"/>
      <c r="H550" s="105"/>
      <c r="I550" s="105"/>
      <c r="J550" s="105"/>
      <c r="K550" s="105"/>
      <c r="L550" s="105"/>
      <c r="M550" s="105"/>
      <c r="N550" s="235"/>
      <c r="O550" s="102"/>
      <c r="P550" s="106"/>
      <c r="Q550" s="106"/>
    </row>
    <row r="551" spans="1:17" s="151" customFormat="1" ht="13.8" x14ac:dyDescent="0.25">
      <c r="A551" s="234" t="s">
        <v>234</v>
      </c>
      <c r="B551" s="105"/>
      <c r="C551" s="105"/>
      <c r="D551" s="105"/>
      <c r="E551" s="105"/>
      <c r="F551" s="105"/>
      <c r="G551" s="105"/>
      <c r="H551" s="105"/>
      <c r="I551" s="105"/>
      <c r="J551" s="105"/>
      <c r="K551" s="105"/>
      <c r="L551" s="105"/>
      <c r="M551" s="105"/>
      <c r="N551" s="235"/>
      <c r="O551" s="102"/>
      <c r="P551" s="106"/>
      <c r="Q551" s="106"/>
    </row>
    <row r="552" spans="1:17" s="151" customFormat="1" ht="13.8" x14ac:dyDescent="0.25">
      <c r="A552" s="249" t="s">
        <v>286</v>
      </c>
      <c r="B552" s="105"/>
      <c r="C552" s="105"/>
      <c r="D552" s="105"/>
      <c r="E552" s="105"/>
      <c r="F552" s="105"/>
      <c r="G552" s="105"/>
      <c r="H552" s="105"/>
      <c r="I552" s="105"/>
      <c r="J552" s="105"/>
      <c r="K552" s="105"/>
      <c r="L552" s="105"/>
      <c r="M552" s="105"/>
      <c r="N552" s="235"/>
      <c r="O552" s="102"/>
      <c r="P552" s="106"/>
      <c r="Q552" s="106"/>
    </row>
    <row r="553" spans="1:17" s="151" customFormat="1" ht="13.8" x14ac:dyDescent="0.25">
      <c r="A553" s="234" t="s">
        <v>287</v>
      </c>
      <c r="B553" s="105"/>
      <c r="C553" s="105"/>
      <c r="D553" s="105"/>
      <c r="E553" s="105"/>
      <c r="F553" s="105"/>
      <c r="G553" s="247"/>
      <c r="H553" s="105"/>
      <c r="I553" s="105"/>
      <c r="J553" s="105"/>
      <c r="K553" s="105"/>
      <c r="L553" s="105"/>
      <c r="M553" s="105"/>
      <c r="N553" s="235"/>
      <c r="O553" s="102"/>
      <c r="P553" s="106"/>
      <c r="Q553" s="106"/>
    </row>
    <row r="554" spans="1:17" s="107" customFormat="1" x14ac:dyDescent="0.25">
      <c r="A554" s="234" t="s">
        <v>288</v>
      </c>
      <c r="B554" s="250"/>
      <c r="C554" s="250"/>
      <c r="D554" s="250"/>
      <c r="E554" s="250"/>
      <c r="F554" s="250"/>
      <c r="G554" s="251"/>
      <c r="H554" s="250"/>
      <c r="I554" s="250"/>
      <c r="J554" s="250"/>
      <c r="K554" s="250"/>
      <c r="L554" s="250"/>
      <c r="M554" s="250"/>
      <c r="N554" s="252"/>
      <c r="O554" s="253"/>
      <c r="P554" s="152"/>
      <c r="Q554" s="152"/>
    </row>
    <row r="555" spans="1:17" s="107" customFormat="1" x14ac:dyDescent="0.25">
      <c r="A555" s="234" t="s">
        <v>289</v>
      </c>
      <c r="B555" s="250"/>
      <c r="C555" s="250"/>
      <c r="D555" s="250"/>
      <c r="E555" s="250"/>
      <c r="F555" s="250"/>
      <c r="G555" s="254"/>
      <c r="H555" s="250"/>
      <c r="I555" s="250"/>
      <c r="J555" s="250"/>
      <c r="K555" s="250"/>
      <c r="L555" s="250"/>
      <c r="M555" s="250"/>
      <c r="N555" s="252"/>
      <c r="O555" s="253"/>
      <c r="P555" s="152"/>
      <c r="Q555" s="152"/>
    </row>
    <row r="556" spans="1:17" s="107" customFormat="1" x14ac:dyDescent="0.25">
      <c r="A556" s="234" t="s">
        <v>365</v>
      </c>
      <c r="B556" s="250"/>
      <c r="C556" s="250"/>
      <c r="D556" s="250"/>
      <c r="E556" s="250"/>
      <c r="F556" s="250"/>
      <c r="G556" s="254"/>
      <c r="H556" s="250"/>
      <c r="I556" s="250"/>
      <c r="J556" s="250"/>
      <c r="K556" s="250"/>
      <c r="L556" s="250"/>
      <c r="M556" s="250"/>
      <c r="N556" s="252"/>
      <c r="O556" s="253"/>
      <c r="P556" s="152"/>
      <c r="Q556" s="152"/>
    </row>
    <row r="557" spans="1:17" s="151" customFormat="1" ht="27" customHeight="1" x14ac:dyDescent="0.25">
      <c r="A557" s="539" t="s">
        <v>290</v>
      </c>
      <c r="B557" s="540"/>
      <c r="C557" s="540"/>
      <c r="D557" s="540"/>
      <c r="E557" s="540"/>
      <c r="F557" s="540"/>
      <c r="G557" s="540"/>
      <c r="H557" s="540"/>
      <c r="I557" s="540"/>
      <c r="J557" s="540"/>
      <c r="K557" s="540"/>
      <c r="L557" s="540"/>
      <c r="M557" s="540"/>
      <c r="N557" s="541"/>
      <c r="O557" s="102"/>
      <c r="P557" s="106"/>
      <c r="Q557" s="106"/>
    </row>
    <row r="558" spans="1:17" s="151" customFormat="1" ht="27" customHeight="1" x14ac:dyDescent="0.25">
      <c r="A558" s="539" t="s">
        <v>476</v>
      </c>
      <c r="B558" s="540"/>
      <c r="C558" s="540"/>
      <c r="D558" s="540"/>
      <c r="E558" s="540"/>
      <c r="F558" s="540"/>
      <c r="G558" s="540"/>
      <c r="H558" s="540"/>
      <c r="I558" s="540"/>
      <c r="J558" s="540"/>
      <c r="K558" s="540"/>
      <c r="L558" s="540"/>
      <c r="M558" s="540"/>
      <c r="N558" s="541"/>
      <c r="O558" s="102"/>
      <c r="P558" s="106"/>
      <c r="Q558" s="106"/>
    </row>
    <row r="559" spans="1:17" s="151" customFormat="1" ht="13.8" x14ac:dyDescent="0.25">
      <c r="A559" s="542" t="s">
        <v>366</v>
      </c>
      <c r="B559" s="543"/>
      <c r="C559" s="543"/>
      <c r="D559" s="543"/>
      <c r="E559" s="543"/>
      <c r="F559" s="543"/>
      <c r="G559" s="543"/>
      <c r="H559" s="543"/>
      <c r="I559" s="543"/>
      <c r="J559" s="543"/>
      <c r="K559" s="543"/>
      <c r="L559" s="543"/>
      <c r="M559" s="543"/>
      <c r="N559" s="544"/>
      <c r="O559" s="102"/>
      <c r="P559" s="106"/>
      <c r="Q559" s="106"/>
    </row>
    <row r="560" spans="1:17" x14ac:dyDescent="0.25">
      <c r="A560" s="78"/>
      <c r="B560" s="144"/>
      <c r="C560" s="243"/>
      <c r="D560" s="80"/>
      <c r="E560" s="80"/>
      <c r="F560" s="144"/>
      <c r="G560" s="144"/>
      <c r="H560" s="80"/>
      <c r="I560" s="226"/>
      <c r="J560" s="226"/>
      <c r="K560" s="226"/>
      <c r="L560" s="226"/>
      <c r="M560" s="226"/>
      <c r="N560" s="226"/>
      <c r="O560" s="226"/>
    </row>
    <row r="561" spans="1:17" x14ac:dyDescent="0.25">
      <c r="A561" s="276" t="s">
        <v>15</v>
      </c>
      <c r="B561" s="103" t="s">
        <v>67</v>
      </c>
      <c r="C561" s="103" t="s">
        <v>17</v>
      </c>
      <c r="D561" s="102"/>
      <c r="E561" s="102"/>
      <c r="F561" s="102"/>
      <c r="G561" s="102"/>
      <c r="H561" s="102"/>
      <c r="I561" s="102"/>
      <c r="J561" s="102"/>
      <c r="K561" s="102"/>
      <c r="L561" s="102"/>
      <c r="M561" s="102"/>
      <c r="N561" s="102"/>
      <c r="O561" s="102"/>
      <c r="P561" s="102"/>
      <c r="Q561" s="102"/>
    </row>
    <row r="562" spans="1:17" x14ac:dyDescent="0.25">
      <c r="A562" s="104" t="s">
        <v>18</v>
      </c>
      <c r="B562" s="146">
        <v>2009</v>
      </c>
      <c r="C562" s="146">
        <v>2010</v>
      </c>
      <c r="D562" s="146">
        <v>2011</v>
      </c>
      <c r="E562" s="146">
        <v>2012</v>
      </c>
      <c r="F562" s="146">
        <v>2013</v>
      </c>
      <c r="G562" s="146">
        <v>2014</v>
      </c>
      <c r="H562" s="146">
        <v>2015</v>
      </c>
      <c r="I562" s="146">
        <v>2016</v>
      </c>
      <c r="J562" s="146">
        <v>2017</v>
      </c>
      <c r="K562" s="146">
        <v>2018</v>
      </c>
      <c r="L562" s="146">
        <v>2019</v>
      </c>
      <c r="M562" s="146">
        <v>2020</v>
      </c>
      <c r="N562" s="145">
        <v>2021</v>
      </c>
      <c r="O562" s="102"/>
      <c r="P562" s="105"/>
      <c r="Q562" s="102"/>
    </row>
    <row r="563" spans="1:17" x14ac:dyDescent="0.25">
      <c r="A563" s="104" t="s">
        <v>19</v>
      </c>
      <c r="B563" s="280">
        <v>842</v>
      </c>
      <c r="C563" s="280">
        <v>842</v>
      </c>
      <c r="D563" s="280">
        <v>842</v>
      </c>
      <c r="E563" s="280">
        <v>842</v>
      </c>
      <c r="F563" s="280">
        <v>842</v>
      </c>
      <c r="G563" s="280">
        <v>842</v>
      </c>
      <c r="H563" s="280">
        <v>842</v>
      </c>
      <c r="I563" s="280">
        <v>842</v>
      </c>
      <c r="J563" s="280">
        <v>842</v>
      </c>
      <c r="K563" s="280">
        <v>842</v>
      </c>
      <c r="L563" s="280">
        <v>842</v>
      </c>
      <c r="M563" s="280">
        <v>842</v>
      </c>
      <c r="N563" s="280">
        <v>842</v>
      </c>
      <c r="O563" s="102"/>
      <c r="P563" s="106"/>
      <c r="Q563" s="106"/>
    </row>
    <row r="564" spans="1:17" x14ac:dyDescent="0.25">
      <c r="A564" s="104" t="s">
        <v>20</v>
      </c>
      <c r="B564" s="280">
        <v>2717.74</v>
      </c>
      <c r="C564" s="280">
        <v>2596.7442299999998</v>
      </c>
      <c r="D564" s="280">
        <v>2707.4306399999996</v>
      </c>
      <c r="E564" s="280">
        <v>2795.2306399999998</v>
      </c>
      <c r="F564" s="280">
        <v>3114.7264100000002</v>
      </c>
      <c r="G564" s="280">
        <v>3408.0264100000004</v>
      </c>
      <c r="H564" s="280">
        <v>3747.1264099999999</v>
      </c>
      <c r="I564" s="280">
        <v>3627.0264100000004</v>
      </c>
      <c r="J564" s="280">
        <v>3911.3264100000006</v>
      </c>
      <c r="K564" s="280">
        <v>3936.33</v>
      </c>
      <c r="L564" s="280">
        <v>4187.33</v>
      </c>
      <c r="M564" s="280">
        <v>1176</v>
      </c>
      <c r="N564" s="280">
        <v>1565.38238</v>
      </c>
      <c r="O564" s="102"/>
      <c r="P564" s="106"/>
      <c r="Q564" s="106"/>
    </row>
    <row r="565" spans="1:17" x14ac:dyDescent="0.25">
      <c r="A565" s="104" t="s">
        <v>21</v>
      </c>
      <c r="B565" s="280"/>
      <c r="C565" s="280"/>
      <c r="D565" s="280"/>
      <c r="E565" s="280"/>
      <c r="F565" s="280"/>
      <c r="G565" s="280"/>
      <c r="H565" s="280"/>
      <c r="I565" s="280"/>
      <c r="J565" s="280"/>
      <c r="K565" s="280"/>
      <c r="L565" s="280"/>
      <c r="M565" s="280"/>
      <c r="N565" s="280"/>
      <c r="O565" s="102"/>
      <c r="P565" s="106"/>
      <c r="Q565" s="106"/>
    </row>
    <row r="566" spans="1:17" x14ac:dyDescent="0.25">
      <c r="A566" s="104" t="s">
        <v>22</v>
      </c>
      <c r="B566" s="280">
        <v>962.99576999999999</v>
      </c>
      <c r="C566" s="280">
        <v>681.31358999999998</v>
      </c>
      <c r="D566" s="280">
        <v>669.2</v>
      </c>
      <c r="E566" s="280">
        <v>437.5</v>
      </c>
      <c r="F566" s="280">
        <v>438.7</v>
      </c>
      <c r="G566" s="280">
        <v>392.9</v>
      </c>
      <c r="H566" s="280">
        <v>452.1</v>
      </c>
      <c r="I566" s="280">
        <v>397.7</v>
      </c>
      <c r="J566" s="280">
        <v>406</v>
      </c>
      <c r="K566" s="280">
        <v>289.3</v>
      </c>
      <c r="L566" s="280">
        <v>342.61761999999999</v>
      </c>
      <c r="M566" s="280"/>
      <c r="N566" s="280"/>
      <c r="O566" s="102"/>
      <c r="P566" s="106"/>
      <c r="Q566" s="106"/>
    </row>
    <row r="567" spans="1:17" x14ac:dyDescent="0.25">
      <c r="A567" s="104" t="s">
        <v>23</v>
      </c>
      <c r="B567" s="280">
        <v>1754.7442299999998</v>
      </c>
      <c r="C567" s="280">
        <v>1915.4306399999998</v>
      </c>
      <c r="D567" s="280">
        <v>2038.2306399999995</v>
      </c>
      <c r="E567" s="280">
        <v>2357.7264100000002</v>
      </c>
      <c r="F567" s="280">
        <v>2676.0264100000004</v>
      </c>
      <c r="G567" s="280">
        <v>3015.1264100000003</v>
      </c>
      <c r="H567" s="280">
        <v>2895.0264100000004</v>
      </c>
      <c r="I567" s="280">
        <v>3229.3264100000006</v>
      </c>
      <c r="J567" s="280">
        <v>3505.3264100000006</v>
      </c>
      <c r="K567" s="280">
        <v>3647.0264100000004</v>
      </c>
      <c r="L567" s="280">
        <v>883.38238000000001</v>
      </c>
      <c r="M567" s="280"/>
      <c r="N567" s="280"/>
      <c r="O567" s="102"/>
      <c r="P567" s="106"/>
      <c r="Q567" s="106"/>
    </row>
    <row r="568" spans="1:17" x14ac:dyDescent="0.25">
      <c r="A568" s="104" t="s">
        <v>24</v>
      </c>
      <c r="B568" s="255"/>
      <c r="C568" s="255"/>
      <c r="D568" s="255"/>
      <c r="E568" s="255"/>
      <c r="F568" s="255"/>
      <c r="G568" s="255"/>
      <c r="H568" s="255"/>
      <c r="I568" s="255"/>
      <c r="J568" s="255"/>
      <c r="K568" s="255"/>
      <c r="L568" s="255"/>
      <c r="M568" s="255"/>
      <c r="N568" s="229"/>
      <c r="O568" s="102"/>
      <c r="P568" s="106"/>
      <c r="Q568" s="106"/>
    </row>
    <row r="569" spans="1:17" x14ac:dyDescent="0.25">
      <c r="A569" s="231" t="s">
        <v>228</v>
      </c>
      <c r="B569" s="232"/>
      <c r="C569" s="232"/>
      <c r="D569" s="232"/>
      <c r="E569" s="232"/>
      <c r="F569" s="232"/>
      <c r="G569" s="232"/>
      <c r="H569" s="232"/>
      <c r="I569" s="232"/>
      <c r="J569" s="232"/>
      <c r="K569" s="232"/>
      <c r="L569" s="232"/>
      <c r="M569" s="232"/>
      <c r="N569" s="233"/>
      <c r="O569" s="102"/>
      <c r="P569" s="106"/>
      <c r="Q569" s="106"/>
    </row>
    <row r="570" spans="1:17" x14ac:dyDescent="0.25">
      <c r="A570" s="234" t="s">
        <v>235</v>
      </c>
      <c r="B570" s="105"/>
      <c r="C570" s="105"/>
      <c r="D570" s="105"/>
      <c r="E570" s="105"/>
      <c r="F570" s="105"/>
      <c r="G570" s="105"/>
      <c r="H570" s="105"/>
      <c r="I570" s="105"/>
      <c r="J570" s="105"/>
      <c r="K570" s="105"/>
      <c r="L570" s="105"/>
      <c r="M570" s="105"/>
      <c r="N570" s="235"/>
      <c r="O570" s="102"/>
      <c r="P570" s="106"/>
      <c r="Q570" s="106"/>
    </row>
    <row r="571" spans="1:17" x14ac:dyDescent="0.25">
      <c r="A571" s="234" t="s">
        <v>236</v>
      </c>
      <c r="B571" s="105"/>
      <c r="C571" s="105"/>
      <c r="D571" s="105"/>
      <c r="E571" s="105"/>
      <c r="F571" s="105"/>
      <c r="G571" s="105"/>
      <c r="H571" s="105"/>
      <c r="I571" s="105"/>
      <c r="J571" s="105"/>
      <c r="K571" s="105"/>
      <c r="L571" s="105"/>
      <c r="M571" s="105"/>
      <c r="N571" s="235"/>
      <c r="O571" s="102"/>
      <c r="P571" s="106"/>
      <c r="Q571" s="106"/>
    </row>
    <row r="572" spans="1:17" x14ac:dyDescent="0.25">
      <c r="A572" s="256" t="s">
        <v>237</v>
      </c>
      <c r="B572" s="105"/>
      <c r="C572" s="105"/>
      <c r="D572" s="105"/>
      <c r="E572" s="105"/>
      <c r="F572" s="105"/>
      <c r="G572" s="105"/>
      <c r="H572" s="105"/>
      <c r="I572" s="105"/>
      <c r="J572" s="105"/>
      <c r="K572" s="105"/>
      <c r="L572" s="105"/>
      <c r="M572" s="105"/>
      <c r="N572" s="235"/>
      <c r="O572" s="102"/>
      <c r="P572" s="106"/>
      <c r="Q572" s="106"/>
    </row>
    <row r="573" spans="1:17" x14ac:dyDescent="0.25">
      <c r="A573" s="256" t="s">
        <v>238</v>
      </c>
      <c r="B573" s="105"/>
      <c r="C573" s="105"/>
      <c r="D573" s="105"/>
      <c r="E573" s="105"/>
      <c r="F573" s="105"/>
      <c r="G573" s="105"/>
      <c r="H573" s="105"/>
      <c r="I573" s="105"/>
      <c r="J573" s="105"/>
      <c r="K573" s="105"/>
      <c r="L573" s="105"/>
      <c r="M573" s="105"/>
      <c r="N573" s="235"/>
      <c r="O573" s="102"/>
      <c r="P573" s="106"/>
      <c r="Q573" s="106"/>
    </row>
    <row r="574" spans="1:17" x14ac:dyDescent="0.25">
      <c r="A574" s="256" t="s">
        <v>295</v>
      </c>
      <c r="B574" s="105"/>
      <c r="C574" s="105"/>
      <c r="D574" s="105"/>
      <c r="E574" s="105"/>
      <c r="F574" s="105"/>
      <c r="G574" s="105"/>
      <c r="H574" s="105"/>
      <c r="I574" s="105"/>
      <c r="J574" s="105"/>
      <c r="K574" s="105"/>
      <c r="L574" s="105"/>
      <c r="M574" s="105"/>
      <c r="N574" s="235"/>
      <c r="O574" s="102"/>
      <c r="P574" s="106"/>
      <c r="Q574" s="106"/>
    </row>
    <row r="575" spans="1:17" x14ac:dyDescent="0.25">
      <c r="A575" s="249" t="s">
        <v>291</v>
      </c>
      <c r="B575" s="105"/>
      <c r="C575" s="105"/>
      <c r="D575" s="105"/>
      <c r="E575" s="105"/>
      <c r="F575" s="105"/>
      <c r="G575" s="247"/>
      <c r="H575" s="105"/>
      <c r="I575" s="105"/>
      <c r="J575" s="105"/>
      <c r="K575" s="105"/>
      <c r="L575" s="105"/>
      <c r="M575" s="105"/>
      <c r="N575" s="235"/>
      <c r="O575" s="102"/>
      <c r="P575" s="106"/>
      <c r="Q575" s="106"/>
    </row>
    <row r="576" spans="1:17" x14ac:dyDescent="0.25">
      <c r="A576" s="249" t="s">
        <v>292</v>
      </c>
      <c r="B576" s="105"/>
      <c r="C576" s="105"/>
      <c r="D576" s="105"/>
      <c r="E576" s="105"/>
      <c r="F576" s="105"/>
      <c r="G576" s="247"/>
      <c r="H576" s="105"/>
      <c r="I576" s="105"/>
      <c r="J576" s="105"/>
      <c r="K576" s="105"/>
      <c r="L576" s="105"/>
      <c r="M576" s="105"/>
      <c r="N576" s="235"/>
      <c r="O576" s="102"/>
      <c r="P576" s="106"/>
      <c r="Q576" s="106"/>
    </row>
    <row r="577" spans="1:17" x14ac:dyDescent="0.25">
      <c r="A577" s="234" t="s">
        <v>239</v>
      </c>
      <c r="B577" s="246"/>
      <c r="C577" s="247"/>
      <c r="D577" s="248"/>
      <c r="E577" s="105"/>
      <c r="F577" s="105"/>
      <c r="G577" s="247"/>
      <c r="H577" s="105"/>
      <c r="I577" s="105"/>
      <c r="J577" s="105"/>
      <c r="K577" s="105"/>
      <c r="L577" s="105"/>
      <c r="M577" s="105"/>
      <c r="N577" s="235"/>
      <c r="O577" s="102"/>
      <c r="P577" s="106"/>
      <c r="Q577" s="106"/>
    </row>
    <row r="578" spans="1:17" x14ac:dyDescent="0.25">
      <c r="A578" s="234" t="s">
        <v>240</v>
      </c>
      <c r="B578" s="105"/>
      <c r="C578" s="105"/>
      <c r="D578" s="105"/>
      <c r="E578" s="105"/>
      <c r="F578" s="105"/>
      <c r="G578" s="247"/>
      <c r="H578" s="105"/>
      <c r="I578" s="105"/>
      <c r="J578" s="105"/>
      <c r="K578" s="105"/>
      <c r="L578" s="105"/>
      <c r="M578" s="105"/>
      <c r="N578" s="235"/>
      <c r="O578" s="102"/>
      <c r="P578" s="106"/>
      <c r="Q578" s="106"/>
    </row>
    <row r="579" spans="1:17" x14ac:dyDescent="0.25">
      <c r="A579" s="249" t="s">
        <v>293</v>
      </c>
      <c r="B579" s="105"/>
      <c r="C579" s="105"/>
      <c r="D579" s="105"/>
      <c r="E579" s="105"/>
      <c r="F579" s="105"/>
      <c r="G579" s="257"/>
      <c r="H579" s="105"/>
      <c r="I579" s="105"/>
      <c r="J579" s="105"/>
      <c r="K579" s="105"/>
      <c r="L579" s="105"/>
      <c r="M579" s="105"/>
      <c r="N579" s="235"/>
      <c r="O579" s="102"/>
      <c r="P579" s="106"/>
      <c r="Q579" s="106"/>
    </row>
    <row r="580" spans="1:17" ht="27" customHeight="1" x14ac:dyDescent="0.25">
      <c r="A580" s="539" t="s">
        <v>294</v>
      </c>
      <c r="B580" s="540"/>
      <c r="C580" s="540"/>
      <c r="D580" s="540"/>
      <c r="E580" s="540"/>
      <c r="F580" s="540"/>
      <c r="G580" s="540"/>
      <c r="H580" s="540"/>
      <c r="I580" s="540"/>
      <c r="J580" s="540"/>
      <c r="K580" s="540"/>
      <c r="L580" s="540"/>
      <c r="M580" s="540"/>
      <c r="N580" s="541"/>
      <c r="O580" s="102"/>
      <c r="P580" s="106"/>
      <c r="Q580" s="106"/>
    </row>
    <row r="581" spans="1:17" ht="27" customHeight="1" x14ac:dyDescent="0.25">
      <c r="A581" s="539" t="s">
        <v>367</v>
      </c>
      <c r="B581" s="540"/>
      <c r="C581" s="540"/>
      <c r="D581" s="540"/>
      <c r="E581" s="540"/>
      <c r="F581" s="540"/>
      <c r="G581" s="540"/>
      <c r="H581" s="540"/>
      <c r="I581" s="540"/>
      <c r="J581" s="540"/>
      <c r="K581" s="540"/>
      <c r="L581" s="540"/>
      <c r="M581" s="540"/>
      <c r="N581" s="541"/>
      <c r="O581" s="102"/>
      <c r="P581" s="106"/>
      <c r="Q581" s="106"/>
    </row>
    <row r="582" spans="1:17" ht="27.75" customHeight="1" x14ac:dyDescent="0.25">
      <c r="A582" s="542" t="s">
        <v>368</v>
      </c>
      <c r="B582" s="543"/>
      <c r="C582" s="543"/>
      <c r="D582" s="543"/>
      <c r="E582" s="543"/>
      <c r="F582" s="543"/>
      <c r="G582" s="543"/>
      <c r="H582" s="543"/>
      <c r="I582" s="543"/>
      <c r="J582" s="543"/>
      <c r="K582" s="543"/>
      <c r="L582" s="543"/>
      <c r="M582" s="543"/>
      <c r="N582" s="544"/>
      <c r="O582" s="102"/>
      <c r="P582" s="106"/>
      <c r="Q582" s="106"/>
    </row>
    <row r="583" spans="1:17" x14ac:dyDescent="0.25">
      <c r="A583" s="78"/>
      <c r="B583" s="144"/>
      <c r="C583" s="243"/>
      <c r="D583" s="80"/>
      <c r="E583" s="80"/>
      <c r="F583" s="144"/>
      <c r="G583" s="144"/>
      <c r="H583" s="80"/>
      <c r="I583" s="226"/>
      <c r="J583" s="226"/>
      <c r="K583" s="226"/>
      <c r="L583" s="226"/>
      <c r="M583" s="226"/>
      <c r="N583" s="226"/>
      <c r="O583" s="226"/>
    </row>
    <row r="584" spans="1:17" x14ac:dyDescent="0.25">
      <c r="A584" s="276" t="s">
        <v>15</v>
      </c>
      <c r="B584" s="103" t="s">
        <v>75</v>
      </c>
      <c r="C584" s="103" t="s">
        <v>17</v>
      </c>
      <c r="D584" s="102"/>
      <c r="E584" s="102"/>
      <c r="F584" s="102"/>
      <c r="G584" s="102"/>
      <c r="H584" s="102"/>
      <c r="I584" s="102"/>
      <c r="J584" s="102"/>
      <c r="K584" s="102"/>
      <c r="L584" s="102"/>
      <c r="M584" s="102"/>
      <c r="N584" s="102"/>
      <c r="O584" s="102"/>
    </row>
    <row r="585" spans="1:17" x14ac:dyDescent="0.25">
      <c r="A585" s="104" t="s">
        <v>18</v>
      </c>
      <c r="B585" s="145">
        <v>2009</v>
      </c>
      <c r="C585" s="145">
        <v>2010</v>
      </c>
      <c r="D585" s="145">
        <v>2011</v>
      </c>
      <c r="E585" s="145">
        <v>2012</v>
      </c>
      <c r="F585" s="145">
        <v>2013</v>
      </c>
      <c r="G585" s="145">
        <v>2014</v>
      </c>
      <c r="H585" s="145">
        <v>2015</v>
      </c>
      <c r="I585" s="145">
        <v>2016</v>
      </c>
      <c r="J585" s="258">
        <v>2017</v>
      </c>
      <c r="K585" s="258">
        <v>2018</v>
      </c>
      <c r="L585" s="258">
        <v>2019</v>
      </c>
      <c r="M585" s="258">
        <v>2020</v>
      </c>
      <c r="N585" s="145">
        <v>2021</v>
      </c>
      <c r="O585" s="102"/>
      <c r="P585" s="106"/>
      <c r="Q585" s="106"/>
    </row>
    <row r="586" spans="1:17" x14ac:dyDescent="0.25">
      <c r="A586" s="104" t="s">
        <v>19</v>
      </c>
      <c r="B586" s="280">
        <v>1080</v>
      </c>
      <c r="C586" s="280">
        <v>901</v>
      </c>
      <c r="D586" s="280">
        <v>901</v>
      </c>
      <c r="E586" s="280">
        <v>901</v>
      </c>
      <c r="F586" s="280">
        <v>901</v>
      </c>
      <c r="G586" s="280">
        <v>901</v>
      </c>
      <c r="H586" s="280">
        <v>901</v>
      </c>
      <c r="I586" s="280">
        <v>901</v>
      </c>
      <c r="J586" s="280">
        <v>901</v>
      </c>
      <c r="K586" s="280">
        <v>901</v>
      </c>
      <c r="L586" s="280">
        <v>901</v>
      </c>
      <c r="M586" s="280">
        <v>901</v>
      </c>
      <c r="N586" s="229">
        <v>901</v>
      </c>
      <c r="O586" s="102"/>
      <c r="P586" s="106"/>
      <c r="Q586" s="106"/>
    </row>
    <row r="587" spans="1:17" x14ac:dyDescent="0.25">
      <c r="A587" s="104" t="s">
        <v>20</v>
      </c>
      <c r="B587" s="280">
        <v>1775.91</v>
      </c>
      <c r="C587" s="280">
        <v>1651</v>
      </c>
      <c r="D587" s="280">
        <v>851</v>
      </c>
      <c r="E587" s="280">
        <v>1288.26477</v>
      </c>
      <c r="F587" s="280">
        <v>425.70000000000005</v>
      </c>
      <c r="G587" s="280">
        <v>1298.56477</v>
      </c>
      <c r="H587" s="280">
        <v>318.5</v>
      </c>
      <c r="I587" s="280">
        <v>1359.46477</v>
      </c>
      <c r="J587" s="280">
        <v>999.7</v>
      </c>
      <c r="K587" s="280">
        <v>1339.56477</v>
      </c>
      <c r="L587" s="280">
        <v>1191.2</v>
      </c>
      <c r="M587" s="280">
        <v>1451</v>
      </c>
      <c r="N587" s="229">
        <v>1451</v>
      </c>
      <c r="O587" s="102"/>
      <c r="P587" s="106"/>
      <c r="Q587" s="106"/>
    </row>
    <row r="588" spans="1:17" x14ac:dyDescent="0.25">
      <c r="A588" s="104" t="s">
        <v>21</v>
      </c>
      <c r="B588" s="280"/>
      <c r="C588" s="280"/>
      <c r="D588" s="280"/>
      <c r="E588" s="280"/>
      <c r="F588" s="280"/>
      <c r="G588" s="280"/>
      <c r="H588" s="280"/>
      <c r="I588" s="280"/>
      <c r="J588" s="280"/>
      <c r="K588" s="280"/>
      <c r="L588" s="280"/>
      <c r="M588" s="280"/>
      <c r="N588" s="229"/>
      <c r="O588" s="102"/>
      <c r="P588" s="106"/>
      <c r="Q588" s="106"/>
    </row>
    <row r="589" spans="1:17" x14ac:dyDescent="0.25">
      <c r="A589" s="104" t="s">
        <v>22</v>
      </c>
      <c r="B589" s="280">
        <v>900.11276999999995</v>
      </c>
      <c r="C589" s="280">
        <v>1213.73523</v>
      </c>
      <c r="D589" s="280">
        <v>1276.3</v>
      </c>
      <c r="E589" s="280">
        <v>840.7</v>
      </c>
      <c r="F589" s="280">
        <v>958.2</v>
      </c>
      <c r="G589" s="280">
        <v>790.1</v>
      </c>
      <c r="H589" s="280">
        <v>569.79999999999995</v>
      </c>
      <c r="I589" s="280">
        <v>870.9</v>
      </c>
      <c r="J589" s="280">
        <v>659.5</v>
      </c>
      <c r="K589" s="280">
        <v>698</v>
      </c>
      <c r="L589" s="280">
        <v>376.26518099999998</v>
      </c>
      <c r="M589" s="280"/>
      <c r="N589" s="229"/>
      <c r="O589" s="102"/>
      <c r="P589" s="106"/>
      <c r="Q589" s="106"/>
    </row>
    <row r="590" spans="1:17" x14ac:dyDescent="0.25">
      <c r="A590" s="104" t="s">
        <v>23</v>
      </c>
      <c r="B590" s="280">
        <v>875.79723000000013</v>
      </c>
      <c r="C590" s="280">
        <v>437.26477</v>
      </c>
      <c r="D590" s="280">
        <v>425.3</v>
      </c>
      <c r="E590" s="280">
        <v>447.56476999999995</v>
      </c>
      <c r="F590" s="280">
        <v>532.5</v>
      </c>
      <c r="G590" s="280">
        <v>508.46476999999993</v>
      </c>
      <c r="H590" s="280">
        <v>148.70000000000005</v>
      </c>
      <c r="I590" s="280">
        <v>488.56477000000007</v>
      </c>
      <c r="J590" s="280">
        <v>340.20000000000005</v>
      </c>
      <c r="K590" s="280">
        <v>641.56476999999995</v>
      </c>
      <c r="L590" s="280">
        <v>814.93481899999995</v>
      </c>
      <c r="M590" s="280"/>
      <c r="N590" s="229"/>
      <c r="O590" s="102"/>
      <c r="P590" s="106"/>
      <c r="Q590" s="106"/>
    </row>
    <row r="591" spans="1:17" x14ac:dyDescent="0.25">
      <c r="A591" s="104" t="s">
        <v>24</v>
      </c>
      <c r="B591" s="239"/>
      <c r="C591" s="239"/>
      <c r="D591" s="239"/>
      <c r="E591" s="239"/>
      <c r="F591" s="239"/>
      <c r="G591" s="239"/>
      <c r="H591" s="239"/>
      <c r="I591" s="239"/>
      <c r="J591" s="255"/>
      <c r="K591" s="255"/>
      <c r="L591" s="255"/>
      <c r="M591" s="255"/>
      <c r="N591" s="229"/>
      <c r="O591" s="102"/>
      <c r="P591" s="106"/>
      <c r="Q591" s="106"/>
    </row>
    <row r="592" spans="1:17" s="2" customFormat="1" x14ac:dyDescent="0.25">
      <c r="A592" s="231" t="s">
        <v>228</v>
      </c>
      <c r="B592" s="232"/>
      <c r="C592" s="232"/>
      <c r="D592" s="232"/>
      <c r="E592" s="232"/>
      <c r="F592" s="232"/>
      <c r="G592" s="232"/>
      <c r="H592" s="232"/>
      <c r="I592" s="232"/>
      <c r="J592" s="232"/>
      <c r="K592" s="232"/>
      <c r="L592" s="232"/>
      <c r="M592" s="232"/>
      <c r="N592" s="233"/>
      <c r="O592" s="102"/>
      <c r="P592" s="106"/>
      <c r="Q592" s="106"/>
    </row>
    <row r="593" spans="1:17" s="2" customFormat="1" x14ac:dyDescent="0.25">
      <c r="A593" s="234" t="s">
        <v>369</v>
      </c>
      <c r="B593" s="105"/>
      <c r="C593" s="105"/>
      <c r="D593" s="105"/>
      <c r="E593" s="105"/>
      <c r="F593" s="105"/>
      <c r="G593" s="105"/>
      <c r="H593" s="105"/>
      <c r="I593" s="105"/>
      <c r="J593" s="105"/>
      <c r="K593" s="105"/>
      <c r="L593" s="105"/>
      <c r="M593" s="105"/>
      <c r="N593" s="235"/>
      <c r="O593" s="102"/>
      <c r="P593" s="106"/>
      <c r="Q593" s="106"/>
    </row>
    <row r="594" spans="1:17" s="2" customFormat="1" x14ac:dyDescent="0.25">
      <c r="A594" s="234" t="s">
        <v>241</v>
      </c>
      <c r="B594" s="105"/>
      <c r="C594" s="105"/>
      <c r="D594" s="105"/>
      <c r="E594" s="105"/>
      <c r="F594" s="105"/>
      <c r="G594" s="105"/>
      <c r="H594" s="105"/>
      <c r="I594" s="105"/>
      <c r="J594" s="105"/>
      <c r="K594" s="105"/>
      <c r="L594" s="105"/>
      <c r="M594" s="105"/>
      <c r="N594" s="235"/>
      <c r="O594" s="102"/>
      <c r="P594" s="106"/>
      <c r="Q594" s="106"/>
    </row>
    <row r="595" spans="1:17" s="2" customFormat="1" x14ac:dyDescent="0.25">
      <c r="A595" s="234" t="s">
        <v>242</v>
      </c>
      <c r="B595" s="105"/>
      <c r="C595" s="105"/>
      <c r="D595" s="105"/>
      <c r="E595" s="105"/>
      <c r="F595" s="105"/>
      <c r="G595" s="105"/>
      <c r="H595" s="105"/>
      <c r="I595" s="105"/>
      <c r="J595" s="105"/>
      <c r="K595" s="105"/>
      <c r="L595" s="105"/>
      <c r="M595" s="105"/>
      <c r="N595" s="235"/>
      <c r="O595" s="102"/>
      <c r="P595" s="106"/>
      <c r="Q595" s="106"/>
    </row>
    <row r="596" spans="1:17" s="2" customFormat="1" x14ac:dyDescent="0.25">
      <c r="A596" s="234" t="s">
        <v>243</v>
      </c>
      <c r="B596" s="105"/>
      <c r="C596" s="105"/>
      <c r="D596" s="105"/>
      <c r="E596" s="105"/>
      <c r="F596" s="105"/>
      <c r="G596" s="105"/>
      <c r="H596" s="105"/>
      <c r="I596" s="105"/>
      <c r="J596" s="105"/>
      <c r="K596" s="105"/>
      <c r="L596" s="105"/>
      <c r="M596" s="105"/>
      <c r="N596" s="235"/>
      <c r="O596" s="102"/>
      <c r="P596" s="106"/>
      <c r="Q596" s="106"/>
    </row>
    <row r="597" spans="1:17" s="2" customFormat="1" x14ac:dyDescent="0.25">
      <c r="A597" s="234" t="s">
        <v>244</v>
      </c>
      <c r="B597" s="246"/>
      <c r="C597" s="247"/>
      <c r="D597" s="248"/>
      <c r="E597" s="105"/>
      <c r="F597" s="105"/>
      <c r="G597" s="247"/>
      <c r="H597" s="105"/>
      <c r="I597" s="105"/>
      <c r="J597" s="105"/>
      <c r="K597" s="105"/>
      <c r="L597" s="105"/>
      <c r="M597" s="105"/>
      <c r="N597" s="235"/>
      <c r="O597" s="102"/>
      <c r="P597" s="106"/>
      <c r="Q597" s="106"/>
    </row>
    <row r="598" spans="1:17" s="2" customFormat="1" x14ac:dyDescent="0.25">
      <c r="A598" s="234" t="s">
        <v>245</v>
      </c>
      <c r="B598" s="105"/>
      <c r="C598" s="105"/>
      <c r="D598" s="105"/>
      <c r="E598" s="105"/>
      <c r="F598" s="105"/>
      <c r="G598" s="247"/>
      <c r="H598" s="105"/>
      <c r="I598" s="105"/>
      <c r="J598" s="105"/>
      <c r="K598" s="105"/>
      <c r="L598" s="105"/>
      <c r="M598" s="105"/>
      <c r="N598" s="235"/>
      <c r="O598" s="102"/>
      <c r="P598" s="106"/>
      <c r="Q598" s="106"/>
    </row>
    <row r="599" spans="1:17" s="2" customFormat="1" x14ac:dyDescent="0.25">
      <c r="A599" s="234" t="s">
        <v>246</v>
      </c>
      <c r="B599" s="105"/>
      <c r="C599" s="105"/>
      <c r="D599" s="105"/>
      <c r="E599" s="105"/>
      <c r="F599" s="105"/>
      <c r="G599" s="247"/>
      <c r="H599" s="105"/>
      <c r="I599" s="105"/>
      <c r="J599" s="105"/>
      <c r="K599" s="105"/>
      <c r="L599" s="105"/>
      <c r="M599" s="105"/>
      <c r="N599" s="235"/>
      <c r="O599" s="102"/>
      <c r="P599" s="106"/>
      <c r="Q599" s="106"/>
    </row>
    <row r="600" spans="1:17" s="2" customFormat="1" x14ac:dyDescent="0.25">
      <c r="A600" s="234" t="s">
        <v>247</v>
      </c>
      <c r="B600" s="105"/>
      <c r="C600" s="105"/>
      <c r="D600" s="105"/>
      <c r="E600" s="105"/>
      <c r="F600" s="105"/>
      <c r="G600" s="247"/>
      <c r="H600" s="105"/>
      <c r="I600" s="105"/>
      <c r="J600" s="105"/>
      <c r="K600" s="105"/>
      <c r="L600" s="105"/>
      <c r="M600" s="105"/>
      <c r="N600" s="235"/>
      <c r="O600" s="102"/>
      <c r="P600" s="106"/>
      <c r="Q600" s="106"/>
    </row>
    <row r="601" spans="1:17" s="2" customFormat="1" x14ac:dyDescent="0.25">
      <c r="A601" s="256" t="s">
        <v>248</v>
      </c>
      <c r="B601" s="105"/>
      <c r="C601" s="105"/>
      <c r="D601" s="105"/>
      <c r="E601" s="105"/>
      <c r="F601" s="105"/>
      <c r="G601" s="257"/>
      <c r="H601" s="105"/>
      <c r="I601" s="105"/>
      <c r="J601" s="105"/>
      <c r="K601" s="105"/>
      <c r="L601" s="105"/>
      <c r="M601" s="105"/>
      <c r="N601" s="235"/>
      <c r="O601" s="102"/>
      <c r="P601" s="106"/>
      <c r="Q601" s="106"/>
    </row>
    <row r="602" spans="1:17" s="2" customFormat="1" x14ac:dyDescent="0.25">
      <c r="A602" s="249" t="s">
        <v>296</v>
      </c>
      <c r="B602" s="105"/>
      <c r="C602" s="105"/>
      <c r="D602" s="105"/>
      <c r="E602" s="105"/>
      <c r="F602" s="105"/>
      <c r="G602" s="105"/>
      <c r="H602" s="105"/>
      <c r="I602" s="105"/>
      <c r="J602" s="105"/>
      <c r="K602" s="105"/>
      <c r="L602" s="105"/>
      <c r="M602" s="105"/>
      <c r="N602" s="235"/>
      <c r="O602" s="102"/>
      <c r="P602" s="106"/>
      <c r="Q602" s="106"/>
    </row>
    <row r="603" spans="1:17" s="2" customFormat="1" x14ac:dyDescent="0.25">
      <c r="A603" s="249" t="s">
        <v>297</v>
      </c>
      <c r="B603" s="105"/>
      <c r="C603" s="105"/>
      <c r="D603" s="105"/>
      <c r="E603" s="105"/>
      <c r="F603" s="105"/>
      <c r="G603" s="105"/>
      <c r="H603" s="105"/>
      <c r="I603" s="105"/>
      <c r="J603" s="105"/>
      <c r="K603" s="105"/>
      <c r="L603" s="105"/>
      <c r="M603" s="105"/>
      <c r="N603" s="235"/>
      <c r="O603" s="102"/>
      <c r="P603" s="106"/>
      <c r="Q603" s="106"/>
    </row>
    <row r="604" spans="1:17" s="2" customFormat="1" x14ac:dyDescent="0.25">
      <c r="A604" s="259" t="s">
        <v>370</v>
      </c>
      <c r="B604" s="241"/>
      <c r="C604" s="241"/>
      <c r="D604" s="241"/>
      <c r="E604" s="241"/>
      <c r="F604" s="241"/>
      <c r="G604" s="241"/>
      <c r="H604" s="241"/>
      <c r="I604" s="241"/>
      <c r="J604" s="241"/>
      <c r="K604" s="241"/>
      <c r="L604" s="241"/>
      <c r="M604" s="241"/>
      <c r="N604" s="242"/>
      <c r="O604" s="102"/>
      <c r="P604" s="106"/>
      <c r="Q604" s="106"/>
    </row>
    <row r="605" spans="1:17" x14ac:dyDescent="0.25">
      <c r="A605" s="78"/>
      <c r="B605" s="144"/>
      <c r="C605" s="243"/>
      <c r="D605" s="80"/>
      <c r="E605" s="80"/>
      <c r="F605" s="144"/>
      <c r="G605" s="144"/>
      <c r="H605" s="80"/>
      <c r="I605" s="226"/>
      <c r="J605" s="226"/>
      <c r="K605" s="226"/>
      <c r="L605" s="226"/>
      <c r="M605" s="226"/>
      <c r="N605" s="226"/>
      <c r="O605" s="226"/>
    </row>
    <row r="606" spans="1:17" x14ac:dyDescent="0.25">
      <c r="A606" s="276" t="s">
        <v>15</v>
      </c>
      <c r="B606" s="279" t="s">
        <v>249</v>
      </c>
      <c r="C606" s="103" t="s">
        <v>17</v>
      </c>
      <c r="D606" s="102"/>
      <c r="E606" s="102"/>
      <c r="F606" s="102"/>
      <c r="G606" s="102"/>
      <c r="H606" s="102"/>
      <c r="I606" s="102"/>
      <c r="J606" s="102"/>
      <c r="K606" s="102"/>
      <c r="L606" s="102"/>
      <c r="M606" s="226"/>
      <c r="N606" s="226"/>
      <c r="O606" s="226"/>
    </row>
    <row r="607" spans="1:17" customFormat="1" ht="14.4" x14ac:dyDescent="0.3">
      <c r="A607" s="104" t="s">
        <v>18</v>
      </c>
      <c r="B607" s="145">
        <v>2009</v>
      </c>
      <c r="C607" s="145">
        <v>2010</v>
      </c>
      <c r="D607" s="145">
        <v>2011</v>
      </c>
      <c r="E607" s="145">
        <v>2012</v>
      </c>
      <c r="F607" s="145">
        <v>2013</v>
      </c>
      <c r="G607" s="145">
        <v>2014</v>
      </c>
      <c r="H607" s="145">
        <v>2015</v>
      </c>
      <c r="I607" s="145">
        <v>2016</v>
      </c>
      <c r="J607" s="145">
        <v>2017</v>
      </c>
      <c r="K607" s="145">
        <v>2018</v>
      </c>
      <c r="L607" s="145">
        <v>2019</v>
      </c>
      <c r="M607" s="145">
        <v>2020</v>
      </c>
      <c r="N607" s="227"/>
      <c r="O607" s="228"/>
      <c r="P607" s="150"/>
    </row>
    <row r="608" spans="1:17" customFormat="1" ht="14.4" x14ac:dyDescent="0.3">
      <c r="A608" s="104" t="s">
        <v>19</v>
      </c>
      <c r="B608" s="260">
        <v>1871.44</v>
      </c>
      <c r="C608" s="260">
        <v>1148.05</v>
      </c>
      <c r="D608" s="260">
        <v>1097.03</v>
      </c>
      <c r="E608" s="260">
        <v>1097.03</v>
      </c>
      <c r="F608" s="260">
        <v>1139.55</v>
      </c>
      <c r="G608" s="260">
        <v>1139.55</v>
      </c>
      <c r="H608" s="260">
        <v>1345.44</v>
      </c>
      <c r="I608" s="260">
        <v>1608.21</v>
      </c>
      <c r="J608" s="260">
        <v>1930.88</v>
      </c>
      <c r="K608" s="260">
        <v>2279</v>
      </c>
      <c r="L608" s="260">
        <v>2544</v>
      </c>
      <c r="M608" s="229">
        <v>2819</v>
      </c>
      <c r="N608" s="227"/>
      <c r="O608" s="228"/>
      <c r="P608" s="150"/>
    </row>
    <row r="609" spans="1:16" customFormat="1" ht="14.4" x14ac:dyDescent="0.3">
      <c r="A609" s="104" t="s">
        <v>20</v>
      </c>
      <c r="B609" s="260">
        <v>1871.44</v>
      </c>
      <c r="C609" s="260">
        <v>1148.05</v>
      </c>
      <c r="D609" s="260">
        <v>1097.03</v>
      </c>
      <c r="E609" s="260">
        <v>1097.03</v>
      </c>
      <c r="F609" s="260">
        <v>1139.55</v>
      </c>
      <c r="G609" s="260">
        <v>1139.55</v>
      </c>
      <c r="H609" s="260">
        <v>1390.44</v>
      </c>
      <c r="I609" s="260">
        <v>1583.21</v>
      </c>
      <c r="J609" s="260">
        <v>1910.88</v>
      </c>
      <c r="K609" s="260">
        <v>2279</v>
      </c>
      <c r="L609" s="260">
        <v>2544</v>
      </c>
      <c r="M609" s="229">
        <v>2839.27</v>
      </c>
      <c r="N609" s="227"/>
      <c r="O609" s="228"/>
      <c r="P609" s="150"/>
    </row>
    <row r="610" spans="1:16" customFormat="1" ht="14.4" x14ac:dyDescent="0.3">
      <c r="A610" s="104" t="s">
        <v>21</v>
      </c>
      <c r="B610" s="239"/>
      <c r="C610" s="239"/>
      <c r="D610" s="239"/>
      <c r="E610" s="239"/>
      <c r="F610" s="239"/>
      <c r="G610" s="239"/>
      <c r="H610" s="239"/>
      <c r="I610" s="239"/>
      <c r="J610" s="239"/>
      <c r="K610" s="239"/>
      <c r="L610" s="239"/>
      <c r="M610" s="229"/>
      <c r="N610" s="227"/>
      <c r="O610" s="228"/>
      <c r="P610" s="150"/>
    </row>
    <row r="611" spans="1:16" customFormat="1" ht="14.4" x14ac:dyDescent="0.3">
      <c r="A611" s="104" t="s">
        <v>22</v>
      </c>
      <c r="B611" s="261">
        <v>1858.2</v>
      </c>
      <c r="C611" s="255">
        <v>1139.2777599999999</v>
      </c>
      <c r="D611" s="255">
        <v>1088.8235599999998</v>
      </c>
      <c r="E611" s="255">
        <v>1092.5993599999999</v>
      </c>
      <c r="F611" s="239">
        <v>1128.97</v>
      </c>
      <c r="G611" s="239">
        <v>1134.47</v>
      </c>
      <c r="H611" s="239">
        <v>1385.92</v>
      </c>
      <c r="I611" s="239">
        <v>1578.37</v>
      </c>
      <c r="J611" s="244">
        <v>1910.65104</v>
      </c>
      <c r="K611" s="244">
        <v>2269.7609000000002</v>
      </c>
      <c r="L611" s="239">
        <v>2523.73</v>
      </c>
      <c r="M611" s="229"/>
      <c r="N611" s="227"/>
      <c r="O611" s="228"/>
      <c r="P611" s="150"/>
    </row>
    <row r="612" spans="1:16" customFormat="1" ht="14.4" x14ac:dyDescent="0.3">
      <c r="A612" s="104" t="s">
        <v>23</v>
      </c>
      <c r="B612" s="244">
        <v>13.240000000000009</v>
      </c>
      <c r="C612" s="244">
        <v>8.7722400000000107</v>
      </c>
      <c r="D612" s="244">
        <v>8.2064400000001569</v>
      </c>
      <c r="E612" s="244">
        <v>4.4306400000000394</v>
      </c>
      <c r="F612" s="244">
        <v>10.579999999999927</v>
      </c>
      <c r="G612" s="244">
        <v>5.0799999999999272</v>
      </c>
      <c r="H612" s="244">
        <v>4.5199999999999818</v>
      </c>
      <c r="I612" s="244">
        <v>4.8400000000001455</v>
      </c>
      <c r="J612" s="244">
        <v>0.22896000000014283</v>
      </c>
      <c r="K612" s="244">
        <v>9.2390999999997803</v>
      </c>
      <c r="L612" s="244">
        <v>20.269999999999982</v>
      </c>
      <c r="M612" s="229"/>
      <c r="N612" s="227"/>
      <c r="O612" s="228"/>
      <c r="P612" s="150"/>
    </row>
    <row r="613" spans="1:16" customFormat="1" ht="14.4" x14ac:dyDescent="0.3">
      <c r="A613" s="231" t="s">
        <v>24</v>
      </c>
      <c r="B613" s="281"/>
      <c r="C613" s="281"/>
      <c r="D613" s="281"/>
      <c r="E613" s="281"/>
      <c r="F613" s="281"/>
      <c r="G613" s="281"/>
      <c r="H613" s="281"/>
      <c r="I613" s="281"/>
      <c r="J613" s="281"/>
      <c r="K613" s="281"/>
      <c r="L613" s="281"/>
      <c r="M613" s="282"/>
      <c r="N613" s="227"/>
      <c r="O613" s="228"/>
      <c r="P613" s="150"/>
    </row>
    <row r="614" spans="1:16" customFormat="1" ht="14.4" x14ac:dyDescent="0.3">
      <c r="A614" s="231" t="s">
        <v>228</v>
      </c>
      <c r="B614" s="232"/>
      <c r="C614" s="232"/>
      <c r="D614" s="232"/>
      <c r="E614" s="232"/>
      <c r="F614" s="232"/>
      <c r="G614" s="232"/>
      <c r="H614" s="232"/>
      <c r="I614" s="232"/>
      <c r="J614" s="232"/>
      <c r="K614" s="232"/>
      <c r="L614" s="232"/>
      <c r="M614" s="233"/>
      <c r="N614" s="227"/>
      <c r="O614" s="228"/>
      <c r="P614" s="150"/>
    </row>
    <row r="615" spans="1:16" customFormat="1" ht="14.4" x14ac:dyDescent="0.3">
      <c r="A615" s="234" t="s">
        <v>250</v>
      </c>
      <c r="B615" s="105"/>
      <c r="C615" s="105"/>
      <c r="D615" s="105"/>
      <c r="E615" s="105"/>
      <c r="F615" s="105"/>
      <c r="G615" s="105"/>
      <c r="H615" s="105"/>
      <c r="I615" s="105"/>
      <c r="J615" s="105"/>
      <c r="K615" s="105"/>
      <c r="L615" s="105"/>
      <c r="M615" s="235"/>
      <c r="N615" s="227"/>
      <c r="O615" s="228"/>
      <c r="P615" s="150"/>
    </row>
    <row r="616" spans="1:16" customFormat="1" ht="14.4" x14ac:dyDescent="0.3">
      <c r="A616" s="234" t="s">
        <v>251</v>
      </c>
      <c r="B616" s="105"/>
      <c r="C616" s="105"/>
      <c r="D616" s="105"/>
      <c r="E616" s="105"/>
      <c r="F616" s="105"/>
      <c r="G616" s="105"/>
      <c r="H616" s="105"/>
      <c r="I616" s="105"/>
      <c r="J616" s="105"/>
      <c r="K616" s="105"/>
      <c r="L616" s="105"/>
      <c r="M616" s="235"/>
      <c r="N616" s="227"/>
      <c r="O616" s="228"/>
      <c r="P616" s="150"/>
    </row>
    <row r="617" spans="1:16" customFormat="1" ht="14.4" x14ac:dyDescent="0.3">
      <c r="A617" s="234" t="s">
        <v>252</v>
      </c>
      <c r="B617" s="105"/>
      <c r="C617" s="105"/>
      <c r="D617" s="105"/>
      <c r="E617" s="105"/>
      <c r="F617" s="105"/>
      <c r="G617" s="105"/>
      <c r="H617" s="105"/>
      <c r="I617" s="105"/>
      <c r="J617" s="105"/>
      <c r="K617" s="105"/>
      <c r="L617" s="105"/>
      <c r="M617" s="235"/>
      <c r="N617" s="227"/>
      <c r="O617" s="228"/>
      <c r="P617" s="150"/>
    </row>
    <row r="618" spans="1:16" customFormat="1" ht="14.4" x14ac:dyDescent="0.3">
      <c r="A618" s="234" t="s">
        <v>253</v>
      </c>
      <c r="B618" s="105"/>
      <c r="C618" s="105"/>
      <c r="D618" s="105"/>
      <c r="E618" s="105"/>
      <c r="F618" s="105"/>
      <c r="G618" s="105"/>
      <c r="H618" s="105"/>
      <c r="I618" s="105"/>
      <c r="J618" s="105"/>
      <c r="K618" s="105"/>
      <c r="L618" s="105"/>
      <c r="M618" s="235"/>
      <c r="N618" s="227"/>
      <c r="O618" s="228"/>
      <c r="P618" s="150"/>
    </row>
    <row r="619" spans="1:16" customFormat="1" ht="14.4" x14ac:dyDescent="0.3">
      <c r="A619" s="249" t="s">
        <v>298</v>
      </c>
      <c r="B619" s="246"/>
      <c r="C619" s="247"/>
      <c r="D619" s="248"/>
      <c r="E619" s="105"/>
      <c r="F619" s="105"/>
      <c r="G619" s="247"/>
      <c r="H619" s="105"/>
      <c r="I619" s="105"/>
      <c r="J619" s="105"/>
      <c r="K619" s="105"/>
      <c r="L619" s="105"/>
      <c r="M619" s="235"/>
      <c r="N619" s="227"/>
      <c r="O619" s="228"/>
      <c r="P619" s="150"/>
    </row>
    <row r="620" spans="1:16" customFormat="1" ht="14.4" x14ac:dyDescent="0.3">
      <c r="A620" s="249" t="s">
        <v>371</v>
      </c>
      <c r="B620" s="246"/>
      <c r="C620" s="247"/>
      <c r="D620" s="248"/>
      <c r="E620" s="105"/>
      <c r="F620" s="105"/>
      <c r="G620" s="247"/>
      <c r="H620" s="105"/>
      <c r="I620" s="105"/>
      <c r="J620" s="105"/>
      <c r="K620" s="105"/>
      <c r="L620" s="105"/>
      <c r="M620" s="235"/>
      <c r="N620" s="227"/>
      <c r="O620" s="228"/>
      <c r="P620" s="150"/>
    </row>
    <row r="621" spans="1:16" customFormat="1" ht="14.4" x14ac:dyDescent="0.3">
      <c r="A621" s="249" t="s">
        <v>299</v>
      </c>
      <c r="B621" s="246"/>
      <c r="C621" s="247"/>
      <c r="D621" s="248"/>
      <c r="E621" s="105"/>
      <c r="F621" s="105"/>
      <c r="G621" s="247"/>
      <c r="H621" s="105"/>
      <c r="I621" s="105"/>
      <c r="J621" s="105"/>
      <c r="K621" s="105"/>
      <c r="L621" s="105"/>
      <c r="M621" s="235"/>
      <c r="N621" s="227"/>
      <c r="O621" s="228"/>
      <c r="P621" s="150"/>
    </row>
    <row r="622" spans="1:16" customFormat="1" ht="14.4" x14ac:dyDescent="0.3">
      <c r="A622" s="259" t="s">
        <v>372</v>
      </c>
      <c r="B622" s="241"/>
      <c r="C622" s="241"/>
      <c r="D622" s="241"/>
      <c r="E622" s="241"/>
      <c r="F622" s="241"/>
      <c r="G622" s="262"/>
      <c r="H622" s="241"/>
      <c r="I622" s="241"/>
      <c r="J622" s="241"/>
      <c r="K622" s="241"/>
      <c r="L622" s="241"/>
      <c r="M622" s="242"/>
      <c r="N622" s="227"/>
      <c r="O622" s="228"/>
      <c r="P622" s="150"/>
    </row>
    <row r="623" spans="1:16" x14ac:dyDescent="0.25">
      <c r="A623" s="78"/>
      <c r="B623" s="144"/>
      <c r="C623" s="243"/>
      <c r="D623" s="80"/>
      <c r="E623" s="80"/>
      <c r="F623" s="144"/>
      <c r="G623" s="144"/>
      <c r="H623" s="80"/>
      <c r="I623" s="226"/>
      <c r="J623" s="226"/>
      <c r="K623" s="226"/>
      <c r="L623" s="226"/>
      <c r="M623" s="226"/>
      <c r="N623" s="226"/>
      <c r="O623" s="226"/>
    </row>
    <row r="624" spans="1:16" x14ac:dyDescent="0.25">
      <c r="A624" s="276" t="s">
        <v>15</v>
      </c>
      <c r="B624" s="279" t="s">
        <v>254</v>
      </c>
      <c r="C624" s="103" t="s">
        <v>17</v>
      </c>
      <c r="D624" s="102"/>
      <c r="E624" s="102"/>
      <c r="F624" s="102"/>
      <c r="G624" s="102"/>
      <c r="H624" s="102"/>
      <c r="I624" s="102"/>
      <c r="J624" s="102"/>
      <c r="K624" s="102"/>
      <c r="L624" s="102"/>
      <c r="M624" s="226"/>
      <c r="N624" s="226"/>
      <c r="O624" s="226"/>
    </row>
    <row r="625" spans="1:16" x14ac:dyDescent="0.25">
      <c r="A625" s="104" t="s">
        <v>18</v>
      </c>
      <c r="B625" s="263">
        <v>2009</v>
      </c>
      <c r="C625" s="263">
        <v>2010</v>
      </c>
      <c r="D625" s="263">
        <v>2011</v>
      </c>
      <c r="E625" s="263">
        <v>2012</v>
      </c>
      <c r="F625" s="263">
        <v>2013</v>
      </c>
      <c r="G625" s="263">
        <v>2014</v>
      </c>
      <c r="H625" s="264">
        <v>2015</v>
      </c>
      <c r="I625" s="264">
        <v>2016</v>
      </c>
      <c r="J625" s="264">
        <v>2017</v>
      </c>
      <c r="K625" s="264">
        <v>2018</v>
      </c>
      <c r="L625" s="264">
        <v>2019</v>
      </c>
      <c r="M625" s="264">
        <v>2020</v>
      </c>
      <c r="N625" s="102"/>
      <c r="O625" s="102"/>
      <c r="P625" s="106"/>
    </row>
    <row r="626" spans="1:16" x14ac:dyDescent="0.25">
      <c r="A626" s="104" t="s">
        <v>19</v>
      </c>
      <c r="B626" s="265">
        <v>329.79</v>
      </c>
      <c r="C626" s="229">
        <v>311.02</v>
      </c>
      <c r="D626" s="266">
        <v>301.64</v>
      </c>
      <c r="E626" s="266">
        <v>301.64</v>
      </c>
      <c r="F626" s="266">
        <v>301.64</v>
      </c>
      <c r="G626" s="266">
        <v>301.64</v>
      </c>
      <c r="H626" s="266">
        <v>345.74</v>
      </c>
      <c r="I626" s="266">
        <v>345.74</v>
      </c>
      <c r="J626" s="267">
        <v>345.74</v>
      </c>
      <c r="K626" s="267">
        <v>407.48</v>
      </c>
      <c r="L626" s="267">
        <v>407.48</v>
      </c>
      <c r="M626" s="266">
        <v>407.48</v>
      </c>
      <c r="N626" s="102"/>
      <c r="O626" s="102"/>
      <c r="P626" s="106"/>
    </row>
    <row r="627" spans="1:16" x14ac:dyDescent="0.25">
      <c r="A627" s="104" t="s">
        <v>20</v>
      </c>
      <c r="B627" s="229">
        <v>402.56000000000006</v>
      </c>
      <c r="C627" s="229">
        <v>431.91</v>
      </c>
      <c r="D627" s="229">
        <v>308.37</v>
      </c>
      <c r="E627" s="229">
        <v>306.06</v>
      </c>
      <c r="F627" s="229">
        <v>304.12</v>
      </c>
      <c r="G627" s="229">
        <v>303.5</v>
      </c>
      <c r="H627" s="229">
        <v>346.61</v>
      </c>
      <c r="I627" s="266">
        <v>346.83000000000004</v>
      </c>
      <c r="J627" s="267">
        <v>347.08035600000011</v>
      </c>
      <c r="K627" s="267">
        <v>408.73035600000014</v>
      </c>
      <c r="L627" s="267">
        <v>409.20815600000014</v>
      </c>
      <c r="M627" s="266">
        <v>410.39696779704036</v>
      </c>
      <c r="N627" s="102"/>
      <c r="O627" s="102"/>
      <c r="P627" s="106"/>
    </row>
    <row r="628" spans="1:16" x14ac:dyDescent="0.25">
      <c r="A628" s="104" t="s">
        <v>21</v>
      </c>
      <c r="B628" s="265"/>
      <c r="C628" s="229"/>
      <c r="D628" s="266"/>
      <c r="E628" s="266"/>
      <c r="F628" s="266"/>
      <c r="G628" s="266"/>
      <c r="H628" s="266"/>
      <c r="I628" s="266"/>
      <c r="J628" s="268"/>
      <c r="K628" s="268"/>
      <c r="L628" s="268"/>
      <c r="M628" s="266"/>
      <c r="N628" s="102"/>
      <c r="O628" s="102"/>
      <c r="P628" s="106"/>
    </row>
    <row r="629" spans="1:16" x14ac:dyDescent="0.25">
      <c r="A629" s="104" t="s">
        <v>22</v>
      </c>
      <c r="B629" s="265">
        <v>281.67</v>
      </c>
      <c r="C629" s="229">
        <v>425.18</v>
      </c>
      <c r="D629" s="266">
        <v>303.95</v>
      </c>
      <c r="E629" s="266">
        <v>303.58</v>
      </c>
      <c r="F629" s="266">
        <v>302.26</v>
      </c>
      <c r="G629" s="266">
        <v>302.63</v>
      </c>
      <c r="H629" s="266">
        <v>345.52</v>
      </c>
      <c r="I629" s="266">
        <v>345.48964399999994</v>
      </c>
      <c r="J629" s="268">
        <v>345.83</v>
      </c>
      <c r="K629" s="269">
        <v>407.00220000000002</v>
      </c>
      <c r="L629" s="268">
        <v>406.2911882029598</v>
      </c>
      <c r="M629" s="266"/>
      <c r="N629" s="102"/>
      <c r="O629" s="102"/>
      <c r="P629" s="106"/>
    </row>
    <row r="630" spans="1:16" x14ac:dyDescent="0.25">
      <c r="A630" s="104" t="s">
        <v>23</v>
      </c>
      <c r="B630" s="229">
        <v>120.89000000000004</v>
      </c>
      <c r="C630" s="229">
        <v>6.7300000000000182</v>
      </c>
      <c r="D630" s="229">
        <v>4.4200000000000159</v>
      </c>
      <c r="E630" s="229">
        <v>2.4800000000000182</v>
      </c>
      <c r="F630" s="229">
        <v>1.8600000000000136</v>
      </c>
      <c r="G630" s="229">
        <v>0.87000000000000455</v>
      </c>
      <c r="H630" s="266">
        <v>1.0900000000000318</v>
      </c>
      <c r="I630" s="266">
        <v>1.3403560000000994</v>
      </c>
      <c r="J630" s="269">
        <v>1.2503560000001244</v>
      </c>
      <c r="K630" s="269">
        <v>1.7281560000001264</v>
      </c>
      <c r="L630" s="269">
        <v>2.9169677970403427</v>
      </c>
      <c r="M630" s="266"/>
      <c r="N630" s="102"/>
      <c r="O630" s="102"/>
      <c r="P630" s="106"/>
    </row>
    <row r="631" spans="1:16" x14ac:dyDescent="0.25">
      <c r="A631" s="104" t="s">
        <v>24</v>
      </c>
      <c r="B631" s="270"/>
      <c r="C631" s="239"/>
      <c r="D631" s="268"/>
      <c r="E631" s="268"/>
      <c r="F631" s="268"/>
      <c r="G631" s="268"/>
      <c r="H631" s="268"/>
      <c r="I631" s="268"/>
      <c r="J631" s="268"/>
      <c r="K631" s="268"/>
      <c r="L631" s="268"/>
      <c r="M631" s="266"/>
      <c r="N631" s="102"/>
      <c r="O631" s="102"/>
      <c r="P631" s="106"/>
    </row>
    <row r="632" spans="1:16" x14ac:dyDescent="0.25">
      <c r="A632" s="231" t="s">
        <v>228</v>
      </c>
      <c r="B632" s="232"/>
      <c r="C632" s="232"/>
      <c r="D632" s="232"/>
      <c r="E632" s="232"/>
      <c r="F632" s="232"/>
      <c r="G632" s="232"/>
      <c r="H632" s="232"/>
      <c r="I632" s="232"/>
      <c r="J632" s="232"/>
      <c r="K632" s="232"/>
      <c r="L632" s="232"/>
      <c r="M632" s="233"/>
      <c r="N632" s="102"/>
      <c r="O632" s="102"/>
      <c r="P632" s="106"/>
    </row>
    <row r="633" spans="1:16" x14ac:dyDescent="0.25">
      <c r="A633" s="234" t="s">
        <v>275</v>
      </c>
      <c r="B633" s="105"/>
      <c r="C633" s="105"/>
      <c r="D633" s="105"/>
      <c r="E633" s="105"/>
      <c r="F633" s="105"/>
      <c r="G633" s="105"/>
      <c r="H633" s="105"/>
      <c r="I633" s="105"/>
      <c r="J633" s="105"/>
      <c r="K633" s="105"/>
      <c r="L633" s="105"/>
      <c r="M633" s="235"/>
      <c r="N633" s="102"/>
      <c r="O633" s="102"/>
      <c r="P633" s="106"/>
    </row>
    <row r="634" spans="1:16" x14ac:dyDescent="0.25">
      <c r="A634" s="249" t="s">
        <v>300</v>
      </c>
      <c r="B634" s="105"/>
      <c r="C634" s="105"/>
      <c r="D634" s="105"/>
      <c r="E634" s="105"/>
      <c r="F634" s="105"/>
      <c r="G634" s="105"/>
      <c r="H634" s="105"/>
      <c r="I634" s="105"/>
      <c r="J634" s="105"/>
      <c r="K634" s="105"/>
      <c r="L634" s="105"/>
      <c r="M634" s="235"/>
      <c r="N634" s="102"/>
      <c r="O634" s="102"/>
      <c r="P634" s="106"/>
    </row>
    <row r="635" spans="1:16" x14ac:dyDescent="0.25">
      <c r="A635" s="249" t="s">
        <v>373</v>
      </c>
      <c r="B635" s="105"/>
      <c r="C635" s="105"/>
      <c r="D635" s="105"/>
      <c r="E635" s="105"/>
      <c r="F635" s="105"/>
      <c r="G635" s="105"/>
      <c r="H635" s="105"/>
      <c r="I635" s="105"/>
      <c r="J635" s="105"/>
      <c r="K635" s="105"/>
      <c r="L635" s="105"/>
      <c r="M635" s="235"/>
      <c r="N635" s="102"/>
      <c r="O635" s="102"/>
      <c r="P635" s="106"/>
    </row>
    <row r="636" spans="1:16" x14ac:dyDescent="0.25">
      <c r="A636" s="249" t="s">
        <v>374</v>
      </c>
      <c r="B636" s="105"/>
      <c r="C636" s="105"/>
      <c r="D636" s="105"/>
      <c r="E636" s="105"/>
      <c r="F636" s="105"/>
      <c r="G636" s="105"/>
      <c r="H636" s="105"/>
      <c r="I636" s="105"/>
      <c r="J636" s="105"/>
      <c r="K636" s="105"/>
      <c r="L636" s="105"/>
      <c r="M636" s="235"/>
      <c r="N636" s="102"/>
      <c r="O636" s="102"/>
      <c r="P636" s="106"/>
    </row>
    <row r="637" spans="1:16" x14ac:dyDescent="0.25">
      <c r="A637" s="259" t="s">
        <v>375</v>
      </c>
      <c r="B637" s="241"/>
      <c r="C637" s="241"/>
      <c r="D637" s="241"/>
      <c r="E637" s="241"/>
      <c r="F637" s="241"/>
      <c r="G637" s="241"/>
      <c r="H637" s="241"/>
      <c r="I637" s="241"/>
      <c r="J637" s="241"/>
      <c r="K637" s="241"/>
      <c r="L637" s="241"/>
      <c r="M637" s="242"/>
      <c r="N637" s="102"/>
      <c r="O637" s="102"/>
      <c r="P637" s="106"/>
    </row>
    <row r="638" spans="1:16" x14ac:dyDescent="0.25">
      <c r="A638" s="78"/>
      <c r="B638" s="144"/>
      <c r="C638" s="243"/>
      <c r="D638" s="80"/>
      <c r="E638" s="80"/>
      <c r="F638" s="144"/>
      <c r="G638" s="144"/>
      <c r="H638" s="80"/>
      <c r="I638" s="226"/>
      <c r="J638" s="226"/>
      <c r="K638" s="226"/>
      <c r="L638" s="226"/>
      <c r="M638" s="226"/>
      <c r="N638" s="226"/>
      <c r="O638" s="226"/>
    </row>
    <row r="639" spans="1:16" x14ac:dyDescent="0.25">
      <c r="A639" s="276" t="s">
        <v>15</v>
      </c>
      <c r="B639" s="279" t="s">
        <v>83</v>
      </c>
      <c r="C639" s="103" t="s">
        <v>17</v>
      </c>
      <c r="D639" s="102"/>
      <c r="E639" s="102"/>
      <c r="F639" s="102"/>
      <c r="G639" s="102"/>
      <c r="H639" s="102"/>
      <c r="I639" s="102"/>
      <c r="J639" s="102"/>
      <c r="K639" s="102"/>
      <c r="L639" s="102"/>
      <c r="M639" s="102"/>
      <c r="N639" s="102"/>
      <c r="O639" s="102"/>
    </row>
    <row r="640" spans="1:16" s="2" customFormat="1" x14ac:dyDescent="0.25">
      <c r="A640" s="104" t="s">
        <v>18</v>
      </c>
      <c r="B640" s="145">
        <v>2009</v>
      </c>
      <c r="C640" s="145">
        <v>2010</v>
      </c>
      <c r="D640" s="145">
        <v>2011</v>
      </c>
      <c r="E640" s="145">
        <v>2012</v>
      </c>
      <c r="F640" s="145">
        <v>2013</v>
      </c>
      <c r="G640" s="145">
        <v>2014</v>
      </c>
      <c r="H640" s="145">
        <v>2015</v>
      </c>
      <c r="I640" s="145">
        <v>2016</v>
      </c>
      <c r="J640" s="145">
        <v>2017</v>
      </c>
      <c r="K640" s="145">
        <v>2018</v>
      </c>
      <c r="L640" s="145">
        <v>2019</v>
      </c>
      <c r="M640" s="145"/>
      <c r="N640" s="102"/>
      <c r="O640" s="102"/>
      <c r="P640" s="106"/>
    </row>
    <row r="641" spans="1:16" s="2" customFormat="1" x14ac:dyDescent="0.25">
      <c r="A641" s="104" t="s">
        <v>19</v>
      </c>
      <c r="B641" s="229">
        <v>25000</v>
      </c>
      <c r="C641" s="229">
        <v>25000</v>
      </c>
      <c r="D641" s="229">
        <v>23611</v>
      </c>
      <c r="E641" s="229">
        <v>23611</v>
      </c>
      <c r="F641" s="255">
        <v>23611</v>
      </c>
      <c r="G641" s="255">
        <v>23611</v>
      </c>
      <c r="H641" s="255">
        <v>23611</v>
      </c>
      <c r="I641" s="255">
        <v>17696</v>
      </c>
      <c r="J641" s="260">
        <v>17696</v>
      </c>
      <c r="K641" s="260">
        <v>17696</v>
      </c>
      <c r="L641" s="260">
        <v>17696</v>
      </c>
      <c r="M641" s="229"/>
      <c r="N641" s="102"/>
      <c r="O641" s="102"/>
      <c r="P641" s="106"/>
    </row>
    <row r="642" spans="1:16" s="2" customFormat="1" x14ac:dyDescent="0.25">
      <c r="A642" s="104" t="s">
        <v>20</v>
      </c>
      <c r="B642" s="229">
        <v>30500</v>
      </c>
      <c r="C642" s="229">
        <v>29700</v>
      </c>
      <c r="D642" s="229">
        <v>26894.3</v>
      </c>
      <c r="E642" s="229">
        <v>27624.3</v>
      </c>
      <c r="F642" s="255">
        <v>27624.3</v>
      </c>
      <c r="G642" s="255">
        <v>27624.3</v>
      </c>
      <c r="H642" s="255">
        <v>27624.3</v>
      </c>
      <c r="I642" s="255">
        <v>20167.650000000001</v>
      </c>
      <c r="J642" s="260">
        <v>19280.400000000001</v>
      </c>
      <c r="K642" s="260">
        <v>15415.88</v>
      </c>
      <c r="L642" s="260">
        <v>19280.400000000001</v>
      </c>
      <c r="M642" s="229"/>
      <c r="N642" s="102"/>
      <c r="O642" s="102"/>
      <c r="P642" s="106"/>
    </row>
    <row r="643" spans="1:16" s="2" customFormat="1" x14ac:dyDescent="0.25">
      <c r="A643" s="104" t="s">
        <v>21</v>
      </c>
      <c r="B643" s="229"/>
      <c r="C643" s="229"/>
      <c r="D643" s="229"/>
      <c r="E643" s="229"/>
      <c r="F643" s="255"/>
      <c r="G643" s="255"/>
      <c r="H643" s="255"/>
      <c r="I643" s="255"/>
      <c r="J643" s="239"/>
      <c r="K643" s="239"/>
      <c r="L643" s="239"/>
      <c r="M643" s="229"/>
      <c r="N643" s="102"/>
      <c r="O643" s="102"/>
      <c r="P643" s="106"/>
    </row>
    <row r="644" spans="1:16" s="2" customFormat="1" x14ac:dyDescent="0.25">
      <c r="A644" s="104" t="s">
        <v>22</v>
      </c>
      <c r="B644" s="229">
        <v>13127.78969</v>
      </c>
      <c r="C644" s="229">
        <v>12919.833529999998</v>
      </c>
      <c r="D644" s="229">
        <v>11930</v>
      </c>
      <c r="E644" s="229">
        <v>15971.9</v>
      </c>
      <c r="F644" s="255">
        <v>14342</v>
      </c>
      <c r="G644" s="255">
        <v>12595.2</v>
      </c>
      <c r="H644" s="255">
        <v>10179.799999999999</v>
      </c>
      <c r="I644" s="255">
        <v>11238</v>
      </c>
      <c r="J644" s="239">
        <v>9872.2000000000007</v>
      </c>
      <c r="K644" s="245">
        <v>9849.5910000000003</v>
      </c>
      <c r="L644" s="239"/>
      <c r="M644" s="229"/>
      <c r="N644" s="102"/>
      <c r="O644" s="102"/>
      <c r="P644" s="106"/>
    </row>
    <row r="645" spans="1:16" s="2" customFormat="1" x14ac:dyDescent="0.25">
      <c r="A645" s="104" t="s">
        <v>23</v>
      </c>
      <c r="B645" s="229">
        <v>17372.210310000002</v>
      </c>
      <c r="C645" s="229">
        <v>16780.166470000004</v>
      </c>
      <c r="D645" s="229">
        <v>14964.3</v>
      </c>
      <c r="E645" s="229">
        <v>11652.4</v>
      </c>
      <c r="F645" s="255">
        <v>13282.3</v>
      </c>
      <c r="G645" s="255">
        <v>15029.099999999999</v>
      </c>
      <c r="H645" s="255">
        <v>17444.5</v>
      </c>
      <c r="I645" s="255">
        <v>8929.6500000000015</v>
      </c>
      <c r="J645" s="244">
        <v>9408.2000000000007</v>
      </c>
      <c r="K645" s="245">
        <v>5566.2889999999989</v>
      </c>
      <c r="L645" s="244"/>
      <c r="M645" s="229"/>
      <c r="N645" s="102"/>
      <c r="O645" s="102"/>
      <c r="P645" s="106"/>
    </row>
    <row r="646" spans="1:16" s="2" customFormat="1" x14ac:dyDescent="0.25">
      <c r="A646" s="104" t="s">
        <v>24</v>
      </c>
      <c r="B646" s="239"/>
      <c r="C646" s="239"/>
      <c r="D646" s="239"/>
      <c r="E646" s="239"/>
      <c r="F646" s="239"/>
      <c r="G646" s="239"/>
      <c r="H646" s="239"/>
      <c r="I646" s="239"/>
      <c r="J646" s="239"/>
      <c r="K646" s="239"/>
      <c r="L646" s="239"/>
      <c r="M646" s="229"/>
      <c r="N646" s="102"/>
      <c r="O646" s="102"/>
      <c r="P646" s="106"/>
    </row>
    <row r="647" spans="1:16" s="2" customFormat="1" x14ac:dyDescent="0.25">
      <c r="A647" s="231" t="s">
        <v>228</v>
      </c>
      <c r="B647" s="232"/>
      <c r="C647" s="232"/>
      <c r="D647" s="232"/>
      <c r="E647" s="232"/>
      <c r="F647" s="232"/>
      <c r="G647" s="232"/>
      <c r="H647" s="232"/>
      <c r="I647" s="232"/>
      <c r="J647" s="232"/>
      <c r="K647" s="232"/>
      <c r="L647" s="232"/>
      <c r="M647" s="233"/>
      <c r="N647" s="102"/>
      <c r="O647" s="102"/>
      <c r="P647" s="106"/>
    </row>
    <row r="648" spans="1:16" s="2" customFormat="1" x14ac:dyDescent="0.25">
      <c r="A648" s="234" t="s">
        <v>255</v>
      </c>
      <c r="B648" s="102"/>
      <c r="C648" s="102"/>
      <c r="D648" s="102"/>
      <c r="E648" s="102"/>
      <c r="F648" s="102"/>
      <c r="G648" s="102"/>
      <c r="H648" s="102"/>
      <c r="I648" s="102"/>
      <c r="J648" s="102"/>
      <c r="K648" s="102"/>
      <c r="L648" s="102"/>
      <c r="M648" s="235"/>
      <c r="N648" s="102"/>
      <c r="O648" s="102"/>
      <c r="P648" s="106"/>
    </row>
    <row r="649" spans="1:16" s="2" customFormat="1" x14ac:dyDescent="0.25">
      <c r="A649" s="234" t="s">
        <v>256</v>
      </c>
      <c r="B649" s="102"/>
      <c r="C649" s="102"/>
      <c r="D649" s="102"/>
      <c r="E649" s="102"/>
      <c r="F649" s="102"/>
      <c r="G649" s="102"/>
      <c r="H649" s="102"/>
      <c r="I649" s="102"/>
      <c r="J649" s="102"/>
      <c r="K649" s="102"/>
      <c r="L649" s="102"/>
      <c r="M649" s="235"/>
      <c r="N649" s="102"/>
      <c r="O649" s="102"/>
      <c r="P649" s="106"/>
    </row>
    <row r="650" spans="1:16" s="2" customFormat="1" x14ac:dyDescent="0.25">
      <c r="A650" s="234" t="s">
        <v>303</v>
      </c>
      <c r="B650" s="102"/>
      <c r="C650" s="102"/>
      <c r="D650" s="102"/>
      <c r="E650" s="102"/>
      <c r="F650" s="102"/>
      <c r="G650" s="102"/>
      <c r="H650" s="102"/>
      <c r="I650" s="102"/>
      <c r="J650" s="102"/>
      <c r="K650" s="102"/>
      <c r="L650" s="102"/>
      <c r="M650" s="235"/>
      <c r="N650" s="102"/>
      <c r="O650" s="102"/>
      <c r="P650" s="106"/>
    </row>
    <row r="651" spans="1:16" s="2" customFormat="1" x14ac:dyDescent="0.25">
      <c r="A651" s="234" t="s">
        <v>304</v>
      </c>
      <c r="B651" s="271"/>
      <c r="C651" s="272"/>
      <c r="D651" s="273"/>
      <c r="E651" s="102"/>
      <c r="F651" s="102"/>
      <c r="G651" s="272"/>
      <c r="H651" s="102"/>
      <c r="I651" s="102"/>
      <c r="J651" s="102"/>
      <c r="K651" s="102"/>
      <c r="L651" s="102"/>
      <c r="M651" s="235"/>
      <c r="N651" s="102"/>
      <c r="O651" s="102"/>
      <c r="P651" s="106"/>
    </row>
    <row r="652" spans="1:16" s="2" customFormat="1" x14ac:dyDescent="0.25">
      <c r="A652" s="234" t="s">
        <v>305</v>
      </c>
      <c r="B652" s="102"/>
      <c r="C652" s="102"/>
      <c r="D652" s="102"/>
      <c r="E652" s="102"/>
      <c r="F652" s="102"/>
      <c r="G652" s="274"/>
      <c r="H652" s="102"/>
      <c r="I652" s="102"/>
      <c r="J652" s="102"/>
      <c r="K652" s="102"/>
      <c r="L652" s="102"/>
      <c r="M652" s="235"/>
      <c r="N652" s="102"/>
      <c r="O652" s="102"/>
      <c r="P652" s="106"/>
    </row>
    <row r="653" spans="1:16" s="2" customFormat="1" x14ac:dyDescent="0.25">
      <c r="A653" s="234" t="s">
        <v>378</v>
      </c>
      <c r="B653" s="102"/>
      <c r="C653" s="102"/>
      <c r="D653" s="102"/>
      <c r="E653" s="102"/>
      <c r="F653" s="102"/>
      <c r="G653" s="102"/>
      <c r="H653" s="102"/>
      <c r="I653" s="102"/>
      <c r="J653" s="102"/>
      <c r="K653" s="102"/>
      <c r="L653" s="102"/>
      <c r="M653" s="235"/>
      <c r="N653" s="102"/>
      <c r="O653" s="102"/>
      <c r="P653" s="106"/>
    </row>
    <row r="654" spans="1:16" s="114" customFormat="1" x14ac:dyDescent="0.25">
      <c r="A654" s="234" t="s">
        <v>306</v>
      </c>
      <c r="B654" s="102"/>
      <c r="C654" s="102"/>
      <c r="D654" s="102"/>
      <c r="E654" s="102"/>
      <c r="F654" s="102"/>
      <c r="G654" s="274"/>
      <c r="H654" s="102"/>
      <c r="I654" s="102"/>
      <c r="J654" s="102"/>
      <c r="K654" s="102"/>
      <c r="L654" s="102"/>
      <c r="M654" s="235"/>
      <c r="N654" s="102"/>
      <c r="O654" s="102"/>
      <c r="P654" s="106"/>
    </row>
    <row r="655" spans="1:16" s="114" customFormat="1" x14ac:dyDescent="0.25">
      <c r="A655" s="234" t="s">
        <v>301</v>
      </c>
      <c r="B655" s="102"/>
      <c r="C655" s="102"/>
      <c r="D655" s="102"/>
      <c r="E655" s="102"/>
      <c r="F655" s="102"/>
      <c r="G655" s="274"/>
      <c r="H655" s="102"/>
      <c r="I655" s="102"/>
      <c r="J655" s="102"/>
      <c r="K655" s="102"/>
      <c r="L655" s="102"/>
      <c r="M655" s="235"/>
      <c r="N655" s="102"/>
      <c r="O655" s="102"/>
      <c r="P655" s="106"/>
    </row>
    <row r="656" spans="1:16" x14ac:dyDescent="0.25">
      <c r="A656" s="249" t="s">
        <v>302</v>
      </c>
      <c r="B656" s="102"/>
      <c r="C656" s="102"/>
      <c r="D656" s="102"/>
      <c r="E656" s="102"/>
      <c r="F656" s="102"/>
      <c r="G656" s="102"/>
      <c r="H656" s="102"/>
      <c r="I656" s="102"/>
      <c r="J656" s="102"/>
      <c r="K656" s="102"/>
      <c r="L656" s="102"/>
      <c r="M656" s="235"/>
      <c r="N656" s="102"/>
      <c r="O656" s="102"/>
      <c r="P656" s="106"/>
    </row>
    <row r="657" spans="1:16" x14ac:dyDescent="0.25">
      <c r="A657" s="249" t="s">
        <v>276</v>
      </c>
      <c r="B657" s="102"/>
      <c r="C657" s="102"/>
      <c r="D657" s="102"/>
      <c r="E657" s="102"/>
      <c r="F657" s="102"/>
      <c r="G657" s="102"/>
      <c r="H657" s="102"/>
      <c r="I657" s="102"/>
      <c r="J657" s="102"/>
      <c r="K657" s="102"/>
      <c r="L657" s="102"/>
      <c r="M657" s="235"/>
      <c r="N657" s="102"/>
      <c r="O657" s="102"/>
      <c r="P657" s="106"/>
    </row>
    <row r="658" spans="1:16" x14ac:dyDescent="0.25">
      <c r="A658" s="249" t="s">
        <v>376</v>
      </c>
      <c r="B658" s="102"/>
      <c r="C658" s="102"/>
      <c r="D658" s="102"/>
      <c r="E658" s="102"/>
      <c r="F658" s="102"/>
      <c r="G658" s="102"/>
      <c r="H658" s="102"/>
      <c r="I658" s="102"/>
      <c r="J658" s="102"/>
      <c r="K658" s="102"/>
      <c r="L658" s="102"/>
      <c r="M658" s="235"/>
      <c r="N658" s="102"/>
      <c r="O658" s="102"/>
      <c r="P658" s="106"/>
    </row>
    <row r="659" spans="1:16" s="114" customFormat="1" ht="28.8" customHeight="1" x14ac:dyDescent="0.25">
      <c r="A659" s="560" t="s">
        <v>377</v>
      </c>
      <c r="B659" s="561"/>
      <c r="C659" s="561"/>
      <c r="D659" s="561"/>
      <c r="E659" s="561"/>
      <c r="F659" s="561"/>
      <c r="G659" s="561"/>
      <c r="H659" s="561"/>
      <c r="I659" s="561"/>
      <c r="J659" s="561"/>
      <c r="K659" s="561"/>
      <c r="L659" s="561"/>
      <c r="M659" s="562"/>
      <c r="N659" s="102"/>
      <c r="O659" s="102"/>
      <c r="P659" s="106"/>
    </row>
    <row r="660" spans="1:16" x14ac:dyDescent="0.25">
      <c r="A660" s="78"/>
      <c r="B660" s="144"/>
      <c r="C660" s="243"/>
      <c r="D660" s="80"/>
      <c r="E660" s="80"/>
      <c r="F660" s="144"/>
      <c r="G660" s="144"/>
      <c r="H660" s="80"/>
      <c r="I660" s="226"/>
      <c r="J660" s="226"/>
      <c r="K660" s="226"/>
      <c r="L660" s="226"/>
      <c r="M660" s="226"/>
      <c r="N660" s="226"/>
      <c r="O660" s="226"/>
    </row>
    <row r="661" spans="1:16" x14ac:dyDescent="0.25">
      <c r="A661" s="276" t="s">
        <v>15</v>
      </c>
      <c r="B661" s="279" t="s">
        <v>92</v>
      </c>
      <c r="C661" s="103" t="s">
        <v>17</v>
      </c>
      <c r="D661" s="102"/>
      <c r="E661" s="102"/>
      <c r="F661" s="102"/>
      <c r="G661" s="102"/>
      <c r="H661" s="102"/>
      <c r="I661" s="102"/>
      <c r="J661" s="102"/>
      <c r="K661" s="102"/>
      <c r="L661" s="102"/>
      <c r="M661" s="102"/>
      <c r="N661" s="226"/>
      <c r="O661" s="226"/>
    </row>
    <row r="662" spans="1:16" x14ac:dyDescent="0.25">
      <c r="A662" s="104" t="s">
        <v>18</v>
      </c>
      <c r="B662" s="264">
        <v>2008</v>
      </c>
      <c r="C662" s="263">
        <v>2009</v>
      </c>
      <c r="D662" s="263">
        <v>2010</v>
      </c>
      <c r="E662" s="263">
        <v>2011</v>
      </c>
      <c r="F662" s="264">
        <v>2012</v>
      </c>
      <c r="G662" s="264">
        <v>2013</v>
      </c>
      <c r="H662" s="264">
        <v>2014</v>
      </c>
      <c r="I662" s="264">
        <v>2015</v>
      </c>
      <c r="J662" s="264">
        <v>2016</v>
      </c>
      <c r="K662" s="264">
        <v>2017</v>
      </c>
      <c r="L662" s="264">
        <v>2018</v>
      </c>
      <c r="M662" s="264">
        <v>2019</v>
      </c>
      <c r="N662" s="264">
        <v>2020</v>
      </c>
      <c r="O662" s="141">
        <v>2021</v>
      </c>
    </row>
    <row r="663" spans="1:16" x14ac:dyDescent="0.25">
      <c r="A663" s="104" t="s">
        <v>19</v>
      </c>
      <c r="B663" s="280">
        <v>839.5</v>
      </c>
      <c r="C663" s="280">
        <v>839.5</v>
      </c>
      <c r="D663" s="280">
        <v>839.5</v>
      </c>
      <c r="E663" s="280">
        <v>839.5</v>
      </c>
      <c r="F663" s="286">
        <v>503.7</v>
      </c>
      <c r="G663" s="286">
        <v>390</v>
      </c>
      <c r="H663" s="286">
        <v>390</v>
      </c>
      <c r="I663" s="286">
        <v>390</v>
      </c>
      <c r="J663" s="286">
        <v>390</v>
      </c>
      <c r="K663" s="286">
        <v>390</v>
      </c>
      <c r="L663" s="286">
        <v>390</v>
      </c>
      <c r="M663" s="286">
        <v>390</v>
      </c>
      <c r="N663" s="286">
        <v>328.1</v>
      </c>
      <c r="O663" s="143">
        <v>328.1</v>
      </c>
    </row>
    <row r="664" spans="1:16" x14ac:dyDescent="0.25">
      <c r="A664" s="104" t="s">
        <v>20</v>
      </c>
      <c r="B664" s="280">
        <v>839.5</v>
      </c>
      <c r="C664" s="280">
        <v>839.5</v>
      </c>
      <c r="D664" s="280">
        <v>839.5</v>
      </c>
      <c r="E664" s="280">
        <v>839.5</v>
      </c>
      <c r="F664" s="280">
        <v>503.7</v>
      </c>
      <c r="G664" s="286">
        <v>390</v>
      </c>
      <c r="H664" s="286">
        <v>390</v>
      </c>
      <c r="I664" s="286">
        <v>429</v>
      </c>
      <c r="J664" s="286">
        <v>429</v>
      </c>
      <c r="K664" s="286">
        <v>429</v>
      </c>
      <c r="L664" s="286">
        <v>406.6</v>
      </c>
      <c r="M664" s="286">
        <v>429</v>
      </c>
      <c r="N664" s="286">
        <v>367.1</v>
      </c>
      <c r="O664" s="143">
        <v>367.1</v>
      </c>
    </row>
    <row r="665" spans="1:16" x14ac:dyDescent="0.25">
      <c r="A665" s="104" t="s">
        <v>21</v>
      </c>
      <c r="B665" s="280"/>
      <c r="C665" s="287"/>
      <c r="D665" s="280"/>
      <c r="E665" s="286"/>
      <c r="F665" s="286"/>
      <c r="G665" s="286"/>
      <c r="H665" s="286"/>
      <c r="I665" s="286"/>
      <c r="J665" s="286"/>
      <c r="K665" s="286"/>
      <c r="L665" s="286"/>
      <c r="M665" s="286"/>
      <c r="N665" s="286"/>
      <c r="O665" s="143"/>
    </row>
    <row r="666" spans="1:16" x14ac:dyDescent="0.25">
      <c r="A666" s="104" t="s">
        <v>22</v>
      </c>
      <c r="B666" s="280">
        <v>704.14</v>
      </c>
      <c r="C666" s="280">
        <v>553.45920000000001</v>
      </c>
      <c r="D666" s="280">
        <v>425.98559999999998</v>
      </c>
      <c r="E666" s="280">
        <v>478</v>
      </c>
      <c r="F666" s="286">
        <v>305.5</v>
      </c>
      <c r="G666" s="286">
        <v>231.5</v>
      </c>
      <c r="H666" s="286">
        <v>288.8</v>
      </c>
      <c r="I666" s="286">
        <v>261.5</v>
      </c>
      <c r="J666" s="286">
        <v>412.4</v>
      </c>
      <c r="K666" s="286">
        <v>308.10000000000002</v>
      </c>
      <c r="L666" s="286">
        <v>352.2</v>
      </c>
      <c r="M666" s="286">
        <v>242.09393700000001</v>
      </c>
      <c r="N666" s="286"/>
      <c r="O666" s="143"/>
    </row>
    <row r="667" spans="1:16" x14ac:dyDescent="0.25">
      <c r="A667" s="104" t="s">
        <v>23</v>
      </c>
      <c r="B667" s="280">
        <v>135.36000000000001</v>
      </c>
      <c r="C667" s="280">
        <v>286.04079999999999</v>
      </c>
      <c r="D667" s="280">
        <v>413.51440000000002</v>
      </c>
      <c r="E667" s="280">
        <v>361.5</v>
      </c>
      <c r="F667" s="280">
        <v>198.2</v>
      </c>
      <c r="G667" s="286">
        <v>158.5</v>
      </c>
      <c r="H667" s="286">
        <v>101.19999999999999</v>
      </c>
      <c r="I667" s="286">
        <v>167.5</v>
      </c>
      <c r="J667" s="286">
        <v>16.600000000000023</v>
      </c>
      <c r="K667" s="286">
        <v>120.89999999999998</v>
      </c>
      <c r="L667" s="286">
        <v>54.400000000000034</v>
      </c>
      <c r="M667" s="286">
        <v>186.90606299999999</v>
      </c>
      <c r="N667" s="286"/>
      <c r="O667" s="143"/>
    </row>
    <row r="668" spans="1:16" x14ac:dyDescent="0.25">
      <c r="A668" s="231" t="s">
        <v>24</v>
      </c>
      <c r="B668" s="281"/>
      <c r="C668" s="232"/>
      <c r="D668" s="281"/>
      <c r="E668" s="233"/>
      <c r="F668" s="233"/>
      <c r="G668" s="233"/>
      <c r="H668" s="233"/>
      <c r="I668" s="233"/>
      <c r="J668" s="233"/>
      <c r="K668" s="233"/>
      <c r="L668" s="283"/>
      <c r="M668" s="283"/>
      <c r="N668" s="283"/>
      <c r="O668" s="284"/>
    </row>
    <row r="669" spans="1:16" x14ac:dyDescent="0.25">
      <c r="A669" s="231" t="s">
        <v>228</v>
      </c>
      <c r="B669" s="232"/>
      <c r="C669" s="232"/>
      <c r="D669" s="232"/>
      <c r="E669" s="232"/>
      <c r="F669" s="232"/>
      <c r="G669" s="232"/>
      <c r="H669" s="232"/>
      <c r="I669" s="232"/>
      <c r="J669" s="232"/>
      <c r="K669" s="232"/>
      <c r="L669" s="232"/>
      <c r="M669" s="232"/>
      <c r="N669" s="232"/>
      <c r="O669" s="166"/>
    </row>
    <row r="670" spans="1:16" x14ac:dyDescent="0.25">
      <c r="A670" s="234" t="s">
        <v>257</v>
      </c>
      <c r="B670" s="105"/>
      <c r="C670" s="105"/>
      <c r="D670" s="105"/>
      <c r="E670" s="105"/>
      <c r="F670" s="105"/>
      <c r="G670" s="105"/>
      <c r="H670" s="105"/>
      <c r="I670" s="105"/>
      <c r="J670" s="105"/>
      <c r="K670" s="105"/>
      <c r="L670" s="105"/>
      <c r="M670" s="105"/>
      <c r="N670" s="105"/>
      <c r="O670" s="167"/>
    </row>
    <row r="671" spans="1:16" x14ac:dyDescent="0.25">
      <c r="A671" s="234" t="s">
        <v>258</v>
      </c>
      <c r="B671" s="105"/>
      <c r="C671" s="105"/>
      <c r="D671" s="105"/>
      <c r="E671" s="105"/>
      <c r="F671" s="105"/>
      <c r="G671" s="105"/>
      <c r="H671" s="105"/>
      <c r="I671" s="105"/>
      <c r="J671" s="105"/>
      <c r="K671" s="105"/>
      <c r="L671" s="105"/>
      <c r="M671" s="105"/>
      <c r="N671" s="105"/>
      <c r="O671" s="167"/>
    </row>
    <row r="672" spans="1:16" x14ac:dyDescent="0.25">
      <c r="A672" s="234" t="s">
        <v>307</v>
      </c>
      <c r="B672" s="105"/>
      <c r="C672" s="105"/>
      <c r="D672" s="105"/>
      <c r="E672" s="105"/>
      <c r="F672" s="105"/>
      <c r="G672" s="105"/>
      <c r="H672" s="105"/>
      <c r="I672" s="105"/>
      <c r="J672" s="105"/>
      <c r="K672" s="105"/>
      <c r="L672" s="105"/>
      <c r="M672" s="105"/>
      <c r="N672" s="105"/>
      <c r="O672" s="167"/>
    </row>
    <row r="673" spans="1:15" x14ac:dyDescent="0.25">
      <c r="A673" s="234" t="s">
        <v>308</v>
      </c>
      <c r="B673" s="105"/>
      <c r="C673" s="105"/>
      <c r="D673" s="105"/>
      <c r="E673" s="105"/>
      <c r="F673" s="105"/>
      <c r="G673" s="105"/>
      <c r="H673" s="247"/>
      <c r="I673" s="105"/>
      <c r="J673" s="105"/>
      <c r="K673" s="105"/>
      <c r="L673" s="105"/>
      <c r="M673" s="105"/>
      <c r="N673" s="105"/>
      <c r="O673" s="167"/>
    </row>
    <row r="674" spans="1:15" x14ac:dyDescent="0.25">
      <c r="A674" s="234" t="s">
        <v>379</v>
      </c>
      <c r="B674" s="105"/>
      <c r="C674" s="105"/>
      <c r="D674" s="105"/>
      <c r="E674" s="105"/>
      <c r="F674" s="105"/>
      <c r="G674" s="105"/>
      <c r="H674" s="247"/>
      <c r="I674" s="105"/>
      <c r="J674" s="105"/>
      <c r="K674" s="105"/>
      <c r="L674" s="105"/>
      <c r="M674" s="105"/>
      <c r="N674" s="105"/>
      <c r="O674" s="167"/>
    </row>
    <row r="675" spans="1:15" x14ac:dyDescent="0.25">
      <c r="A675" s="234" t="s">
        <v>380</v>
      </c>
      <c r="B675" s="105"/>
      <c r="C675" s="105"/>
      <c r="D675" s="105"/>
      <c r="E675" s="105"/>
      <c r="F675" s="105"/>
      <c r="G675" s="105"/>
      <c r="H675" s="247"/>
      <c r="I675" s="105"/>
      <c r="J675" s="105"/>
      <c r="K675" s="105"/>
      <c r="L675" s="105"/>
      <c r="M675" s="105"/>
      <c r="N675" s="105"/>
      <c r="O675" s="167"/>
    </row>
    <row r="676" spans="1:15" x14ac:dyDescent="0.25">
      <c r="A676" s="240" t="s">
        <v>381</v>
      </c>
      <c r="B676" s="241"/>
      <c r="C676" s="241"/>
      <c r="D676" s="241"/>
      <c r="E676" s="241"/>
      <c r="F676" s="241"/>
      <c r="G676" s="241"/>
      <c r="H676" s="275"/>
      <c r="I676" s="241"/>
      <c r="J676" s="241"/>
      <c r="K676" s="241"/>
      <c r="L676" s="241"/>
      <c r="M676" s="241"/>
      <c r="N676" s="241"/>
      <c r="O676" s="285"/>
    </row>
    <row r="677" spans="1:15" x14ac:dyDescent="0.25">
      <c r="A677" s="78"/>
      <c r="B677" s="144"/>
      <c r="C677" s="243"/>
      <c r="D677" s="80"/>
      <c r="E677" s="80"/>
      <c r="F677" s="144"/>
      <c r="G677" s="144"/>
      <c r="H677" s="80"/>
      <c r="I677" s="226"/>
      <c r="J677" s="226"/>
      <c r="K677" s="226"/>
      <c r="L677" s="226"/>
      <c r="M677" s="226"/>
      <c r="N677" s="226"/>
      <c r="O677" s="226"/>
    </row>
    <row r="678" spans="1:15" x14ac:dyDescent="0.25">
      <c r="A678" s="276" t="s">
        <v>15</v>
      </c>
      <c r="B678" s="279" t="s">
        <v>97</v>
      </c>
      <c r="C678" s="103" t="s">
        <v>17</v>
      </c>
      <c r="D678" s="102"/>
      <c r="E678" s="102"/>
      <c r="F678" s="102"/>
      <c r="G678" s="102"/>
      <c r="H678" s="102"/>
      <c r="I678" s="102"/>
      <c r="J678" s="102"/>
      <c r="K678" s="102"/>
      <c r="L678" s="102"/>
      <c r="M678" s="102"/>
      <c r="N678" s="226"/>
      <c r="O678" s="226"/>
    </row>
    <row r="679" spans="1:15" x14ac:dyDescent="0.25">
      <c r="A679" s="104" t="s">
        <v>18</v>
      </c>
      <c r="B679" s="264">
        <v>2008</v>
      </c>
      <c r="C679" s="263">
        <v>2009</v>
      </c>
      <c r="D679" s="263">
        <v>2010</v>
      </c>
      <c r="E679" s="263">
        <v>2011</v>
      </c>
      <c r="F679" s="145">
        <v>2012</v>
      </c>
      <c r="G679" s="145">
        <v>2013</v>
      </c>
      <c r="H679" s="264">
        <v>2014</v>
      </c>
      <c r="I679" s="264">
        <v>2015</v>
      </c>
      <c r="J679" s="264">
        <v>2016</v>
      </c>
      <c r="K679" s="264">
        <v>2017</v>
      </c>
      <c r="L679" s="264">
        <v>2018</v>
      </c>
      <c r="M679" s="264">
        <v>2019</v>
      </c>
      <c r="N679" s="264">
        <v>2020</v>
      </c>
      <c r="O679" s="141">
        <v>2021</v>
      </c>
    </row>
    <row r="680" spans="1:15" x14ac:dyDescent="0.25">
      <c r="A680" s="104" t="s">
        <v>19</v>
      </c>
      <c r="B680" s="280">
        <v>37</v>
      </c>
      <c r="C680" s="280">
        <v>37</v>
      </c>
      <c r="D680" s="280">
        <v>37</v>
      </c>
      <c r="E680" s="286">
        <v>37</v>
      </c>
      <c r="F680" s="280">
        <v>33.6</v>
      </c>
      <c r="G680" s="280">
        <v>35</v>
      </c>
      <c r="H680" s="286">
        <v>35</v>
      </c>
      <c r="I680" s="286">
        <v>35</v>
      </c>
      <c r="J680" s="286">
        <v>35</v>
      </c>
      <c r="K680" s="286">
        <v>35</v>
      </c>
      <c r="L680" s="286">
        <v>35</v>
      </c>
      <c r="M680" s="286">
        <v>35</v>
      </c>
      <c r="N680" s="286">
        <v>35</v>
      </c>
      <c r="O680" s="143">
        <v>35</v>
      </c>
    </row>
    <row r="681" spans="1:15" x14ac:dyDescent="0.25">
      <c r="A681" s="104" t="s">
        <v>20</v>
      </c>
      <c r="B681" s="280">
        <v>37</v>
      </c>
      <c r="C681" s="280">
        <v>37</v>
      </c>
      <c r="D681" s="280">
        <v>37</v>
      </c>
      <c r="E681" s="280">
        <v>37</v>
      </c>
      <c r="F681" s="280">
        <v>33.6</v>
      </c>
      <c r="G681" s="280">
        <v>35</v>
      </c>
      <c r="H681" s="286">
        <v>35</v>
      </c>
      <c r="I681" s="286">
        <v>42</v>
      </c>
      <c r="J681" s="286">
        <v>42</v>
      </c>
      <c r="K681" s="286">
        <v>42</v>
      </c>
      <c r="L681" s="286">
        <v>42</v>
      </c>
      <c r="M681" s="286">
        <v>42</v>
      </c>
      <c r="N681" s="286">
        <v>42</v>
      </c>
      <c r="O681" s="143">
        <v>42</v>
      </c>
    </row>
    <row r="682" spans="1:15" x14ac:dyDescent="0.25">
      <c r="A682" s="104" t="s">
        <v>21</v>
      </c>
      <c r="B682" s="280"/>
      <c r="C682" s="287"/>
      <c r="D682" s="280"/>
      <c r="E682" s="286"/>
      <c r="F682" s="280"/>
      <c r="G682" s="280"/>
      <c r="H682" s="286"/>
      <c r="I682" s="286"/>
      <c r="J682" s="286"/>
      <c r="K682" s="286"/>
      <c r="L682" s="286"/>
      <c r="M682" s="286"/>
      <c r="N682" s="286"/>
      <c r="O682" s="143"/>
    </row>
    <row r="683" spans="1:15" x14ac:dyDescent="0.25">
      <c r="A683" s="104" t="s">
        <v>22</v>
      </c>
      <c r="B683" s="280">
        <v>28.84</v>
      </c>
      <c r="C683" s="280">
        <v>28.802399999999999</v>
      </c>
      <c r="D683" s="280">
        <v>40.781999999999996</v>
      </c>
      <c r="E683" s="280">
        <v>27.9</v>
      </c>
      <c r="F683" s="280">
        <v>49.6</v>
      </c>
      <c r="G683" s="280">
        <v>16.899999999999999</v>
      </c>
      <c r="H683" s="286">
        <v>5.7</v>
      </c>
      <c r="I683" s="286">
        <v>9.9</v>
      </c>
      <c r="J683" s="286">
        <v>12.6</v>
      </c>
      <c r="K683" s="286">
        <v>9.1999999999999993</v>
      </c>
      <c r="L683" s="286">
        <v>14.4</v>
      </c>
      <c r="M683" s="286">
        <v>5.005204</v>
      </c>
      <c r="N683" s="286"/>
      <c r="O683" s="143"/>
    </row>
    <row r="684" spans="1:15" x14ac:dyDescent="0.25">
      <c r="A684" s="104" t="s">
        <v>23</v>
      </c>
      <c r="B684" s="280">
        <v>8.16</v>
      </c>
      <c r="C684" s="280">
        <v>8.1976000000000013</v>
      </c>
      <c r="D684" s="280">
        <v>3.782</v>
      </c>
      <c r="E684" s="280">
        <v>9.1000000000000014</v>
      </c>
      <c r="F684" s="280">
        <v>16</v>
      </c>
      <c r="G684" s="280">
        <v>18.100000000000001</v>
      </c>
      <c r="H684" s="286">
        <v>29.3</v>
      </c>
      <c r="I684" s="286">
        <v>32.1</v>
      </c>
      <c r="J684" s="286">
        <v>29.4</v>
      </c>
      <c r="K684" s="286">
        <v>32.799999999999997</v>
      </c>
      <c r="L684" s="286">
        <v>27.6</v>
      </c>
      <c r="M684" s="286">
        <v>36.994796000000001</v>
      </c>
      <c r="N684" s="286"/>
      <c r="O684" s="143"/>
    </row>
    <row r="685" spans="1:15" x14ac:dyDescent="0.25">
      <c r="A685" s="231" t="s">
        <v>24</v>
      </c>
      <c r="B685" s="282"/>
      <c r="C685" s="288"/>
      <c r="D685" s="282"/>
      <c r="E685" s="283"/>
      <c r="F685" s="282"/>
      <c r="G685" s="282"/>
      <c r="H685" s="283"/>
      <c r="I685" s="283"/>
      <c r="J685" s="283"/>
      <c r="K685" s="283"/>
      <c r="L685" s="283"/>
      <c r="M685" s="283"/>
      <c r="N685" s="283"/>
      <c r="O685" s="284"/>
    </row>
    <row r="686" spans="1:15" x14ac:dyDescent="0.25">
      <c r="A686" s="231" t="s">
        <v>228</v>
      </c>
      <c r="B686" s="232"/>
      <c r="C686" s="232"/>
      <c r="D686" s="232"/>
      <c r="E686" s="232"/>
      <c r="F686" s="232"/>
      <c r="G686" s="232"/>
      <c r="H686" s="232"/>
      <c r="I686" s="232"/>
      <c r="J686" s="232"/>
      <c r="K686" s="232"/>
      <c r="L686" s="232"/>
      <c r="M686" s="232"/>
      <c r="N686" s="232"/>
      <c r="O686" s="166"/>
    </row>
    <row r="687" spans="1:15" x14ac:dyDescent="0.25">
      <c r="A687" s="234" t="s">
        <v>259</v>
      </c>
      <c r="B687" s="105"/>
      <c r="C687" s="105"/>
      <c r="D687" s="105"/>
      <c r="E687" s="105"/>
      <c r="F687" s="105"/>
      <c r="G687" s="105"/>
      <c r="H687" s="105"/>
      <c r="I687" s="105"/>
      <c r="J687" s="105"/>
      <c r="K687" s="105"/>
      <c r="L687" s="105"/>
      <c r="M687" s="105"/>
      <c r="N687" s="105"/>
      <c r="O687" s="167"/>
    </row>
    <row r="688" spans="1:15" x14ac:dyDescent="0.25">
      <c r="A688" s="234" t="s">
        <v>260</v>
      </c>
      <c r="B688" s="105"/>
      <c r="C688" s="105"/>
      <c r="D688" s="105"/>
      <c r="E688" s="105"/>
      <c r="F688" s="105"/>
      <c r="G688" s="105"/>
      <c r="H688" s="105"/>
      <c r="I688" s="105"/>
      <c r="J688" s="105"/>
      <c r="K688" s="105"/>
      <c r="L688" s="105"/>
      <c r="M688" s="105"/>
      <c r="N688" s="105"/>
      <c r="O688" s="167"/>
    </row>
    <row r="689" spans="1:15" x14ac:dyDescent="0.25">
      <c r="A689" s="234" t="s">
        <v>277</v>
      </c>
      <c r="B689" s="105"/>
      <c r="C689" s="105"/>
      <c r="D689" s="105"/>
      <c r="E689" s="105"/>
      <c r="F689" s="105"/>
      <c r="G689" s="105"/>
      <c r="H689" s="105"/>
      <c r="I689" s="105"/>
      <c r="J689" s="105"/>
      <c r="K689" s="105"/>
      <c r="L689" s="105"/>
      <c r="M689" s="105"/>
      <c r="N689" s="105"/>
      <c r="O689" s="167"/>
    </row>
    <row r="690" spans="1:15" x14ac:dyDescent="0.25">
      <c r="A690" s="234" t="s">
        <v>278</v>
      </c>
      <c r="B690" s="105"/>
      <c r="C690" s="105"/>
      <c r="D690" s="105"/>
      <c r="E690" s="105"/>
      <c r="F690" s="105"/>
      <c r="G690" s="105"/>
      <c r="H690" s="105"/>
      <c r="I690" s="105"/>
      <c r="J690" s="105"/>
      <c r="K690" s="105"/>
      <c r="L690" s="105"/>
      <c r="M690" s="105"/>
      <c r="N690" s="105"/>
      <c r="O690" s="167"/>
    </row>
    <row r="691" spans="1:15" x14ac:dyDescent="0.25">
      <c r="A691" s="234" t="s">
        <v>279</v>
      </c>
      <c r="B691" s="105"/>
      <c r="C691" s="246"/>
      <c r="D691" s="247"/>
      <c r="E691" s="248"/>
      <c r="F691" s="105"/>
      <c r="G691" s="105"/>
      <c r="H691" s="247"/>
      <c r="I691" s="105"/>
      <c r="J691" s="105"/>
      <c r="K691" s="105"/>
      <c r="L691" s="105"/>
      <c r="M691" s="105"/>
      <c r="N691" s="105"/>
      <c r="O691" s="167"/>
    </row>
    <row r="692" spans="1:15" x14ac:dyDescent="0.25">
      <c r="A692" s="234" t="s">
        <v>309</v>
      </c>
      <c r="B692" s="105"/>
      <c r="C692" s="105"/>
      <c r="D692" s="105"/>
      <c r="E692" s="105"/>
      <c r="F692" s="105"/>
      <c r="G692" s="105"/>
      <c r="H692" s="247"/>
      <c r="I692" s="105"/>
      <c r="J692" s="105"/>
      <c r="K692" s="105"/>
      <c r="L692" s="105"/>
      <c r="M692" s="105"/>
      <c r="N692" s="105"/>
      <c r="O692" s="167"/>
    </row>
    <row r="693" spans="1:15" x14ac:dyDescent="0.25">
      <c r="A693" s="234" t="s">
        <v>382</v>
      </c>
      <c r="B693" s="105"/>
      <c r="C693" s="105"/>
      <c r="D693" s="105"/>
      <c r="E693" s="105"/>
      <c r="F693" s="105"/>
      <c r="G693" s="105"/>
      <c r="H693" s="247"/>
      <c r="I693" s="105"/>
      <c r="J693" s="105"/>
      <c r="K693" s="105"/>
      <c r="L693" s="105"/>
      <c r="M693" s="105"/>
      <c r="N693" s="105"/>
      <c r="O693" s="167"/>
    </row>
    <row r="694" spans="1:15" x14ac:dyDescent="0.25">
      <c r="A694" s="234" t="s">
        <v>383</v>
      </c>
      <c r="B694" s="105"/>
      <c r="C694" s="105"/>
      <c r="D694" s="105"/>
      <c r="E694" s="105"/>
      <c r="F694" s="105"/>
      <c r="G694" s="105"/>
      <c r="H694" s="247"/>
      <c r="I694" s="105"/>
      <c r="J694" s="105"/>
      <c r="K694" s="105"/>
      <c r="L694" s="105"/>
      <c r="M694" s="105"/>
      <c r="N694" s="105"/>
      <c r="O694" s="167"/>
    </row>
    <row r="695" spans="1:15" x14ac:dyDescent="0.25">
      <c r="A695" s="240" t="s">
        <v>384</v>
      </c>
      <c r="B695" s="241"/>
      <c r="C695" s="241"/>
      <c r="D695" s="241"/>
      <c r="E695" s="241"/>
      <c r="F695" s="241"/>
      <c r="G695" s="241"/>
      <c r="H695" s="241"/>
      <c r="I695" s="241"/>
      <c r="J695" s="241"/>
      <c r="K695" s="241"/>
      <c r="L695" s="241"/>
      <c r="M695" s="241"/>
      <c r="N695" s="241"/>
      <c r="O695" s="285"/>
    </row>
    <row r="696" spans="1:15" x14ac:dyDescent="0.25">
      <c r="A696" s="78"/>
      <c r="B696" s="138"/>
      <c r="C696" s="79"/>
      <c r="D696" s="80"/>
      <c r="E696" s="80"/>
      <c r="F696" s="144"/>
      <c r="G696" s="144"/>
      <c r="H696" s="54"/>
    </row>
    <row r="697" spans="1:15" x14ac:dyDescent="0.25">
      <c r="A697" s="78"/>
      <c r="B697" s="138"/>
      <c r="C697" s="79"/>
      <c r="D697" s="80"/>
      <c r="E697" s="80"/>
      <c r="F697" s="144"/>
      <c r="G697" s="144"/>
      <c r="H697" s="54"/>
    </row>
    <row r="698" spans="1:15" x14ac:dyDescent="0.25">
      <c r="A698" s="81" t="s">
        <v>167</v>
      </c>
      <c r="B698" s="82"/>
      <c r="C698" s="83"/>
      <c r="D698" s="83"/>
      <c r="E698" s="83"/>
      <c r="F698" s="83"/>
      <c r="G698" s="83"/>
      <c r="H698" s="54"/>
    </row>
    <row r="699" spans="1:15" x14ac:dyDescent="0.25">
      <c r="A699" s="84" t="s">
        <v>15</v>
      </c>
      <c r="B699" s="301" t="s">
        <v>268</v>
      </c>
      <c r="C699" s="86" t="s">
        <v>17</v>
      </c>
      <c r="D699" s="292"/>
      <c r="E699" s="83"/>
      <c r="F699" s="83"/>
      <c r="G699" s="83"/>
      <c r="H699" s="54"/>
    </row>
    <row r="700" spans="1:15" x14ac:dyDescent="0.25">
      <c r="A700" s="87" t="s">
        <v>18</v>
      </c>
      <c r="B700" s="471">
        <v>2014</v>
      </c>
      <c r="C700" s="471">
        <v>2015</v>
      </c>
      <c r="D700" s="471">
        <v>2016</v>
      </c>
      <c r="E700" s="471">
        <v>2017</v>
      </c>
      <c r="F700" s="472">
        <v>2018</v>
      </c>
      <c r="G700" s="472">
        <v>2019</v>
      </c>
      <c r="H700" s="60">
        <v>2020</v>
      </c>
    </row>
    <row r="701" spans="1:15" x14ac:dyDescent="0.25">
      <c r="A701" s="87" t="s">
        <v>19</v>
      </c>
      <c r="B701" s="157">
        <v>200</v>
      </c>
      <c r="C701" s="157">
        <v>200</v>
      </c>
      <c r="D701" s="157">
        <v>200</v>
      </c>
      <c r="E701" s="157">
        <v>200</v>
      </c>
      <c r="F701" s="289">
        <v>200</v>
      </c>
      <c r="G701" s="289">
        <v>215</v>
      </c>
      <c r="H701" s="289">
        <v>215</v>
      </c>
    </row>
    <row r="702" spans="1:15" x14ac:dyDescent="0.25">
      <c r="A702" s="87" t="s">
        <v>20</v>
      </c>
      <c r="B702" s="157">
        <v>250</v>
      </c>
      <c r="C702" s="157">
        <v>215.6</v>
      </c>
      <c r="D702" s="157">
        <v>250</v>
      </c>
      <c r="E702" s="157">
        <v>250</v>
      </c>
      <c r="F702" s="289">
        <v>250</v>
      </c>
      <c r="G702" s="398">
        <f>G701*1.25</f>
        <v>268.75</v>
      </c>
      <c r="H702" s="398">
        <f>H701*1.25</f>
        <v>268.75</v>
      </c>
    </row>
    <row r="703" spans="1:15" x14ac:dyDescent="0.25">
      <c r="A703" s="87" t="s">
        <v>21</v>
      </c>
      <c r="B703" s="90" t="s">
        <v>168</v>
      </c>
      <c r="C703" s="91" t="s">
        <v>169</v>
      </c>
      <c r="D703" s="91" t="s">
        <v>170</v>
      </c>
      <c r="E703" s="91" t="s">
        <v>170</v>
      </c>
      <c r="F703" s="91" t="s">
        <v>170</v>
      </c>
      <c r="G703" s="399" t="s">
        <v>453</v>
      </c>
      <c r="H703" s="399" t="s">
        <v>453</v>
      </c>
    </row>
    <row r="704" spans="1:15" x14ac:dyDescent="0.25">
      <c r="A704" s="87" t="s">
        <v>22</v>
      </c>
      <c r="B704" s="157">
        <v>63.87</v>
      </c>
      <c r="C704" s="157">
        <v>4.54</v>
      </c>
      <c r="D704" s="157">
        <v>13.18</v>
      </c>
      <c r="E704" s="157">
        <v>7.9</v>
      </c>
      <c r="F704" s="289">
        <v>27.27</v>
      </c>
      <c r="G704" s="289">
        <v>48.48</v>
      </c>
      <c r="H704" s="113"/>
    </row>
    <row r="705" spans="1:8" x14ac:dyDescent="0.25">
      <c r="A705" s="87" t="s">
        <v>23</v>
      </c>
      <c r="B705" s="157">
        <v>186.13</v>
      </c>
      <c r="C705" s="157">
        <v>211.06</v>
      </c>
      <c r="D705" s="157">
        <v>236.82</v>
      </c>
      <c r="E705" s="157">
        <v>242.1</v>
      </c>
      <c r="F705" s="289">
        <v>222.73</v>
      </c>
      <c r="G705" s="289">
        <f>G702-G704</f>
        <v>220.27</v>
      </c>
      <c r="H705" s="113"/>
    </row>
    <row r="706" spans="1:8" x14ac:dyDescent="0.25">
      <c r="A706" s="87" t="s">
        <v>24</v>
      </c>
      <c r="B706" s="471">
        <v>2016</v>
      </c>
      <c r="C706" s="471">
        <v>2017</v>
      </c>
      <c r="D706" s="471">
        <v>2018</v>
      </c>
      <c r="E706" s="471">
        <v>2019</v>
      </c>
      <c r="F706" s="472">
        <v>2020</v>
      </c>
      <c r="G706" s="472">
        <v>2021</v>
      </c>
      <c r="H706" s="60">
        <v>2022</v>
      </c>
    </row>
    <row r="707" spans="1:8" x14ac:dyDescent="0.25">
      <c r="A707" s="499" t="s">
        <v>171</v>
      </c>
      <c r="B707" s="499"/>
      <c r="C707" s="499"/>
      <c r="D707" s="499"/>
      <c r="E707" s="499"/>
      <c r="F707" s="499"/>
      <c r="G707" s="499"/>
      <c r="H707" s="499"/>
    </row>
    <row r="708" spans="1:8" x14ac:dyDescent="0.25">
      <c r="A708" s="78"/>
      <c r="B708" s="138"/>
      <c r="C708" s="79"/>
      <c r="D708" s="80"/>
      <c r="E708" s="80"/>
      <c r="F708" s="144"/>
      <c r="G708" s="144"/>
      <c r="H708" s="54"/>
    </row>
    <row r="709" spans="1:8" x14ac:dyDescent="0.25">
      <c r="A709" s="86" t="s">
        <v>15</v>
      </c>
      <c r="B709" s="98" t="s">
        <v>269</v>
      </c>
      <c r="C709" s="86" t="s">
        <v>17</v>
      </c>
      <c r="D709" s="83"/>
      <c r="E709" s="83"/>
      <c r="F709" s="83"/>
      <c r="G709" s="83"/>
      <c r="H709" s="54"/>
    </row>
    <row r="710" spans="1:8" x14ac:dyDescent="0.25">
      <c r="A710" s="87" t="s">
        <v>18</v>
      </c>
      <c r="B710" s="471">
        <v>2014</v>
      </c>
      <c r="C710" s="471">
        <v>2015</v>
      </c>
      <c r="D710" s="471">
        <v>2016</v>
      </c>
      <c r="E710" s="471">
        <v>2017</v>
      </c>
      <c r="F710" s="472">
        <v>2018</v>
      </c>
      <c r="G710" s="472">
        <v>2019</v>
      </c>
      <c r="H710" s="60">
        <v>2020</v>
      </c>
    </row>
    <row r="711" spans="1:8" x14ac:dyDescent="0.25">
      <c r="A711" s="87" t="s">
        <v>19</v>
      </c>
      <c r="B711" s="157">
        <v>140</v>
      </c>
      <c r="C711" s="157">
        <v>140</v>
      </c>
      <c r="D711" s="157">
        <v>140</v>
      </c>
      <c r="E711" s="157">
        <v>140</v>
      </c>
      <c r="F711" s="289">
        <v>140</v>
      </c>
      <c r="G711" s="289">
        <v>140</v>
      </c>
      <c r="H711" s="289">
        <v>140</v>
      </c>
    </row>
    <row r="712" spans="1:8" x14ac:dyDescent="0.25">
      <c r="A712" s="87" t="s">
        <v>20</v>
      </c>
      <c r="B712" s="157">
        <v>140</v>
      </c>
      <c r="C712" s="157">
        <v>177.5</v>
      </c>
      <c r="D712" s="157">
        <v>175</v>
      </c>
      <c r="E712" s="157">
        <v>175</v>
      </c>
      <c r="F712" s="289">
        <v>175</v>
      </c>
      <c r="G712" s="289">
        <v>175</v>
      </c>
      <c r="H712" s="289">
        <v>148.36000000000001</v>
      </c>
    </row>
    <row r="713" spans="1:8" x14ac:dyDescent="0.25">
      <c r="A713" s="87" t="s">
        <v>21</v>
      </c>
      <c r="B713" s="91" t="s">
        <v>172</v>
      </c>
      <c r="C713" s="91" t="s">
        <v>173</v>
      </c>
      <c r="D713" s="91" t="s">
        <v>174</v>
      </c>
      <c r="E713" s="91" t="s">
        <v>174</v>
      </c>
      <c r="F713" s="91" t="s">
        <v>174</v>
      </c>
      <c r="G713" s="91" t="s">
        <v>174</v>
      </c>
      <c r="H713" s="91" t="s">
        <v>385</v>
      </c>
    </row>
    <row r="714" spans="1:8" x14ac:dyDescent="0.25">
      <c r="A714" s="87" t="s">
        <v>22</v>
      </c>
      <c r="B714" s="157">
        <v>3.42</v>
      </c>
      <c r="C714" s="157">
        <v>3.47</v>
      </c>
      <c r="D714" s="157">
        <v>48.27</v>
      </c>
      <c r="E714" s="157">
        <v>85.96</v>
      </c>
      <c r="F714" s="289">
        <v>166.64</v>
      </c>
      <c r="G714" s="289">
        <v>170.01</v>
      </c>
      <c r="H714" s="113"/>
    </row>
    <row r="715" spans="1:8" x14ac:dyDescent="0.25">
      <c r="A715" s="87" t="s">
        <v>23</v>
      </c>
      <c r="B715" s="290">
        <v>136.58000000000001</v>
      </c>
      <c r="C715" s="157">
        <v>174.03</v>
      </c>
      <c r="D715" s="157">
        <v>126.73</v>
      </c>
      <c r="E715" s="157">
        <v>89.04</v>
      </c>
      <c r="F715" s="289">
        <v>8.36</v>
      </c>
      <c r="G715" s="289">
        <f>G712-G714</f>
        <v>4.9900000000000091</v>
      </c>
      <c r="H715" s="113"/>
    </row>
    <row r="716" spans="1:8" x14ac:dyDescent="0.25">
      <c r="A716" s="87" t="s">
        <v>24</v>
      </c>
      <c r="B716" s="471">
        <v>2016</v>
      </c>
      <c r="C716" s="471">
        <v>2017</v>
      </c>
      <c r="D716" s="471">
        <v>2018</v>
      </c>
      <c r="E716" s="471">
        <v>2019</v>
      </c>
      <c r="F716" s="472">
        <v>2020</v>
      </c>
      <c r="G716" s="472">
        <v>2021</v>
      </c>
      <c r="H716" s="60">
        <v>2022</v>
      </c>
    </row>
    <row r="717" spans="1:8" x14ac:dyDescent="0.25">
      <c r="A717" s="499" t="s">
        <v>171</v>
      </c>
      <c r="B717" s="499"/>
      <c r="C717" s="499"/>
      <c r="D717" s="499"/>
      <c r="E717" s="499"/>
      <c r="F717" s="499"/>
      <c r="G717" s="499"/>
      <c r="H717" s="499"/>
    </row>
    <row r="718" spans="1:8" x14ac:dyDescent="0.25">
      <c r="A718" s="78"/>
      <c r="B718" s="138"/>
      <c r="C718" s="79"/>
      <c r="D718" s="80"/>
      <c r="E718" s="80"/>
      <c r="F718" s="144"/>
      <c r="G718" s="144"/>
      <c r="H718" s="54"/>
    </row>
    <row r="719" spans="1:8" x14ac:dyDescent="0.25">
      <c r="A719" s="294" t="s">
        <v>15</v>
      </c>
      <c r="B719" s="294" t="s">
        <v>262</v>
      </c>
      <c r="C719" s="291" t="s">
        <v>188</v>
      </c>
      <c r="D719" s="292"/>
      <c r="E719" s="292"/>
      <c r="F719" s="292"/>
      <c r="G719" s="292"/>
      <c r="H719" s="144"/>
    </row>
    <row r="720" spans="1:8" x14ac:dyDescent="0.25">
      <c r="A720" s="293" t="s">
        <v>18</v>
      </c>
      <c r="B720" s="581">
        <v>2014</v>
      </c>
      <c r="C720" s="581">
        <v>2015</v>
      </c>
      <c r="D720" s="581">
        <v>2016</v>
      </c>
      <c r="E720" s="581" t="s">
        <v>310</v>
      </c>
      <c r="F720" s="581" t="s">
        <v>311</v>
      </c>
      <c r="G720" s="581" t="s">
        <v>312</v>
      </c>
      <c r="H720" s="581" t="s">
        <v>386</v>
      </c>
    </row>
    <row r="721" spans="1:8" x14ac:dyDescent="0.25">
      <c r="A721" s="293" t="s">
        <v>19</v>
      </c>
      <c r="B721" s="296">
        <v>50</v>
      </c>
      <c r="C721" s="296">
        <v>50</v>
      </c>
      <c r="D721" s="296">
        <v>50</v>
      </c>
      <c r="E721" s="296">
        <v>50</v>
      </c>
      <c r="F721" s="296">
        <v>50</v>
      </c>
      <c r="G721" s="296">
        <v>50</v>
      </c>
      <c r="H721" s="143">
        <v>50</v>
      </c>
    </row>
    <row r="722" spans="1:8" x14ac:dyDescent="0.25">
      <c r="A722" s="293" t="s">
        <v>20</v>
      </c>
      <c r="B722" s="296">
        <v>45.6</v>
      </c>
      <c r="C722" s="296">
        <v>45.6</v>
      </c>
      <c r="D722" s="296">
        <v>65.34</v>
      </c>
      <c r="E722" s="296">
        <v>75</v>
      </c>
      <c r="F722" s="296">
        <v>70</v>
      </c>
      <c r="G722" s="296">
        <v>70</v>
      </c>
      <c r="H722" s="143">
        <v>70</v>
      </c>
    </row>
    <row r="723" spans="1:8" x14ac:dyDescent="0.25">
      <c r="A723" s="293" t="s">
        <v>21</v>
      </c>
      <c r="B723" s="295" t="s">
        <v>175</v>
      </c>
      <c r="C723" s="95" t="s">
        <v>175</v>
      </c>
      <c r="D723" s="95" t="s">
        <v>176</v>
      </c>
      <c r="E723" s="95" t="s">
        <v>177</v>
      </c>
      <c r="F723" s="95" t="s">
        <v>313</v>
      </c>
      <c r="G723" s="95" t="s">
        <v>313</v>
      </c>
      <c r="H723" s="141" t="s">
        <v>313</v>
      </c>
    </row>
    <row r="724" spans="1:8" x14ac:dyDescent="0.25">
      <c r="A724" s="293" t="s">
        <v>22</v>
      </c>
      <c r="B724" s="296">
        <v>34.659999999999997</v>
      </c>
      <c r="C724" s="296">
        <v>0</v>
      </c>
      <c r="D724" s="296">
        <v>9.14</v>
      </c>
      <c r="E724" s="296">
        <v>18.559999999999999</v>
      </c>
      <c r="F724" s="296">
        <v>8.7899999999999991</v>
      </c>
      <c r="G724" s="296">
        <v>9.3699999999999992</v>
      </c>
      <c r="H724" s="143"/>
    </row>
    <row r="725" spans="1:8" x14ac:dyDescent="0.25">
      <c r="A725" s="293" t="s">
        <v>23</v>
      </c>
      <c r="B725" s="296">
        <v>10.94</v>
      </c>
      <c r="C725" s="296">
        <v>45.6</v>
      </c>
      <c r="D725" s="296">
        <v>56.2</v>
      </c>
      <c r="E725" s="296">
        <v>56.44</v>
      </c>
      <c r="F725" s="296">
        <v>61.21</v>
      </c>
      <c r="G725" s="296">
        <f>G722-G724</f>
        <v>60.63</v>
      </c>
      <c r="H725" s="143"/>
    </row>
    <row r="726" spans="1:8" x14ac:dyDescent="0.25">
      <c r="A726" s="293" t="s">
        <v>24</v>
      </c>
      <c r="B726" s="581">
        <v>2016</v>
      </c>
      <c r="C726" s="581">
        <v>2017</v>
      </c>
      <c r="D726" s="581">
        <v>2018</v>
      </c>
      <c r="E726" s="581">
        <v>2019</v>
      </c>
      <c r="F726" s="581">
        <v>2020</v>
      </c>
      <c r="G726" s="581">
        <v>2021</v>
      </c>
      <c r="H726" s="423">
        <v>2022</v>
      </c>
    </row>
    <row r="727" spans="1:8" ht="37.5" customHeight="1" x14ac:dyDescent="0.25">
      <c r="A727" s="500" t="s">
        <v>314</v>
      </c>
      <c r="B727" s="501"/>
      <c r="C727" s="501"/>
      <c r="D727" s="501"/>
      <c r="E727" s="501"/>
      <c r="F727" s="501"/>
      <c r="G727" s="501"/>
      <c r="H727" s="502"/>
    </row>
    <row r="728" spans="1:8" ht="15.6" customHeight="1" x14ac:dyDescent="0.25">
      <c r="A728" s="156"/>
      <c r="B728" s="85"/>
      <c r="C728" s="85"/>
      <c r="D728" s="85"/>
      <c r="E728" s="85"/>
      <c r="F728" s="85"/>
      <c r="G728" s="85"/>
      <c r="H728" s="54"/>
    </row>
    <row r="729" spans="1:8" x14ac:dyDescent="0.25">
      <c r="A729" s="86" t="s">
        <v>15</v>
      </c>
      <c r="B729" s="86" t="s">
        <v>270</v>
      </c>
      <c r="C729" s="89" t="s">
        <v>188</v>
      </c>
      <c r="D729" s="292"/>
      <c r="E729" s="83"/>
      <c r="F729" s="83"/>
      <c r="G729" s="83"/>
      <c r="H729" s="54"/>
    </row>
    <row r="730" spans="1:8" x14ac:dyDescent="0.25">
      <c r="A730" s="87" t="s">
        <v>18</v>
      </c>
      <c r="B730" s="471">
        <v>2014</v>
      </c>
      <c r="C730" s="471">
        <v>2015</v>
      </c>
      <c r="D730" s="471">
        <v>2016</v>
      </c>
      <c r="E730" s="471">
        <v>2017</v>
      </c>
      <c r="F730" s="471" t="s">
        <v>311</v>
      </c>
      <c r="G730" s="471" t="s">
        <v>312</v>
      </c>
      <c r="H730" s="60" t="s">
        <v>386</v>
      </c>
    </row>
    <row r="731" spans="1:8" x14ac:dyDescent="0.25">
      <c r="A731" s="87" t="s">
        <v>19</v>
      </c>
      <c r="B731" s="157">
        <v>50</v>
      </c>
      <c r="C731" s="157">
        <v>50</v>
      </c>
      <c r="D731" s="296">
        <v>50</v>
      </c>
      <c r="E731" s="296">
        <v>50</v>
      </c>
      <c r="F731" s="296">
        <v>50</v>
      </c>
      <c r="G731" s="296">
        <v>50</v>
      </c>
      <c r="H731" s="113">
        <v>50</v>
      </c>
    </row>
    <row r="732" spans="1:8" x14ac:dyDescent="0.25">
      <c r="A732" s="87" t="s">
        <v>20</v>
      </c>
      <c r="B732" s="157">
        <v>50</v>
      </c>
      <c r="C732" s="157">
        <v>60.7</v>
      </c>
      <c r="D732" s="296">
        <v>47.37</v>
      </c>
      <c r="E732" s="296">
        <v>65</v>
      </c>
      <c r="F732" s="296">
        <v>60</v>
      </c>
      <c r="G732" s="296">
        <v>60</v>
      </c>
      <c r="H732" s="113">
        <f>H731*1.2</f>
        <v>60</v>
      </c>
    </row>
    <row r="733" spans="1:8" x14ac:dyDescent="0.25">
      <c r="A733" s="87" t="s">
        <v>21</v>
      </c>
      <c r="B733" s="91"/>
      <c r="C733" s="91" t="s">
        <v>178</v>
      </c>
      <c r="D733" s="95" t="s">
        <v>179</v>
      </c>
      <c r="E733" s="95" t="s">
        <v>180</v>
      </c>
      <c r="F733" s="95" t="s">
        <v>387</v>
      </c>
      <c r="G733" s="95" t="s">
        <v>387</v>
      </c>
      <c r="H733" s="95" t="s">
        <v>387</v>
      </c>
    </row>
    <row r="734" spans="1:8" x14ac:dyDescent="0.25">
      <c r="A734" s="87" t="s">
        <v>22</v>
      </c>
      <c r="B734" s="157">
        <v>52.63</v>
      </c>
      <c r="C734" s="157">
        <v>5.45</v>
      </c>
      <c r="D734" s="157">
        <v>19.25</v>
      </c>
      <c r="E734" s="157">
        <v>10.92</v>
      </c>
      <c r="F734" s="157">
        <v>17.18</v>
      </c>
      <c r="G734" s="157">
        <v>8.6999999999999993</v>
      </c>
      <c r="H734" s="113"/>
    </row>
    <row r="735" spans="1:8" x14ac:dyDescent="0.25">
      <c r="A735" s="87" t="s">
        <v>23</v>
      </c>
      <c r="B735" s="157">
        <v>-2.63</v>
      </c>
      <c r="C735" s="157">
        <v>55.25</v>
      </c>
      <c r="D735" s="157">
        <v>28.12</v>
      </c>
      <c r="E735" s="157">
        <v>54.08</v>
      </c>
      <c r="F735" s="157">
        <f>F732-F734</f>
        <v>42.82</v>
      </c>
      <c r="G735" s="157">
        <f>G732-G734</f>
        <v>51.3</v>
      </c>
      <c r="H735" s="113"/>
    </row>
    <row r="736" spans="1:8" x14ac:dyDescent="0.25">
      <c r="A736" s="87" t="s">
        <v>24</v>
      </c>
      <c r="B736" s="471">
        <v>2016</v>
      </c>
      <c r="C736" s="471">
        <v>2017</v>
      </c>
      <c r="D736" s="581">
        <v>2018</v>
      </c>
      <c r="E736" s="581">
        <v>2019</v>
      </c>
      <c r="F736" s="581">
        <v>2020</v>
      </c>
      <c r="G736" s="581">
        <v>2021</v>
      </c>
      <c r="H736" s="60">
        <v>2022</v>
      </c>
    </row>
    <row r="737" spans="1:8" ht="39" customHeight="1" x14ac:dyDescent="0.25">
      <c r="A737" s="500" t="s">
        <v>388</v>
      </c>
      <c r="B737" s="501"/>
      <c r="C737" s="501"/>
      <c r="D737" s="501"/>
      <c r="E737" s="501"/>
      <c r="F737" s="501"/>
      <c r="G737" s="501"/>
      <c r="H737" s="502"/>
    </row>
    <row r="738" spans="1:8" ht="14.4" customHeight="1" x14ac:dyDescent="0.25">
      <c r="A738" s="300"/>
      <c r="B738" s="300"/>
      <c r="C738" s="300"/>
      <c r="D738" s="300"/>
      <c r="E738" s="300"/>
      <c r="F738" s="300"/>
      <c r="G738" s="300"/>
      <c r="H738" s="300"/>
    </row>
    <row r="739" spans="1:8" ht="14.4" customHeight="1" x14ac:dyDescent="0.25">
      <c r="A739" s="98" t="s">
        <v>263</v>
      </c>
      <c r="B739" s="86" t="s">
        <v>329</v>
      </c>
      <c r="C739" s="86" t="s">
        <v>188</v>
      </c>
      <c r="D739" s="83"/>
      <c r="E739" s="83"/>
      <c r="F739" s="83"/>
      <c r="G739" s="83"/>
      <c r="H739" s="54"/>
    </row>
    <row r="740" spans="1:8" ht="14.4" customHeight="1" x14ac:dyDescent="0.25">
      <c r="A740" s="87" t="s">
        <v>18</v>
      </c>
      <c r="B740" s="88"/>
      <c r="C740" s="88"/>
      <c r="D740" s="471">
        <v>2016</v>
      </c>
      <c r="E740" s="471">
        <v>2017</v>
      </c>
      <c r="F740" s="471">
        <v>2018</v>
      </c>
      <c r="G740" s="471">
        <v>2019</v>
      </c>
      <c r="H740" s="60">
        <v>2020</v>
      </c>
    </row>
    <row r="741" spans="1:8" ht="14.4" customHeight="1" x14ac:dyDescent="0.25">
      <c r="A741" s="87" t="s">
        <v>19</v>
      </c>
      <c r="B741" s="157"/>
      <c r="C741" s="296"/>
      <c r="D741" s="296">
        <v>113.66</v>
      </c>
      <c r="E741" s="296">
        <v>136.46</v>
      </c>
      <c r="F741" s="296">
        <v>160</v>
      </c>
      <c r="G741" s="296">
        <v>184</v>
      </c>
      <c r="H741" s="113">
        <v>200</v>
      </c>
    </row>
    <row r="742" spans="1:8" ht="14.4" customHeight="1" x14ac:dyDescent="0.25">
      <c r="A742" s="87" t="s">
        <v>20</v>
      </c>
      <c r="B742" s="157"/>
      <c r="C742" s="296"/>
      <c r="D742" s="296">
        <v>163.66</v>
      </c>
      <c r="E742" s="296">
        <v>181.46</v>
      </c>
      <c r="F742" s="189">
        <v>210</v>
      </c>
      <c r="G742" s="189">
        <v>234</v>
      </c>
      <c r="H742" s="113">
        <v>251.57</v>
      </c>
    </row>
    <row r="743" spans="1:8" ht="14.4" customHeight="1" x14ac:dyDescent="0.25">
      <c r="A743" s="87" t="s">
        <v>21</v>
      </c>
      <c r="B743" s="155"/>
      <c r="C743" s="299"/>
      <c r="D743" s="95" t="s">
        <v>394</v>
      </c>
      <c r="E743" s="95" t="s">
        <v>395</v>
      </c>
      <c r="F743" s="95" t="s">
        <v>396</v>
      </c>
      <c r="G743" s="95" t="s">
        <v>397</v>
      </c>
      <c r="H743" s="302" t="s">
        <v>398</v>
      </c>
    </row>
    <row r="744" spans="1:8" ht="14.4" customHeight="1" x14ac:dyDescent="0.25">
      <c r="A744" s="87" t="s">
        <v>22</v>
      </c>
      <c r="B744" s="157"/>
      <c r="C744" s="157"/>
      <c r="D744" s="157">
        <v>161.08000000000001</v>
      </c>
      <c r="E744" s="157">
        <v>181.19</v>
      </c>
      <c r="F744" s="157">
        <v>207.97</v>
      </c>
      <c r="G744" s="157">
        <v>232.43299999999999</v>
      </c>
      <c r="H744" s="113"/>
    </row>
    <row r="745" spans="1:8" ht="14.4" customHeight="1" x14ac:dyDescent="0.25">
      <c r="A745" s="87" t="s">
        <v>23</v>
      </c>
      <c r="B745" s="157"/>
      <c r="C745" s="157"/>
      <c r="D745" s="157">
        <v>2.58</v>
      </c>
      <c r="E745" s="157">
        <v>0.27</v>
      </c>
      <c r="F745" s="157">
        <v>2.0299999999999998</v>
      </c>
      <c r="G745" s="157">
        <v>1.5670000000000073</v>
      </c>
      <c r="H745" s="113"/>
    </row>
    <row r="746" spans="1:8" ht="14.4" customHeight="1" x14ac:dyDescent="0.25">
      <c r="A746" s="213" t="s">
        <v>24</v>
      </c>
      <c r="B746" s="214"/>
      <c r="C746" s="297"/>
      <c r="D746" s="297"/>
      <c r="E746" s="297"/>
      <c r="F746" s="297"/>
      <c r="G746" s="594">
        <v>2020</v>
      </c>
      <c r="H746" s="43"/>
    </row>
    <row r="747" spans="1:8" ht="14.4" customHeight="1" x14ac:dyDescent="0.25">
      <c r="A747" s="213" t="s">
        <v>399</v>
      </c>
      <c r="B747" s="298"/>
      <c r="C747" s="298"/>
      <c r="D747" s="298"/>
      <c r="E747" s="298"/>
      <c r="F747" s="298"/>
      <c r="G747" s="298"/>
      <c r="H747" s="10"/>
    </row>
    <row r="748" spans="1:8" ht="14.4" customHeight="1" x14ac:dyDescent="0.25">
      <c r="A748" s="99" t="s">
        <v>400</v>
      </c>
      <c r="B748" s="85"/>
      <c r="C748" s="85"/>
      <c r="D748" s="85"/>
      <c r="E748" s="85"/>
      <c r="F748" s="85"/>
      <c r="G748" s="85"/>
      <c r="H748" s="57"/>
    </row>
    <row r="749" spans="1:8" ht="14.4" customHeight="1" x14ac:dyDescent="0.25">
      <c r="A749" s="99" t="s">
        <v>401</v>
      </c>
      <c r="B749" s="85"/>
      <c r="C749" s="85"/>
      <c r="D749" s="85"/>
      <c r="E749" s="85"/>
      <c r="F749" s="85"/>
      <c r="G749" s="85"/>
      <c r="H749" s="57"/>
    </row>
    <row r="750" spans="1:8" ht="14.4" customHeight="1" x14ac:dyDescent="0.25">
      <c r="A750" s="96" t="s">
        <v>402</v>
      </c>
      <c r="B750" s="97"/>
      <c r="C750" s="97"/>
      <c r="D750" s="97"/>
      <c r="E750" s="97"/>
      <c r="F750" s="97"/>
      <c r="G750" s="97"/>
      <c r="H750" s="13"/>
    </row>
    <row r="751" spans="1:8" ht="14.4" customHeight="1" x14ac:dyDescent="0.25">
      <c r="A751" s="300"/>
      <c r="B751" s="300"/>
      <c r="C751" s="300"/>
      <c r="D751" s="300"/>
      <c r="E751" s="300"/>
      <c r="F751" s="300"/>
      <c r="G751" s="300"/>
      <c r="H751" s="300"/>
    </row>
    <row r="752" spans="1:8" x14ac:dyDescent="0.25">
      <c r="A752" s="98" t="s">
        <v>263</v>
      </c>
      <c r="B752" s="86" t="s">
        <v>83</v>
      </c>
      <c r="C752" s="86" t="s">
        <v>188</v>
      </c>
      <c r="D752" s="83"/>
      <c r="E752" s="83"/>
      <c r="F752" s="83"/>
      <c r="G752" s="83"/>
      <c r="H752" s="54"/>
    </row>
    <row r="753" spans="1:9" x14ac:dyDescent="0.25">
      <c r="A753" s="87" t="s">
        <v>18</v>
      </c>
      <c r="B753" s="471">
        <v>2014</v>
      </c>
      <c r="C753" s="471">
        <v>2015</v>
      </c>
      <c r="D753" s="471">
        <v>2016</v>
      </c>
      <c r="E753" s="471">
        <v>2017</v>
      </c>
      <c r="F753" s="471">
        <v>2018</v>
      </c>
      <c r="G753" s="471">
        <v>2019</v>
      </c>
      <c r="H753" s="60">
        <v>2020</v>
      </c>
    </row>
    <row r="754" spans="1:9" x14ac:dyDescent="0.25">
      <c r="A754" s="87" t="s">
        <v>19</v>
      </c>
      <c r="B754" s="157">
        <v>1983</v>
      </c>
      <c r="C754" s="296">
        <v>1983</v>
      </c>
      <c r="D754" s="296">
        <v>1486</v>
      </c>
      <c r="E754" s="296">
        <v>1486</v>
      </c>
      <c r="F754" s="296">
        <v>1486</v>
      </c>
      <c r="G754" s="296">
        <v>1486</v>
      </c>
      <c r="H754" s="113">
        <v>1000</v>
      </c>
    </row>
    <row r="755" spans="1:9" x14ac:dyDescent="0.25">
      <c r="A755" s="87" t="s">
        <v>20</v>
      </c>
      <c r="B755" s="157">
        <v>2557.9</v>
      </c>
      <c r="C755" s="296">
        <v>2557.9</v>
      </c>
      <c r="D755" s="296">
        <v>2080.9</v>
      </c>
      <c r="E755" s="296">
        <v>1708.9</v>
      </c>
      <c r="F755" s="189">
        <v>1485.9</v>
      </c>
      <c r="G755" s="189">
        <v>1485.9</v>
      </c>
      <c r="H755" s="113">
        <f>1486*0.15+1000-223</f>
        <v>999.90000000000009</v>
      </c>
    </row>
    <row r="756" spans="1:9" ht="28.8" customHeight="1" x14ac:dyDescent="0.25">
      <c r="A756" s="87" t="s">
        <v>21</v>
      </c>
      <c r="B756" s="155" t="s">
        <v>181</v>
      </c>
      <c r="C756" s="299" t="s">
        <v>181</v>
      </c>
      <c r="D756" s="299" t="s">
        <v>182</v>
      </c>
      <c r="E756" s="299" t="s">
        <v>183</v>
      </c>
      <c r="F756" s="299" t="s">
        <v>280</v>
      </c>
      <c r="G756" s="299" t="s">
        <v>281</v>
      </c>
      <c r="H756" s="132" t="s">
        <v>389</v>
      </c>
    </row>
    <row r="757" spans="1:9" x14ac:dyDescent="0.25">
      <c r="A757" s="87" t="s">
        <v>22</v>
      </c>
      <c r="B757" s="157">
        <v>1038.83</v>
      </c>
      <c r="C757" s="157">
        <v>670.7</v>
      </c>
      <c r="D757" s="157">
        <v>561.97</v>
      </c>
      <c r="E757" s="157">
        <v>432.09</v>
      </c>
      <c r="F757" s="157">
        <v>662.7</v>
      </c>
      <c r="G757" s="157">
        <v>539.84</v>
      </c>
      <c r="H757" s="113"/>
    </row>
    <row r="758" spans="1:9" x14ac:dyDescent="0.25">
      <c r="A758" s="87" t="s">
        <v>23</v>
      </c>
      <c r="B758" s="157">
        <v>1519.07</v>
      </c>
      <c r="C758" s="157">
        <v>1887.2</v>
      </c>
      <c r="D758" s="157">
        <v>1518.93</v>
      </c>
      <c r="E758" s="157">
        <v>1276.8100000000002</v>
      </c>
      <c r="F758" s="157">
        <v>823.2</v>
      </c>
      <c r="G758" s="157">
        <f>G755-G757</f>
        <v>946.06000000000006</v>
      </c>
      <c r="H758" s="113"/>
    </row>
    <row r="759" spans="1:9" x14ac:dyDescent="0.25">
      <c r="A759" s="213" t="s">
        <v>24</v>
      </c>
      <c r="B759" s="595">
        <v>2015</v>
      </c>
      <c r="C759" s="594">
        <v>2016</v>
      </c>
      <c r="D759" s="594">
        <v>2017</v>
      </c>
      <c r="E759" s="594">
        <v>2018</v>
      </c>
      <c r="F759" s="594">
        <v>2019</v>
      </c>
      <c r="G759" s="594">
        <v>2020</v>
      </c>
      <c r="H759" s="65">
        <v>2021</v>
      </c>
    </row>
    <row r="760" spans="1:9" x14ac:dyDescent="0.25">
      <c r="A760" s="213" t="s">
        <v>390</v>
      </c>
      <c r="B760" s="298"/>
      <c r="C760" s="298"/>
      <c r="D760" s="298"/>
      <c r="E760" s="298"/>
      <c r="F760" s="298"/>
      <c r="G760" s="298"/>
      <c r="H760" s="10"/>
    </row>
    <row r="761" spans="1:9" x14ac:dyDescent="0.25">
      <c r="A761" s="99" t="s">
        <v>391</v>
      </c>
      <c r="B761" s="85"/>
      <c r="C761" s="85"/>
      <c r="D761" s="85"/>
      <c r="E761" s="85"/>
      <c r="F761" s="85"/>
      <c r="G761" s="85"/>
      <c r="H761" s="57"/>
    </row>
    <row r="762" spans="1:9" x14ac:dyDescent="0.25">
      <c r="A762" s="99" t="s">
        <v>184</v>
      </c>
      <c r="B762" s="85"/>
      <c r="C762" s="85"/>
      <c r="D762" s="85"/>
      <c r="E762" s="85"/>
      <c r="F762" s="85"/>
      <c r="G762" s="85"/>
      <c r="H762" s="57"/>
    </row>
    <row r="763" spans="1:9" x14ac:dyDescent="0.25">
      <c r="A763" s="99" t="s">
        <v>392</v>
      </c>
      <c r="B763" s="85"/>
      <c r="C763" s="85"/>
      <c r="D763" s="85"/>
      <c r="E763" s="85"/>
      <c r="F763" s="85"/>
      <c r="G763" s="85"/>
      <c r="H763" s="57"/>
    </row>
    <row r="764" spans="1:9" x14ac:dyDescent="0.25">
      <c r="A764" s="96" t="s">
        <v>393</v>
      </c>
      <c r="B764" s="97"/>
      <c r="C764" s="97"/>
      <c r="D764" s="97"/>
      <c r="E764" s="97"/>
      <c r="F764" s="97"/>
      <c r="G764" s="97"/>
      <c r="H764" s="13"/>
    </row>
    <row r="765" spans="1:9" x14ac:dyDescent="0.25">
      <c r="A765" s="78"/>
      <c r="B765" s="138"/>
      <c r="C765" s="79"/>
      <c r="D765" s="80"/>
      <c r="E765" s="80"/>
      <c r="F765" s="144"/>
      <c r="G765" s="144"/>
      <c r="H765" s="54"/>
    </row>
    <row r="766" spans="1:9" x14ac:dyDescent="0.25">
      <c r="A766" s="86" t="s">
        <v>263</v>
      </c>
      <c r="B766" s="86" t="s">
        <v>92</v>
      </c>
      <c r="C766" s="93" t="s">
        <v>188</v>
      </c>
      <c r="D766" s="83"/>
      <c r="E766" s="83"/>
      <c r="F766" s="83"/>
      <c r="G766" s="83"/>
      <c r="H766" s="54"/>
    </row>
    <row r="767" spans="1:9" x14ac:dyDescent="0.25">
      <c r="A767" s="87" t="s">
        <v>18</v>
      </c>
      <c r="B767" s="471">
        <v>2014</v>
      </c>
      <c r="C767" s="471">
        <v>2015</v>
      </c>
      <c r="D767" s="471">
        <v>2016</v>
      </c>
      <c r="E767" s="471">
        <v>2017</v>
      </c>
      <c r="F767" s="471">
        <v>2018</v>
      </c>
      <c r="G767" s="471">
        <v>2019</v>
      </c>
      <c r="H767" s="60">
        <v>2020</v>
      </c>
      <c r="I767" s="60">
        <v>2021</v>
      </c>
    </row>
    <row r="768" spans="1:9" x14ac:dyDescent="0.25">
      <c r="A768" s="87" t="s">
        <v>19</v>
      </c>
      <c r="B768" s="88">
        <v>35</v>
      </c>
      <c r="C768" s="88">
        <v>35</v>
      </c>
      <c r="D768" s="94">
        <v>35</v>
      </c>
      <c r="E768" s="94">
        <v>35</v>
      </c>
      <c r="F768" s="94">
        <v>35</v>
      </c>
      <c r="G768" s="94">
        <v>35</v>
      </c>
      <c r="H768" s="7">
        <v>29.4</v>
      </c>
      <c r="I768" s="7">
        <v>29.4</v>
      </c>
    </row>
    <row r="769" spans="1:9" x14ac:dyDescent="0.25">
      <c r="A769" s="87" t="s">
        <v>20</v>
      </c>
      <c r="B769" s="88">
        <v>35</v>
      </c>
      <c r="C769" s="88">
        <v>42</v>
      </c>
      <c r="D769" s="94">
        <v>42</v>
      </c>
      <c r="E769" s="94">
        <v>42</v>
      </c>
      <c r="F769" s="94">
        <v>42</v>
      </c>
      <c r="G769" s="94">
        <v>42</v>
      </c>
      <c r="H769" s="7">
        <v>36.4</v>
      </c>
      <c r="I769" s="7">
        <v>36.4</v>
      </c>
    </row>
    <row r="770" spans="1:9" ht="26.4" x14ac:dyDescent="0.25">
      <c r="A770" s="87" t="s">
        <v>21</v>
      </c>
      <c r="B770" s="91" t="s">
        <v>172</v>
      </c>
      <c r="C770" s="155" t="s">
        <v>185</v>
      </c>
      <c r="D770" s="155" t="s">
        <v>185</v>
      </c>
      <c r="E770" s="155" t="s">
        <v>185</v>
      </c>
      <c r="F770" s="155" t="s">
        <v>185</v>
      </c>
      <c r="G770" s="155" t="s">
        <v>185</v>
      </c>
      <c r="H770" s="132" t="s">
        <v>403</v>
      </c>
      <c r="I770" s="132" t="s">
        <v>403</v>
      </c>
    </row>
    <row r="771" spans="1:9" x14ac:dyDescent="0.25">
      <c r="A771" s="87" t="s">
        <v>22</v>
      </c>
      <c r="B771" s="88">
        <v>9.7799999999999994</v>
      </c>
      <c r="C771" s="88">
        <v>3.07</v>
      </c>
      <c r="D771" s="88">
        <v>26.19</v>
      </c>
      <c r="E771" s="88">
        <v>25.13</v>
      </c>
      <c r="F771" s="88">
        <v>24.55</v>
      </c>
      <c r="G771" s="88">
        <v>12.91</v>
      </c>
      <c r="H771" s="7"/>
      <c r="I771" s="7"/>
    </row>
    <row r="772" spans="1:9" x14ac:dyDescent="0.25">
      <c r="A772" s="87" t="s">
        <v>23</v>
      </c>
      <c r="B772" s="88">
        <v>25.22</v>
      </c>
      <c r="C772" s="88">
        <v>38.93</v>
      </c>
      <c r="D772" s="88">
        <v>15.81</v>
      </c>
      <c r="E772" s="88">
        <v>16.87</v>
      </c>
      <c r="F772" s="88">
        <v>17.45</v>
      </c>
      <c r="G772" s="88">
        <f>G769-G771</f>
        <v>29.09</v>
      </c>
      <c r="H772" s="7"/>
      <c r="I772" s="7"/>
    </row>
    <row r="773" spans="1:9" x14ac:dyDescent="0.25">
      <c r="A773" s="87" t="s">
        <v>24</v>
      </c>
      <c r="B773" s="471">
        <v>2016</v>
      </c>
      <c r="C773" s="471">
        <v>2017</v>
      </c>
      <c r="D773" s="581">
        <v>2018</v>
      </c>
      <c r="E773" s="581">
        <v>2019</v>
      </c>
      <c r="F773" s="581">
        <v>2020</v>
      </c>
      <c r="G773" s="581">
        <v>2021</v>
      </c>
      <c r="H773" s="581">
        <v>2022</v>
      </c>
      <c r="I773" s="581">
        <v>2023</v>
      </c>
    </row>
    <row r="774" spans="1:9" x14ac:dyDescent="0.25">
      <c r="A774" s="499" t="s">
        <v>186</v>
      </c>
      <c r="B774" s="499"/>
      <c r="C774" s="499"/>
      <c r="D774" s="499"/>
      <c r="E774" s="499"/>
      <c r="F774" s="499"/>
      <c r="G774" s="499"/>
      <c r="H774" s="499"/>
      <c r="I774" s="499"/>
    </row>
    <row r="775" spans="1:9" x14ac:dyDescent="0.25">
      <c r="A775" s="78"/>
      <c r="B775" s="138"/>
      <c r="C775" s="79"/>
      <c r="D775" s="80"/>
      <c r="E775" s="80"/>
      <c r="F775" s="144"/>
      <c r="G775" s="144"/>
      <c r="H775" s="54"/>
    </row>
    <row r="776" spans="1:9" x14ac:dyDescent="0.25">
      <c r="A776" s="86" t="s">
        <v>15</v>
      </c>
      <c r="B776" s="86" t="s">
        <v>97</v>
      </c>
      <c r="C776" s="93" t="s">
        <v>188</v>
      </c>
      <c r="D776" s="83"/>
      <c r="E776" s="83"/>
      <c r="F776" s="83"/>
      <c r="G776" s="83"/>
      <c r="H776" s="54"/>
    </row>
    <row r="777" spans="1:9" x14ac:dyDescent="0.25">
      <c r="A777" s="87" t="s">
        <v>18</v>
      </c>
      <c r="B777" s="471">
        <v>2014</v>
      </c>
      <c r="C777" s="471">
        <v>2015</v>
      </c>
      <c r="D777" s="471">
        <v>2016</v>
      </c>
      <c r="E777" s="471">
        <v>2017</v>
      </c>
      <c r="F777" s="471">
        <v>2018</v>
      </c>
      <c r="G777" s="471">
        <v>2019</v>
      </c>
      <c r="H777" s="60">
        <v>2020</v>
      </c>
      <c r="I777" s="580">
        <v>2021</v>
      </c>
    </row>
    <row r="778" spans="1:9" x14ac:dyDescent="0.25">
      <c r="A778" s="87" t="s">
        <v>19</v>
      </c>
      <c r="B778" s="88">
        <v>20</v>
      </c>
      <c r="C778" s="88">
        <v>20</v>
      </c>
      <c r="D778" s="94">
        <v>20</v>
      </c>
      <c r="E778" s="94">
        <v>20</v>
      </c>
      <c r="F778" s="94">
        <v>20</v>
      </c>
      <c r="G778" s="94">
        <v>20</v>
      </c>
      <c r="H778" s="94">
        <v>20</v>
      </c>
      <c r="I778" s="94">
        <v>20</v>
      </c>
    </row>
    <row r="779" spans="1:9" x14ac:dyDescent="0.25">
      <c r="A779" s="87" t="s">
        <v>20</v>
      </c>
      <c r="B779" s="88">
        <v>20</v>
      </c>
      <c r="C779" s="88">
        <v>24</v>
      </c>
      <c r="D779" s="94">
        <v>24</v>
      </c>
      <c r="E779" s="94">
        <v>24</v>
      </c>
      <c r="F779" s="94">
        <v>24</v>
      </c>
      <c r="G779" s="94">
        <v>24</v>
      </c>
      <c r="H779" s="94">
        <v>24</v>
      </c>
      <c r="I779" s="94">
        <v>24</v>
      </c>
    </row>
    <row r="780" spans="1:9" x14ac:dyDescent="0.25">
      <c r="A780" s="87" t="s">
        <v>21</v>
      </c>
      <c r="B780" s="91" t="s">
        <v>172</v>
      </c>
      <c r="C780" s="91" t="s">
        <v>187</v>
      </c>
      <c r="D780" s="91" t="s">
        <v>187</v>
      </c>
      <c r="E780" s="91" t="s">
        <v>187</v>
      </c>
      <c r="F780" s="91" t="s">
        <v>187</v>
      </c>
      <c r="G780" s="91" t="s">
        <v>187</v>
      </c>
      <c r="H780" s="91" t="s">
        <v>187</v>
      </c>
      <c r="I780" s="91" t="s">
        <v>187</v>
      </c>
    </row>
    <row r="781" spans="1:9" x14ac:dyDescent="0.25">
      <c r="A781" s="87" t="s">
        <v>22</v>
      </c>
      <c r="B781" s="88">
        <v>0.15</v>
      </c>
      <c r="C781" s="88">
        <v>0</v>
      </c>
      <c r="D781" s="88">
        <v>0</v>
      </c>
      <c r="E781" s="92">
        <v>0.14000000000000001</v>
      </c>
      <c r="F781" s="88">
        <v>0</v>
      </c>
      <c r="G781" s="88"/>
      <c r="H781" s="7"/>
      <c r="I781" s="142"/>
    </row>
    <row r="782" spans="1:9" x14ac:dyDescent="0.25">
      <c r="A782" s="87" t="s">
        <v>23</v>
      </c>
      <c r="B782" s="88">
        <v>19.850000000000001</v>
      </c>
      <c r="C782" s="88">
        <v>24</v>
      </c>
      <c r="D782" s="88">
        <v>24</v>
      </c>
      <c r="E782" s="92">
        <v>23.86</v>
      </c>
      <c r="F782" s="88">
        <v>24</v>
      </c>
      <c r="G782" s="88"/>
      <c r="H782" s="7"/>
      <c r="I782" s="142"/>
    </row>
    <row r="783" spans="1:9" x14ac:dyDescent="0.25">
      <c r="A783" s="87" t="s">
        <v>24</v>
      </c>
      <c r="B783" s="471">
        <v>2016</v>
      </c>
      <c r="C783" s="471">
        <v>2017</v>
      </c>
      <c r="D783" s="581">
        <v>2018</v>
      </c>
      <c r="E783" s="581">
        <v>2019</v>
      </c>
      <c r="F783" s="581">
        <v>2020</v>
      </c>
      <c r="G783" s="581">
        <v>2021</v>
      </c>
      <c r="H783" s="581">
        <v>2022</v>
      </c>
      <c r="I783" s="581">
        <v>2023</v>
      </c>
    </row>
    <row r="784" spans="1:9" x14ac:dyDescent="0.25">
      <c r="A784" s="564" t="s">
        <v>186</v>
      </c>
      <c r="B784" s="565"/>
      <c r="C784" s="565"/>
      <c r="D784" s="565"/>
      <c r="E784" s="565"/>
      <c r="F784" s="565"/>
      <c r="G784" s="565"/>
      <c r="H784" s="565"/>
      <c r="I784" s="566"/>
    </row>
    <row r="785" spans="1:8" x14ac:dyDescent="0.25">
      <c r="A785" s="78"/>
      <c r="B785" s="138"/>
      <c r="C785" s="79"/>
      <c r="D785" s="80"/>
      <c r="E785" s="80"/>
      <c r="F785" s="144"/>
      <c r="G785" s="144"/>
      <c r="H785" s="54"/>
    </row>
    <row r="787" spans="1:8" x14ac:dyDescent="0.25">
      <c r="A787" s="1" t="s">
        <v>11</v>
      </c>
      <c r="B787" s="41" t="s">
        <v>0</v>
      </c>
      <c r="C787" s="212"/>
      <c r="D787" s="2"/>
      <c r="E787" s="2"/>
      <c r="F787" s="2"/>
    </row>
    <row r="788" spans="1:8" x14ac:dyDescent="0.25">
      <c r="A788" s="3" t="s">
        <v>1</v>
      </c>
      <c r="B788" s="4" t="s">
        <v>12</v>
      </c>
      <c r="C788" s="5" t="s">
        <v>2</v>
      </c>
      <c r="D788" s="2"/>
      <c r="E788" s="2"/>
      <c r="F788" s="2"/>
    </row>
    <row r="789" spans="1:8" x14ac:dyDescent="0.25">
      <c r="A789" s="6" t="s">
        <v>3</v>
      </c>
      <c r="B789" s="60">
        <v>2017</v>
      </c>
      <c r="C789" s="60">
        <v>2018</v>
      </c>
      <c r="D789" s="434">
        <v>2019</v>
      </c>
      <c r="E789" s="60">
        <v>2020</v>
      </c>
      <c r="F789" s="60">
        <v>2021</v>
      </c>
    </row>
    <row r="790" spans="1:8" x14ac:dyDescent="0.25">
      <c r="A790" s="6" t="s">
        <v>4</v>
      </c>
      <c r="B790" s="7">
        <v>850</v>
      </c>
      <c r="C790" s="60">
        <v>850</v>
      </c>
      <c r="D790" s="175">
        <v>850</v>
      </c>
      <c r="E790" s="7">
        <v>850</v>
      </c>
      <c r="F790" s="55"/>
    </row>
    <row r="791" spans="1:8" x14ac:dyDescent="0.25">
      <c r="A791" s="6" t="s">
        <v>5</v>
      </c>
      <c r="B791" s="7">
        <v>950</v>
      </c>
      <c r="C791" s="60">
        <v>950</v>
      </c>
      <c r="D791" s="175">
        <v>950</v>
      </c>
      <c r="E791" s="7">
        <v>1045</v>
      </c>
      <c r="F791" s="55"/>
    </row>
    <row r="792" spans="1:8" x14ac:dyDescent="0.25">
      <c r="A792" s="6" t="s">
        <v>6</v>
      </c>
      <c r="B792" s="7"/>
      <c r="C792" s="60"/>
      <c r="D792" s="175"/>
      <c r="E792" s="7"/>
      <c r="F792" s="55"/>
    </row>
    <row r="793" spans="1:8" x14ac:dyDescent="0.25">
      <c r="A793" s="6" t="s">
        <v>7</v>
      </c>
      <c r="B793" s="7">
        <v>900</v>
      </c>
      <c r="C793" s="60">
        <v>950</v>
      </c>
      <c r="D793" s="175">
        <v>950</v>
      </c>
      <c r="E793" s="7"/>
      <c r="F793" s="55"/>
    </row>
    <row r="794" spans="1:8" x14ac:dyDescent="0.25">
      <c r="A794" s="6" t="s">
        <v>8</v>
      </c>
      <c r="B794" s="7">
        <v>50</v>
      </c>
      <c r="C794" s="60">
        <v>0</v>
      </c>
      <c r="D794" s="175">
        <f>D791-D793</f>
        <v>0</v>
      </c>
      <c r="E794" s="7"/>
      <c r="F794" s="55"/>
    </row>
    <row r="795" spans="1:8" x14ac:dyDescent="0.25">
      <c r="A795" s="6" t="s">
        <v>9</v>
      </c>
      <c r="B795" s="60">
        <v>2019</v>
      </c>
      <c r="C795" s="60">
        <v>2020</v>
      </c>
      <c r="D795" s="434">
        <v>2021</v>
      </c>
      <c r="E795" s="60">
        <v>2022</v>
      </c>
      <c r="F795" s="596">
        <v>2023</v>
      </c>
    </row>
    <row r="796" spans="1:8" x14ac:dyDescent="0.25">
      <c r="A796" s="8" t="s">
        <v>10</v>
      </c>
      <c r="B796" s="9"/>
      <c r="C796" s="9"/>
      <c r="D796" s="9"/>
      <c r="E796" s="9"/>
      <c r="F796" s="10"/>
    </row>
    <row r="797" spans="1:8" x14ac:dyDescent="0.25">
      <c r="A797" s="56" t="s">
        <v>325</v>
      </c>
      <c r="B797" s="54"/>
      <c r="C797" s="54"/>
      <c r="D797" s="54"/>
      <c r="E797" s="54"/>
      <c r="F797" s="57"/>
    </row>
    <row r="798" spans="1:8" ht="25.8" customHeight="1" x14ac:dyDescent="0.25">
      <c r="A798" s="493" t="s">
        <v>326</v>
      </c>
      <c r="B798" s="494"/>
      <c r="C798" s="494"/>
      <c r="D798" s="494"/>
      <c r="E798" s="494"/>
      <c r="F798" s="495"/>
    </row>
    <row r="799" spans="1:8" ht="25.2" customHeight="1" x14ac:dyDescent="0.25">
      <c r="A799" s="548" t="s">
        <v>327</v>
      </c>
      <c r="B799" s="549"/>
      <c r="C799" s="549"/>
      <c r="D799" s="549"/>
      <c r="E799" s="549"/>
      <c r="F799" s="550"/>
    </row>
    <row r="800" spans="1:8" x14ac:dyDescent="0.25">
      <c r="A800" s="11"/>
      <c r="B800" s="12"/>
      <c r="C800" s="12"/>
      <c r="D800" s="12"/>
      <c r="E800" s="12"/>
      <c r="F800" s="13"/>
    </row>
    <row r="801" spans="1:8" x14ac:dyDescent="0.25">
      <c r="A801" s="54"/>
      <c r="B801" s="54"/>
      <c r="C801" s="54"/>
      <c r="D801" s="54"/>
      <c r="E801" s="54"/>
      <c r="F801" s="54"/>
    </row>
    <row r="802" spans="1:8" x14ac:dyDescent="0.25">
      <c r="A802" s="3" t="s">
        <v>1</v>
      </c>
      <c r="B802" s="4" t="s">
        <v>92</v>
      </c>
      <c r="C802" s="5" t="s">
        <v>2</v>
      </c>
      <c r="D802" s="2"/>
      <c r="E802" s="2"/>
      <c r="F802" s="2"/>
      <c r="G802" s="138"/>
      <c r="H802" s="138"/>
    </row>
    <row r="803" spans="1:8" x14ac:dyDescent="0.25">
      <c r="A803" s="6" t="s">
        <v>3</v>
      </c>
      <c r="B803" s="60">
        <v>2017</v>
      </c>
      <c r="C803" s="60">
        <v>2018</v>
      </c>
      <c r="D803" s="434">
        <v>2019</v>
      </c>
      <c r="E803" s="60">
        <v>2020</v>
      </c>
      <c r="F803" s="60">
        <v>2021</v>
      </c>
      <c r="G803" s="138"/>
      <c r="H803" s="138"/>
    </row>
    <row r="804" spans="1:8" x14ac:dyDescent="0.25">
      <c r="A804" s="6" t="s">
        <v>4</v>
      </c>
      <c r="B804" s="7">
        <v>10</v>
      </c>
      <c r="C804" s="60">
        <v>10</v>
      </c>
      <c r="D804" s="175">
        <v>10</v>
      </c>
      <c r="E804" s="7">
        <v>10</v>
      </c>
      <c r="F804" s="55">
        <v>10</v>
      </c>
      <c r="G804" s="138"/>
      <c r="H804" s="138"/>
    </row>
    <row r="805" spans="1:8" x14ac:dyDescent="0.25">
      <c r="A805" s="6" t="s">
        <v>5</v>
      </c>
      <c r="B805" s="7">
        <v>10</v>
      </c>
      <c r="C805" s="60">
        <v>-62</v>
      </c>
      <c r="D805" s="175">
        <v>-52</v>
      </c>
      <c r="E805" s="7">
        <v>-42</v>
      </c>
      <c r="F805" s="55">
        <v>-32</v>
      </c>
      <c r="G805" s="138"/>
      <c r="H805" s="138"/>
    </row>
    <row r="806" spans="1:8" x14ac:dyDescent="0.25">
      <c r="A806" s="6" t="s">
        <v>6</v>
      </c>
      <c r="B806" s="7"/>
      <c r="C806" s="60"/>
      <c r="D806" s="175"/>
      <c r="E806" s="7"/>
      <c r="F806" s="55"/>
      <c r="G806" s="138"/>
      <c r="H806" s="138"/>
    </row>
    <row r="807" spans="1:8" x14ac:dyDescent="0.25">
      <c r="A807" s="6" t="s">
        <v>7</v>
      </c>
      <c r="B807" s="7">
        <v>82</v>
      </c>
      <c r="C807" s="60">
        <v>0</v>
      </c>
      <c r="D807" s="175">
        <v>0</v>
      </c>
      <c r="E807" s="7">
        <v>0</v>
      </c>
      <c r="F807" s="55"/>
      <c r="G807" s="138"/>
      <c r="H807" s="138"/>
    </row>
    <row r="808" spans="1:8" x14ac:dyDescent="0.25">
      <c r="A808" s="6" t="s">
        <v>8</v>
      </c>
      <c r="B808" s="7">
        <v>-72</v>
      </c>
      <c r="C808" s="60">
        <v>-62</v>
      </c>
      <c r="D808" s="175">
        <v>-52</v>
      </c>
      <c r="E808" s="7">
        <v>-42</v>
      </c>
      <c r="F808" s="55">
        <v>-32</v>
      </c>
      <c r="G808" s="138"/>
      <c r="H808" s="138"/>
    </row>
    <row r="809" spans="1:8" x14ac:dyDescent="0.25">
      <c r="A809" s="6" t="s">
        <v>9</v>
      </c>
      <c r="B809" s="60">
        <v>2019</v>
      </c>
      <c r="C809" s="60">
        <v>2020</v>
      </c>
      <c r="D809" s="434">
        <v>2021</v>
      </c>
      <c r="E809" s="60">
        <v>2022</v>
      </c>
      <c r="F809" s="596">
        <v>2023</v>
      </c>
      <c r="G809" s="138"/>
      <c r="H809" s="138"/>
    </row>
    <row r="810" spans="1:8" x14ac:dyDescent="0.25">
      <c r="A810" s="8" t="s">
        <v>10</v>
      </c>
      <c r="B810" s="9"/>
      <c r="C810" s="9"/>
      <c r="D810" s="9"/>
      <c r="E810" s="9"/>
      <c r="F810" s="10"/>
      <c r="G810" s="138"/>
      <c r="H810" s="138"/>
    </row>
    <row r="811" spans="1:8" ht="35.4" customHeight="1" x14ac:dyDescent="0.25">
      <c r="A811" s="548" t="s">
        <v>328</v>
      </c>
      <c r="B811" s="549"/>
      <c r="C811" s="549"/>
      <c r="D811" s="549"/>
      <c r="E811" s="549"/>
      <c r="F811" s="550"/>
      <c r="G811" s="138"/>
      <c r="H811" s="138"/>
    </row>
    <row r="812" spans="1:8" x14ac:dyDescent="0.25">
      <c r="A812" s="11"/>
      <c r="B812" s="12"/>
      <c r="C812" s="12"/>
      <c r="D812" s="12"/>
      <c r="E812" s="12"/>
      <c r="F812" s="13"/>
      <c r="G812" s="138"/>
      <c r="H812" s="138"/>
    </row>
    <row r="813" spans="1:8" x14ac:dyDescent="0.25">
      <c r="A813" s="174"/>
      <c r="B813" s="174"/>
      <c r="C813" s="174"/>
      <c r="D813" s="174"/>
      <c r="E813" s="174"/>
      <c r="F813" s="174"/>
      <c r="G813" s="138"/>
      <c r="H813" s="138"/>
    </row>
    <row r="814" spans="1:8" x14ac:dyDescent="0.25">
      <c r="A814" s="3" t="s">
        <v>1</v>
      </c>
      <c r="B814" s="4" t="s">
        <v>329</v>
      </c>
      <c r="C814" s="5" t="s">
        <v>2</v>
      </c>
      <c r="D814" s="2"/>
      <c r="E814" s="2"/>
      <c r="F814" s="2"/>
      <c r="G814" s="138"/>
      <c r="H814" s="138"/>
    </row>
    <row r="815" spans="1:8" x14ac:dyDescent="0.25">
      <c r="A815" s="6" t="s">
        <v>3</v>
      </c>
      <c r="B815" s="7"/>
      <c r="C815" s="60"/>
      <c r="D815" s="61"/>
      <c r="E815" s="433">
        <v>2020</v>
      </c>
      <c r="F815" s="7"/>
      <c r="G815" s="138"/>
      <c r="H815" s="138"/>
    </row>
    <row r="816" spans="1:8" x14ac:dyDescent="0.25">
      <c r="A816" s="6" t="s">
        <v>4</v>
      </c>
      <c r="B816" s="7"/>
      <c r="C816" s="60"/>
      <c r="D816" s="61"/>
      <c r="E816" s="5">
        <v>3284</v>
      </c>
      <c r="F816" s="55"/>
      <c r="G816" s="138"/>
      <c r="H816" s="138"/>
    </row>
    <row r="817" spans="1:9" x14ac:dyDescent="0.25">
      <c r="A817" s="6" t="s">
        <v>5</v>
      </c>
      <c r="B817" s="7"/>
      <c r="C817" s="60"/>
      <c r="D817" s="61"/>
      <c r="E817" s="5">
        <v>3488.62</v>
      </c>
      <c r="F817" s="55"/>
      <c r="G817" s="138"/>
      <c r="H817" s="138"/>
    </row>
    <row r="818" spans="1:9" x14ac:dyDescent="0.25">
      <c r="A818" s="6" t="s">
        <v>6</v>
      </c>
      <c r="B818" s="7"/>
      <c r="C818" s="60"/>
      <c r="D818" s="61"/>
      <c r="E818" s="5"/>
      <c r="F818" s="55"/>
      <c r="G818" s="138"/>
      <c r="H818" s="138"/>
    </row>
    <row r="819" spans="1:9" x14ac:dyDescent="0.25">
      <c r="A819" s="6" t="s">
        <v>7</v>
      </c>
      <c r="B819" s="7"/>
      <c r="C819" s="60"/>
      <c r="D819" s="61"/>
      <c r="E819" s="5"/>
      <c r="F819" s="55"/>
    </row>
    <row r="820" spans="1:9" x14ac:dyDescent="0.25">
      <c r="A820" s="6" t="s">
        <v>8</v>
      </c>
      <c r="B820" s="7"/>
      <c r="C820" s="60"/>
      <c r="D820" s="61"/>
      <c r="E820" s="5"/>
      <c r="F820" s="55"/>
    </row>
    <row r="821" spans="1:9" x14ac:dyDescent="0.25">
      <c r="A821" s="6" t="s">
        <v>9</v>
      </c>
      <c r="B821" s="7"/>
      <c r="C821" s="60"/>
      <c r="D821" s="61"/>
      <c r="E821" s="433">
        <v>2020</v>
      </c>
      <c r="F821" s="55"/>
    </row>
    <row r="822" spans="1:9" x14ac:dyDescent="0.25">
      <c r="A822" s="8" t="s">
        <v>10</v>
      </c>
      <c r="B822" s="9"/>
      <c r="C822" s="9"/>
      <c r="D822" s="9"/>
      <c r="E822" s="9"/>
      <c r="F822" s="10"/>
    </row>
    <row r="823" spans="1:9" ht="24.6" customHeight="1" x14ac:dyDescent="0.25">
      <c r="A823" s="548" t="s">
        <v>330</v>
      </c>
      <c r="B823" s="549"/>
      <c r="C823" s="549"/>
      <c r="D823" s="549"/>
      <c r="E823" s="549"/>
      <c r="F823" s="550"/>
    </row>
    <row r="824" spans="1:9" x14ac:dyDescent="0.25">
      <c r="A824" s="11"/>
      <c r="B824" s="12"/>
      <c r="C824" s="12"/>
      <c r="D824" s="12"/>
      <c r="E824" s="12"/>
      <c r="F824" s="13"/>
    </row>
    <row r="825" spans="1:9" x14ac:dyDescent="0.25">
      <c r="A825" s="54"/>
      <c r="B825" s="54"/>
      <c r="C825" s="54"/>
      <c r="D825" s="54"/>
      <c r="E825" s="54"/>
      <c r="F825" s="54"/>
    </row>
    <row r="827" spans="1:9" x14ac:dyDescent="0.25">
      <c r="A827" s="108" t="s">
        <v>27</v>
      </c>
      <c r="B827" s="108" t="s">
        <v>28</v>
      </c>
      <c r="C827" s="212"/>
      <c r="D827" s="2"/>
      <c r="E827" s="2"/>
      <c r="F827" s="2"/>
      <c r="G827" s="2"/>
      <c r="H827" s="2"/>
    </row>
    <row r="828" spans="1:9" x14ac:dyDescent="0.25">
      <c r="A828" s="5" t="s">
        <v>15</v>
      </c>
      <c r="B828" s="5" t="s">
        <v>262</v>
      </c>
      <c r="C828" s="109" t="s">
        <v>29</v>
      </c>
      <c r="D828" s="2"/>
      <c r="E828" s="2"/>
      <c r="F828" s="2"/>
      <c r="G828" s="2"/>
      <c r="H828" s="2"/>
    </row>
    <row r="829" spans="1:9" s="226" customFormat="1" x14ac:dyDescent="0.25">
      <c r="A829" s="334" t="s">
        <v>30</v>
      </c>
      <c r="B829" s="423">
        <v>2013</v>
      </c>
      <c r="C829" s="423">
        <v>2014</v>
      </c>
      <c r="D829" s="597">
        <v>2015</v>
      </c>
      <c r="E829" s="423">
        <v>2016</v>
      </c>
      <c r="F829" s="423">
        <v>2017</v>
      </c>
      <c r="G829" s="598">
        <v>2018</v>
      </c>
      <c r="H829" s="421">
        <v>2019</v>
      </c>
      <c r="I829" s="421">
        <v>2020</v>
      </c>
    </row>
    <row r="830" spans="1:9" s="226" customFormat="1" x14ac:dyDescent="0.25">
      <c r="A830" s="334" t="s">
        <v>31</v>
      </c>
      <c r="B830" s="143">
        <v>200</v>
      </c>
      <c r="C830" s="143">
        <v>200</v>
      </c>
      <c r="D830" s="296">
        <v>200</v>
      </c>
      <c r="E830" s="296">
        <v>200</v>
      </c>
      <c r="F830" s="296">
        <v>200</v>
      </c>
      <c r="G830" s="296">
        <v>200</v>
      </c>
      <c r="H830" s="296">
        <v>200</v>
      </c>
      <c r="I830" s="143">
        <v>200</v>
      </c>
    </row>
    <row r="831" spans="1:9" s="226" customFormat="1" x14ac:dyDescent="0.25">
      <c r="A831" s="334" t="s">
        <v>32</v>
      </c>
      <c r="B831" s="336">
        <f t="shared" ref="B831:C831" si="11">(B832)</f>
        <v>300</v>
      </c>
      <c r="C831" s="336">
        <f t="shared" si="11"/>
        <v>300</v>
      </c>
      <c r="D831" s="296">
        <v>300</v>
      </c>
      <c r="E831" s="296">
        <v>300</v>
      </c>
      <c r="F831" s="296">
        <v>300</v>
      </c>
      <c r="G831" s="296">
        <v>280</v>
      </c>
      <c r="H831" s="296">
        <v>280</v>
      </c>
      <c r="I831" s="143">
        <v>280</v>
      </c>
    </row>
    <row r="832" spans="1:9" s="226" customFormat="1" ht="26.4" x14ac:dyDescent="0.25">
      <c r="A832" s="334" t="s">
        <v>33</v>
      </c>
      <c r="B832" s="143">
        <f t="shared" ref="B832:C832" si="12">(B830*50%)+B830</f>
        <v>300</v>
      </c>
      <c r="C832" s="143">
        <f t="shared" si="12"/>
        <v>300</v>
      </c>
      <c r="D832" s="299" t="s">
        <v>316</v>
      </c>
      <c r="E832" s="299" t="s">
        <v>316</v>
      </c>
      <c r="F832" s="299" t="s">
        <v>316</v>
      </c>
      <c r="G832" s="299" t="s">
        <v>317</v>
      </c>
      <c r="H832" s="299" t="s">
        <v>317</v>
      </c>
      <c r="I832" s="299" t="s">
        <v>317</v>
      </c>
    </row>
    <row r="833" spans="1:12" s="226" customFormat="1" x14ac:dyDescent="0.25">
      <c r="A833" s="334" t="s">
        <v>34</v>
      </c>
      <c r="B833" s="337">
        <v>32</v>
      </c>
      <c r="C833" s="143">
        <v>32</v>
      </c>
      <c r="D833" s="296">
        <v>31</v>
      </c>
      <c r="E833" s="296">
        <v>36</v>
      </c>
      <c r="F833" s="296">
        <v>64</v>
      </c>
      <c r="G833" s="296">
        <v>45</v>
      </c>
      <c r="H833" s="296">
        <v>30</v>
      </c>
      <c r="I833" s="143"/>
    </row>
    <row r="834" spans="1:12" s="226" customFormat="1" x14ac:dyDescent="0.25">
      <c r="A834" s="334" t="s">
        <v>35</v>
      </c>
      <c r="B834" s="336">
        <f t="shared" ref="B834:C834" si="13">(B831-B833)</f>
        <v>268</v>
      </c>
      <c r="C834" s="336">
        <f t="shared" si="13"/>
        <v>268</v>
      </c>
      <c r="D834" s="296">
        <f>D831-D833</f>
        <v>269</v>
      </c>
      <c r="E834" s="296">
        <f t="shared" ref="E834:G834" si="14">E831-E833</f>
        <v>264</v>
      </c>
      <c r="F834" s="296">
        <f t="shared" si="14"/>
        <v>236</v>
      </c>
      <c r="G834" s="296">
        <f t="shared" si="14"/>
        <v>235</v>
      </c>
      <c r="H834" s="296">
        <f>H831-H833</f>
        <v>250</v>
      </c>
      <c r="I834" s="143"/>
    </row>
    <row r="835" spans="1:12" s="226" customFormat="1" ht="13.2" customHeight="1" x14ac:dyDescent="0.25">
      <c r="A835" s="334" t="s">
        <v>36</v>
      </c>
      <c r="B835" s="423">
        <v>2015</v>
      </c>
      <c r="C835" s="423">
        <v>2016</v>
      </c>
      <c r="D835" s="423">
        <v>2017</v>
      </c>
      <c r="E835" s="423">
        <v>2018</v>
      </c>
      <c r="F835" s="423">
        <v>2019</v>
      </c>
      <c r="G835" s="598">
        <v>2020</v>
      </c>
      <c r="H835" s="421">
        <v>2021</v>
      </c>
      <c r="I835" s="423">
        <v>2022</v>
      </c>
    </row>
    <row r="836" spans="1:12" s="226" customFormat="1" ht="39" customHeight="1" x14ac:dyDescent="0.25">
      <c r="A836" s="567" t="s">
        <v>314</v>
      </c>
      <c r="B836" s="568"/>
      <c r="C836" s="568"/>
      <c r="D836" s="568"/>
      <c r="E836" s="568"/>
      <c r="F836" s="568"/>
      <c r="G836" s="568"/>
      <c r="H836" s="568"/>
      <c r="I836" s="569"/>
    </row>
    <row r="837" spans="1:12" s="226" customFormat="1" x14ac:dyDescent="0.25"/>
    <row r="838" spans="1:12" s="226" customFormat="1" x14ac:dyDescent="0.25">
      <c r="A838" s="335" t="s">
        <v>15</v>
      </c>
      <c r="B838" s="335" t="s">
        <v>38</v>
      </c>
      <c r="C838" s="335" t="s">
        <v>29</v>
      </c>
    </row>
    <row r="839" spans="1:12" s="226" customFormat="1" x14ac:dyDescent="0.25">
      <c r="A839" s="334" t="s">
        <v>30</v>
      </c>
      <c r="B839" s="423">
        <v>2010</v>
      </c>
      <c r="C839" s="423">
        <v>2011</v>
      </c>
      <c r="D839" s="423">
        <v>2012</v>
      </c>
      <c r="E839" s="423">
        <v>2013</v>
      </c>
      <c r="F839" s="423">
        <v>2014</v>
      </c>
      <c r="G839" s="423">
        <v>2015</v>
      </c>
      <c r="H839" s="423">
        <v>2016</v>
      </c>
      <c r="I839" s="598">
        <v>2017</v>
      </c>
      <c r="J839" s="421">
        <v>2018</v>
      </c>
      <c r="K839" s="421">
        <v>2019</v>
      </c>
      <c r="L839" s="421">
        <v>2020</v>
      </c>
    </row>
    <row r="840" spans="1:12" s="226" customFormat="1" x14ac:dyDescent="0.25">
      <c r="A840" s="334" t="s">
        <v>31</v>
      </c>
      <c r="B840" s="143">
        <v>95</v>
      </c>
      <c r="C840" s="143">
        <v>95</v>
      </c>
      <c r="D840" s="143">
        <v>95</v>
      </c>
      <c r="E840" s="143">
        <v>95</v>
      </c>
      <c r="F840" s="336">
        <v>95</v>
      </c>
      <c r="G840" s="338">
        <v>108.98</v>
      </c>
      <c r="H840" s="338">
        <v>108.98</v>
      </c>
      <c r="I840" s="339">
        <v>108.98</v>
      </c>
      <c r="J840" s="338">
        <v>128.44</v>
      </c>
      <c r="K840" s="338">
        <v>128.44</v>
      </c>
      <c r="L840" s="338">
        <v>128.44</v>
      </c>
    </row>
    <row r="841" spans="1:12" s="226" customFormat="1" x14ac:dyDescent="0.25">
      <c r="A841" s="334" t="s">
        <v>32</v>
      </c>
      <c r="B841" s="336">
        <f>(B842)</f>
        <v>56</v>
      </c>
      <c r="C841" s="336">
        <f t="shared" ref="C841:J841" si="15">(C842)</f>
        <v>50.5</v>
      </c>
      <c r="D841" s="336">
        <f t="shared" si="15"/>
        <v>131.5</v>
      </c>
      <c r="E841" s="338">
        <f t="shared" si="15"/>
        <v>89.4</v>
      </c>
      <c r="F841" s="338">
        <f t="shared" si="15"/>
        <v>75.900000000000006</v>
      </c>
      <c r="G841" s="338">
        <f t="shared" si="15"/>
        <v>81.900000000000006</v>
      </c>
      <c r="H841" s="338">
        <f t="shared" si="15"/>
        <v>81.900000000000006</v>
      </c>
      <c r="I841" s="339">
        <f t="shared" si="15"/>
        <v>61.899999999999991</v>
      </c>
      <c r="J841" s="338">
        <f t="shared" si="15"/>
        <v>95.899999999999977</v>
      </c>
      <c r="K841" s="338">
        <f>K842</f>
        <v>64.899999999999977</v>
      </c>
      <c r="L841" s="143">
        <f>L842</f>
        <v>154.33999999999997</v>
      </c>
    </row>
    <row r="842" spans="1:12" s="226" customFormat="1" x14ac:dyDescent="0.25">
      <c r="A842" s="334" t="s">
        <v>33</v>
      </c>
      <c r="B842" s="338">
        <f>(B840+47.5)-86.5</f>
        <v>56</v>
      </c>
      <c r="C842" s="338">
        <f>(C840+B844)-86.5</f>
        <v>50.5</v>
      </c>
      <c r="D842" s="338">
        <f>D840+C844</f>
        <v>131.5</v>
      </c>
      <c r="E842" s="338">
        <f>(E840+D844)-86.5</f>
        <v>89.4</v>
      </c>
      <c r="F842" s="338">
        <f>(F840+E844)-86.5</f>
        <v>75.900000000000006</v>
      </c>
      <c r="G842" s="338">
        <f>(G840+F844)-51.98</f>
        <v>81.900000000000006</v>
      </c>
      <c r="H842" s="338">
        <f>(H840+G844)-55.98</f>
        <v>81.900000000000006</v>
      </c>
      <c r="I842" s="339">
        <f>(I840+H844)-73.98</f>
        <v>61.899999999999991</v>
      </c>
      <c r="J842" s="338">
        <f>(J840+I844)-60.44</f>
        <v>95.899999999999977</v>
      </c>
      <c r="K842" s="338">
        <f>K840+J844-79.44</f>
        <v>64.899999999999977</v>
      </c>
      <c r="L842" s="143">
        <f>L840+K844</f>
        <v>154.33999999999997</v>
      </c>
    </row>
    <row r="843" spans="1:12" s="226" customFormat="1" x14ac:dyDescent="0.25">
      <c r="A843" s="334" t="s">
        <v>34</v>
      </c>
      <c r="B843" s="336">
        <v>14</v>
      </c>
      <c r="C843" s="336">
        <v>14</v>
      </c>
      <c r="D843" s="336">
        <v>50.6</v>
      </c>
      <c r="E843" s="336">
        <v>22</v>
      </c>
      <c r="F843" s="336">
        <v>51</v>
      </c>
      <c r="G843" s="336">
        <v>53</v>
      </c>
      <c r="H843" s="336">
        <v>55</v>
      </c>
      <c r="I843" s="340">
        <v>34</v>
      </c>
      <c r="J843" s="336">
        <v>80</v>
      </c>
      <c r="K843" s="336">
        <v>39</v>
      </c>
      <c r="L843" s="143"/>
    </row>
    <row r="844" spans="1:12" s="226" customFormat="1" x14ac:dyDescent="0.25">
      <c r="A844" s="334" t="s">
        <v>35</v>
      </c>
      <c r="B844" s="336">
        <f>(B841-B843)</f>
        <v>42</v>
      </c>
      <c r="C844" s="336">
        <f t="shared" ref="C844:J844" si="16">(C841-C843)</f>
        <v>36.5</v>
      </c>
      <c r="D844" s="336">
        <f t="shared" si="16"/>
        <v>80.900000000000006</v>
      </c>
      <c r="E844" s="336">
        <f t="shared" si="16"/>
        <v>67.400000000000006</v>
      </c>
      <c r="F844" s="336">
        <f t="shared" si="16"/>
        <v>24.900000000000006</v>
      </c>
      <c r="G844" s="336">
        <f t="shared" si="16"/>
        <v>28.900000000000006</v>
      </c>
      <c r="H844" s="336">
        <f t="shared" si="16"/>
        <v>26.900000000000006</v>
      </c>
      <c r="I844" s="340">
        <f t="shared" si="16"/>
        <v>27.899999999999991</v>
      </c>
      <c r="J844" s="336">
        <f t="shared" si="16"/>
        <v>15.899999999999977</v>
      </c>
      <c r="K844" s="336">
        <f>K841-K843</f>
        <v>25.899999999999977</v>
      </c>
      <c r="L844" s="143"/>
    </row>
    <row r="845" spans="1:12" s="226" customFormat="1" x14ac:dyDescent="0.25">
      <c r="A845" s="341" t="s">
        <v>36</v>
      </c>
      <c r="B845" s="599">
        <v>2011</v>
      </c>
      <c r="C845" s="599">
        <v>2012</v>
      </c>
      <c r="D845" s="599">
        <v>2013</v>
      </c>
      <c r="E845" s="599">
        <v>2014</v>
      </c>
      <c r="F845" s="599">
        <v>2015</v>
      </c>
      <c r="G845" s="599">
        <v>2016</v>
      </c>
      <c r="H845" s="599">
        <v>2017</v>
      </c>
      <c r="I845" s="600">
        <v>2018</v>
      </c>
      <c r="J845" s="599">
        <v>2019</v>
      </c>
      <c r="K845" s="599">
        <v>2020</v>
      </c>
      <c r="L845" s="599">
        <v>2021</v>
      </c>
    </row>
    <row r="846" spans="1:12" s="226" customFormat="1" x14ac:dyDescent="0.25">
      <c r="A846" s="341" t="s">
        <v>37</v>
      </c>
      <c r="B846" s="342"/>
      <c r="C846" s="342"/>
      <c r="D846" s="342"/>
      <c r="E846" s="342"/>
      <c r="F846" s="342"/>
      <c r="G846" s="342"/>
      <c r="H846" s="342"/>
      <c r="I846" s="342"/>
      <c r="J846" s="342"/>
      <c r="K846" s="342"/>
      <c r="L846" s="166"/>
    </row>
    <row r="847" spans="1:12" s="226" customFormat="1" x14ac:dyDescent="0.25">
      <c r="A847" s="347" t="s">
        <v>39</v>
      </c>
      <c r="B847" s="144"/>
      <c r="C847" s="144"/>
      <c r="D847" s="144"/>
      <c r="E847" s="144"/>
      <c r="F847" s="144"/>
      <c r="G847" s="144"/>
      <c r="H847" s="144"/>
      <c r="I847" s="144"/>
      <c r="J847" s="144"/>
      <c r="K847" s="144"/>
      <c r="L847" s="167"/>
    </row>
    <row r="848" spans="1:12" s="226" customFormat="1" x14ac:dyDescent="0.25">
      <c r="A848" s="347" t="s">
        <v>40</v>
      </c>
      <c r="B848" s="144"/>
      <c r="C848" s="144"/>
      <c r="D848" s="144"/>
      <c r="E848" s="144"/>
      <c r="F848" s="144"/>
      <c r="G848" s="144"/>
      <c r="H848" s="144"/>
      <c r="I848" s="144"/>
      <c r="J848" s="144"/>
      <c r="K848" s="144"/>
      <c r="L848" s="167"/>
    </row>
    <row r="849" spans="1:12" s="226" customFormat="1" x14ac:dyDescent="0.25">
      <c r="A849" s="347" t="s">
        <v>41</v>
      </c>
      <c r="B849" s="144"/>
      <c r="C849" s="144"/>
      <c r="D849" s="144"/>
      <c r="E849" s="144"/>
      <c r="F849" s="144"/>
      <c r="G849" s="144"/>
      <c r="H849" s="144"/>
      <c r="I849" s="144"/>
      <c r="J849" s="144"/>
      <c r="K849" s="144"/>
      <c r="L849" s="167"/>
    </row>
    <row r="850" spans="1:12" s="226" customFormat="1" x14ac:dyDescent="0.25">
      <c r="A850" s="347" t="s">
        <v>42</v>
      </c>
      <c r="B850" s="144"/>
      <c r="C850" s="144"/>
      <c r="D850" s="144"/>
      <c r="E850" s="144"/>
      <c r="F850" s="144"/>
      <c r="G850" s="144"/>
      <c r="H850" s="144"/>
      <c r="I850" s="144"/>
      <c r="J850" s="144"/>
      <c r="K850" s="144"/>
      <c r="L850" s="167"/>
    </row>
    <row r="851" spans="1:12" s="226" customFormat="1" x14ac:dyDescent="0.25">
      <c r="A851" s="347" t="s">
        <v>43</v>
      </c>
      <c r="B851" s="144"/>
      <c r="C851" s="144"/>
      <c r="D851" s="144"/>
      <c r="E851" s="144"/>
      <c r="F851" s="144"/>
      <c r="G851" s="144"/>
      <c r="H851" s="144"/>
      <c r="I851" s="144"/>
      <c r="J851" s="144"/>
      <c r="K851" s="144"/>
      <c r="L851" s="167"/>
    </row>
    <row r="852" spans="1:12" s="226" customFormat="1" x14ac:dyDescent="0.25">
      <c r="A852" s="344" t="s">
        <v>44</v>
      </c>
      <c r="B852" s="144"/>
      <c r="C852" s="144"/>
      <c r="D852" s="144"/>
      <c r="E852" s="144"/>
      <c r="F852" s="144"/>
      <c r="G852" s="144"/>
      <c r="H852" s="144"/>
      <c r="I852" s="144"/>
      <c r="J852" s="144"/>
      <c r="K852" s="144"/>
      <c r="L852" s="167"/>
    </row>
    <row r="853" spans="1:12" s="226" customFormat="1" x14ac:dyDescent="0.25">
      <c r="A853" s="344" t="s">
        <v>45</v>
      </c>
      <c r="B853" s="144"/>
      <c r="C853" s="144"/>
      <c r="D853" s="144"/>
      <c r="E853" s="144"/>
      <c r="F853" s="144"/>
      <c r="G853" s="144"/>
      <c r="H853" s="144"/>
      <c r="I853" s="144"/>
      <c r="J853" s="144"/>
      <c r="K853" s="144"/>
      <c r="L853" s="167"/>
    </row>
    <row r="854" spans="1:12" s="226" customFormat="1" x14ac:dyDescent="0.25">
      <c r="A854" s="344" t="s">
        <v>46</v>
      </c>
      <c r="B854" s="144"/>
      <c r="C854" s="144"/>
      <c r="D854" s="144"/>
      <c r="E854" s="144"/>
      <c r="F854" s="144"/>
      <c r="G854" s="144"/>
      <c r="H854" s="144"/>
      <c r="I854" s="144"/>
      <c r="J854" s="144"/>
      <c r="K854" s="144"/>
      <c r="L854" s="167"/>
    </row>
    <row r="855" spans="1:12" s="226" customFormat="1" x14ac:dyDescent="0.25">
      <c r="A855" s="344" t="s">
        <v>47</v>
      </c>
      <c r="B855" s="144"/>
      <c r="C855" s="144"/>
      <c r="D855" s="144"/>
      <c r="E855" s="144"/>
      <c r="F855" s="144"/>
      <c r="G855" s="144"/>
      <c r="H855" s="144"/>
      <c r="I855" s="144"/>
      <c r="J855" s="144"/>
      <c r="K855" s="144"/>
      <c r="L855" s="167"/>
    </row>
    <row r="856" spans="1:12" s="226" customFormat="1" x14ac:dyDescent="0.25">
      <c r="A856" s="344" t="s">
        <v>415</v>
      </c>
      <c r="B856" s="144"/>
      <c r="C856" s="144"/>
      <c r="D856" s="144"/>
      <c r="E856" s="144"/>
      <c r="F856" s="144"/>
      <c r="G856" s="144"/>
      <c r="H856" s="144"/>
      <c r="I856" s="144"/>
      <c r="J856" s="144"/>
      <c r="K856" s="144"/>
      <c r="L856" s="167"/>
    </row>
    <row r="857" spans="1:12" s="226" customFormat="1" x14ac:dyDescent="0.25">
      <c r="A857" s="345" t="s">
        <v>414</v>
      </c>
      <c r="B857" s="343"/>
      <c r="C857" s="343"/>
      <c r="D857" s="343"/>
      <c r="E857" s="343"/>
      <c r="F857" s="343"/>
      <c r="G857" s="343"/>
      <c r="H857" s="343"/>
      <c r="I857" s="343"/>
      <c r="J857" s="343"/>
      <c r="K857" s="343"/>
      <c r="L857" s="285"/>
    </row>
    <row r="858" spans="1:12" s="226" customFormat="1" x14ac:dyDescent="0.25"/>
    <row r="859" spans="1:12" s="226" customFormat="1" x14ac:dyDescent="0.25">
      <c r="A859" s="335" t="s">
        <v>15</v>
      </c>
      <c r="B859" s="335" t="s">
        <v>92</v>
      </c>
      <c r="C859" s="335" t="s">
        <v>29</v>
      </c>
    </row>
    <row r="860" spans="1:12" s="226" customFormat="1" x14ac:dyDescent="0.25">
      <c r="A860" s="334" t="s">
        <v>30</v>
      </c>
      <c r="B860" s="421">
        <v>2013</v>
      </c>
      <c r="C860" s="421">
        <v>2014</v>
      </c>
      <c r="D860" s="421">
        <v>2015</v>
      </c>
      <c r="E860" s="598">
        <v>2016</v>
      </c>
      <c r="F860" s="421">
        <v>2017</v>
      </c>
      <c r="G860" s="598">
        <v>2018</v>
      </c>
      <c r="H860" s="421">
        <v>2019</v>
      </c>
      <c r="I860" s="421">
        <v>2020</v>
      </c>
    </row>
    <row r="861" spans="1:12" s="226" customFormat="1" x14ac:dyDescent="0.25">
      <c r="A861" s="334" t="s">
        <v>31</v>
      </c>
      <c r="B861" s="143">
        <v>70</v>
      </c>
      <c r="C861" s="143">
        <v>70</v>
      </c>
      <c r="D861" s="143">
        <v>70</v>
      </c>
      <c r="E861" s="143">
        <v>70</v>
      </c>
      <c r="F861" s="336">
        <v>70</v>
      </c>
      <c r="G861" s="336">
        <v>70</v>
      </c>
      <c r="H861" s="336">
        <v>70</v>
      </c>
      <c r="I861" s="141">
        <v>58.9</v>
      </c>
    </row>
    <row r="862" spans="1:12" s="226" customFormat="1" x14ac:dyDescent="0.25">
      <c r="A862" s="334" t="s">
        <v>32</v>
      </c>
      <c r="B862" s="143">
        <f>(B863)</f>
        <v>-15</v>
      </c>
      <c r="C862" s="143">
        <f t="shared" ref="C862:H862" si="17">(C863)</f>
        <v>3</v>
      </c>
      <c r="D862" s="143">
        <v>55</v>
      </c>
      <c r="E862" s="143">
        <f t="shared" si="17"/>
        <v>56</v>
      </c>
      <c r="F862" s="143">
        <f t="shared" si="17"/>
        <v>61</v>
      </c>
      <c r="G862" s="336">
        <f t="shared" si="17"/>
        <v>71</v>
      </c>
      <c r="H862" s="336">
        <f t="shared" si="17"/>
        <v>73</v>
      </c>
      <c r="I862" s="141"/>
    </row>
    <row r="863" spans="1:12" s="226" customFormat="1" x14ac:dyDescent="0.25">
      <c r="A863" s="334" t="s">
        <v>33</v>
      </c>
      <c r="B863" s="336">
        <f>(B861-B864)</f>
        <v>-15</v>
      </c>
      <c r="C863" s="336">
        <f>(C861-C864)</f>
        <v>3</v>
      </c>
      <c r="D863" s="336">
        <f>D861+B865</f>
        <v>55</v>
      </c>
      <c r="E863" s="336">
        <f>E861+D865+C865</f>
        <v>56</v>
      </c>
      <c r="F863" s="336">
        <f>F861+E865</f>
        <v>61</v>
      </c>
      <c r="G863" s="336">
        <f>G861+F865</f>
        <v>71</v>
      </c>
      <c r="H863" s="336">
        <f>H861+G865</f>
        <v>73</v>
      </c>
      <c r="I863" s="141"/>
    </row>
    <row r="864" spans="1:12" s="226" customFormat="1" x14ac:dyDescent="0.25">
      <c r="A864" s="334" t="s">
        <v>48</v>
      </c>
      <c r="B864" s="336">
        <v>85</v>
      </c>
      <c r="C864" s="336">
        <v>67</v>
      </c>
      <c r="D864" s="336">
        <v>72</v>
      </c>
      <c r="E864" s="336">
        <v>65</v>
      </c>
      <c r="F864" s="336">
        <v>60</v>
      </c>
      <c r="G864" s="336">
        <v>68</v>
      </c>
      <c r="H864" s="336">
        <v>51</v>
      </c>
      <c r="I864" s="141"/>
    </row>
    <row r="865" spans="1:9" s="226" customFormat="1" x14ac:dyDescent="0.25">
      <c r="A865" s="334" t="s">
        <v>49</v>
      </c>
      <c r="B865" s="143">
        <f>(B863)</f>
        <v>-15</v>
      </c>
      <c r="C865" s="143">
        <f>(C863)</f>
        <v>3</v>
      </c>
      <c r="D865" s="143">
        <f>D862-D864</f>
        <v>-17</v>
      </c>
      <c r="E865" s="143">
        <f>E862-E864</f>
        <v>-9</v>
      </c>
      <c r="F865" s="143">
        <f>F862-F864</f>
        <v>1</v>
      </c>
      <c r="G865" s="336">
        <f>G862-G864</f>
        <v>3</v>
      </c>
      <c r="H865" s="336">
        <f>H862-H864</f>
        <v>22</v>
      </c>
      <c r="I865" s="141"/>
    </row>
    <row r="866" spans="1:9" s="226" customFormat="1" x14ac:dyDescent="0.25">
      <c r="A866" s="341" t="s">
        <v>36</v>
      </c>
      <c r="B866" s="601">
        <v>2015</v>
      </c>
      <c r="C866" s="602">
        <v>2016</v>
      </c>
      <c r="D866" s="602">
        <v>2016</v>
      </c>
      <c r="E866" s="602">
        <v>2017</v>
      </c>
      <c r="F866" s="602">
        <v>2018</v>
      </c>
      <c r="G866" s="602">
        <v>2019</v>
      </c>
      <c r="H866" s="601">
        <v>2020</v>
      </c>
      <c r="I866" s="599">
        <v>2021</v>
      </c>
    </row>
    <row r="867" spans="1:9" s="226" customFormat="1" x14ac:dyDescent="0.25">
      <c r="A867" s="341" t="s">
        <v>37</v>
      </c>
      <c r="B867" s="342"/>
      <c r="C867" s="342"/>
      <c r="D867" s="342"/>
      <c r="E867" s="342"/>
      <c r="F867" s="342"/>
      <c r="G867" s="342"/>
      <c r="H867" s="342"/>
      <c r="I867" s="166"/>
    </row>
    <row r="868" spans="1:9" s="226" customFormat="1" x14ac:dyDescent="0.25">
      <c r="A868" s="348" t="s">
        <v>423</v>
      </c>
      <c r="B868" s="144"/>
      <c r="C868" s="144"/>
      <c r="D868" s="144"/>
      <c r="E868" s="144"/>
      <c r="F868" s="144"/>
      <c r="G868" s="144"/>
      <c r="H868" s="144"/>
      <c r="I868" s="167"/>
    </row>
    <row r="869" spans="1:9" s="226" customFormat="1" x14ac:dyDescent="0.25">
      <c r="A869" s="349" t="s">
        <v>424</v>
      </c>
      <c r="B869" s="144"/>
      <c r="C869" s="144"/>
      <c r="D869" s="144"/>
      <c r="E869" s="144"/>
      <c r="F869" s="144"/>
      <c r="G869" s="144"/>
      <c r="H869" s="144"/>
      <c r="I869" s="167"/>
    </row>
    <row r="870" spans="1:9" s="226" customFormat="1" x14ac:dyDescent="0.25">
      <c r="A870" s="348" t="s">
        <v>425</v>
      </c>
      <c r="B870" s="144"/>
      <c r="C870" s="144"/>
      <c r="D870" s="144"/>
      <c r="E870" s="144"/>
      <c r="F870" s="144"/>
      <c r="G870" s="144"/>
      <c r="H870" s="144"/>
      <c r="I870" s="167"/>
    </row>
    <row r="871" spans="1:9" s="226" customFormat="1" x14ac:dyDescent="0.25">
      <c r="A871" s="348" t="s">
        <v>426</v>
      </c>
      <c r="B871" s="144"/>
      <c r="C871" s="144"/>
      <c r="D871" s="144"/>
      <c r="E871" s="144"/>
      <c r="F871" s="144"/>
      <c r="G871" s="144"/>
      <c r="H871" s="144"/>
      <c r="I871" s="167"/>
    </row>
    <row r="872" spans="1:9" s="226" customFormat="1" x14ac:dyDescent="0.25">
      <c r="A872" s="345" t="s">
        <v>416</v>
      </c>
      <c r="B872" s="343"/>
      <c r="C872" s="343"/>
      <c r="D872" s="343"/>
      <c r="E872" s="343"/>
      <c r="F872" s="343"/>
      <c r="G872" s="343"/>
      <c r="H872" s="343"/>
      <c r="I872" s="285"/>
    </row>
    <row r="873" spans="1:9" s="226" customFormat="1" x14ac:dyDescent="0.25">
      <c r="A873" s="144"/>
      <c r="B873" s="144"/>
      <c r="C873" s="144"/>
      <c r="D873" s="144"/>
      <c r="E873" s="144"/>
      <c r="F873" s="144"/>
      <c r="G873" s="144"/>
      <c r="H873" s="144"/>
    </row>
    <row r="874" spans="1:9" s="226" customFormat="1" x14ac:dyDescent="0.25">
      <c r="A874" s="335" t="s">
        <v>15</v>
      </c>
      <c r="B874" s="335" t="s">
        <v>97</v>
      </c>
      <c r="C874" s="335" t="s">
        <v>29</v>
      </c>
    </row>
    <row r="875" spans="1:9" s="226" customFormat="1" x14ac:dyDescent="0.25">
      <c r="A875" s="141" t="s">
        <v>30</v>
      </c>
      <c r="B875" s="421">
        <v>2013</v>
      </c>
      <c r="C875" s="421">
        <v>2014</v>
      </c>
      <c r="D875" s="421">
        <v>2015</v>
      </c>
      <c r="E875" s="421">
        <v>2016</v>
      </c>
      <c r="F875" s="421">
        <v>2017</v>
      </c>
      <c r="G875" s="598">
        <v>2018</v>
      </c>
      <c r="H875" s="598">
        <v>2019</v>
      </c>
      <c r="I875" s="421">
        <v>2020</v>
      </c>
    </row>
    <row r="876" spans="1:9" s="226" customFormat="1" x14ac:dyDescent="0.25">
      <c r="A876" s="141" t="s">
        <v>31</v>
      </c>
      <c r="B876" s="143">
        <v>25</v>
      </c>
      <c r="C876" s="143">
        <v>25</v>
      </c>
      <c r="D876" s="143">
        <v>25</v>
      </c>
      <c r="E876" s="143">
        <v>25</v>
      </c>
      <c r="F876" s="336">
        <v>25</v>
      </c>
      <c r="G876" s="339">
        <v>25</v>
      </c>
      <c r="H876" s="339">
        <v>25</v>
      </c>
      <c r="I876" s="143">
        <v>25</v>
      </c>
    </row>
    <row r="877" spans="1:9" s="226" customFormat="1" x14ac:dyDescent="0.25">
      <c r="A877" s="141" t="s">
        <v>32</v>
      </c>
      <c r="B877" s="143">
        <f>(B878)</f>
        <v>-5</v>
      </c>
      <c r="C877" s="350">
        <v>25</v>
      </c>
      <c r="D877" s="143">
        <f t="shared" ref="D877:G877" si="18">(D878)</f>
        <v>25</v>
      </c>
      <c r="E877" s="143">
        <f t="shared" si="18"/>
        <v>24</v>
      </c>
      <c r="F877" s="143">
        <f>F876</f>
        <v>25</v>
      </c>
      <c r="G877" s="339">
        <f t="shared" si="18"/>
        <v>29</v>
      </c>
      <c r="H877" s="339">
        <f>H876+5</f>
        <v>30</v>
      </c>
      <c r="I877" s="143"/>
    </row>
    <row r="878" spans="1:9" s="226" customFormat="1" x14ac:dyDescent="0.25">
      <c r="A878" s="141" t="s">
        <v>33</v>
      </c>
      <c r="B878" s="336">
        <f>(B876-B879)</f>
        <v>-5</v>
      </c>
      <c r="C878" s="336">
        <v>25</v>
      </c>
      <c r="D878" s="336">
        <f>D876+B880+C880</f>
        <v>25</v>
      </c>
      <c r="E878" s="336">
        <f>E876+D880</f>
        <v>24</v>
      </c>
      <c r="F878" s="336">
        <v>25</v>
      </c>
      <c r="G878" s="339">
        <f>G876+E880</f>
        <v>29</v>
      </c>
      <c r="H878" s="339">
        <f>H876+5</f>
        <v>30</v>
      </c>
      <c r="I878" s="143"/>
    </row>
    <row r="879" spans="1:9" s="226" customFormat="1" x14ac:dyDescent="0.25">
      <c r="A879" s="141" t="s">
        <v>48</v>
      </c>
      <c r="B879" s="336">
        <v>30</v>
      </c>
      <c r="C879" s="336">
        <v>20</v>
      </c>
      <c r="D879" s="336">
        <v>26</v>
      </c>
      <c r="E879" s="336">
        <v>20</v>
      </c>
      <c r="F879" s="336">
        <v>12</v>
      </c>
      <c r="G879" s="339">
        <v>13</v>
      </c>
      <c r="H879" s="339">
        <v>9</v>
      </c>
      <c r="I879" s="143"/>
    </row>
    <row r="880" spans="1:9" s="226" customFormat="1" x14ac:dyDescent="0.25">
      <c r="A880" s="141" t="s">
        <v>49</v>
      </c>
      <c r="B880" s="143">
        <v>-5</v>
      </c>
      <c r="C880" s="143">
        <v>5</v>
      </c>
      <c r="D880" s="143">
        <f>D877-D879</f>
        <v>-1</v>
      </c>
      <c r="E880" s="346">
        <f>E877-E879</f>
        <v>4</v>
      </c>
      <c r="F880" s="143">
        <f>F877-F879</f>
        <v>13</v>
      </c>
      <c r="G880" s="339">
        <f>G877-G879</f>
        <v>16</v>
      </c>
      <c r="H880" s="339">
        <f>H877-H879</f>
        <v>21</v>
      </c>
      <c r="I880" s="143"/>
    </row>
    <row r="881" spans="1:9" s="226" customFormat="1" x14ac:dyDescent="0.25">
      <c r="A881" s="284" t="s">
        <v>36</v>
      </c>
      <c r="B881" s="601">
        <v>2015</v>
      </c>
      <c r="C881" s="602">
        <v>2015</v>
      </c>
      <c r="D881" s="601">
        <v>2016</v>
      </c>
      <c r="E881" s="601">
        <v>2018</v>
      </c>
      <c r="F881" s="599">
        <v>2019</v>
      </c>
      <c r="G881" s="599">
        <v>2020</v>
      </c>
      <c r="H881" s="600">
        <v>2021</v>
      </c>
      <c r="I881" s="284"/>
    </row>
    <row r="882" spans="1:9" s="226" customFormat="1" x14ac:dyDescent="0.25">
      <c r="A882" s="341" t="s">
        <v>37</v>
      </c>
      <c r="B882" s="342"/>
      <c r="C882" s="342"/>
      <c r="D882" s="342"/>
      <c r="E882" s="342"/>
      <c r="F882" s="342"/>
      <c r="G882" s="342"/>
      <c r="H882" s="342"/>
      <c r="I882" s="166"/>
    </row>
    <row r="883" spans="1:9" s="226" customFormat="1" x14ac:dyDescent="0.25">
      <c r="A883" s="348" t="s">
        <v>417</v>
      </c>
      <c r="B883" s="144"/>
      <c r="C883" s="144"/>
      <c r="D883" s="144"/>
      <c r="E883" s="144"/>
      <c r="F883" s="144"/>
      <c r="G883" s="144"/>
      <c r="H883" s="144"/>
      <c r="I883" s="167"/>
    </row>
    <row r="884" spans="1:9" s="226" customFormat="1" x14ac:dyDescent="0.25">
      <c r="A884" s="349" t="s">
        <v>418</v>
      </c>
      <c r="B884" s="144"/>
      <c r="C884" s="144"/>
      <c r="D884" s="144"/>
      <c r="E884" s="144"/>
      <c r="F884" s="144"/>
      <c r="G884" s="144"/>
      <c r="H884" s="144"/>
      <c r="I884" s="167"/>
    </row>
    <row r="885" spans="1:9" s="226" customFormat="1" x14ac:dyDescent="0.25">
      <c r="A885" s="348" t="s">
        <v>419</v>
      </c>
      <c r="B885" s="144"/>
      <c r="C885" s="144"/>
      <c r="D885" s="144"/>
      <c r="E885" s="144"/>
      <c r="F885" s="144"/>
      <c r="G885" s="144"/>
      <c r="H885" s="144"/>
      <c r="I885" s="167"/>
    </row>
    <row r="886" spans="1:9" s="226" customFormat="1" x14ac:dyDescent="0.25">
      <c r="A886" s="348" t="s">
        <v>420</v>
      </c>
      <c r="B886" s="144"/>
      <c r="C886" s="144"/>
      <c r="D886" s="144"/>
      <c r="E886" s="144"/>
      <c r="F886" s="144"/>
      <c r="G886" s="144"/>
      <c r="H886" s="144"/>
      <c r="I886" s="167"/>
    </row>
    <row r="887" spans="1:9" s="226" customFormat="1" x14ac:dyDescent="0.25">
      <c r="A887" s="349" t="s">
        <v>421</v>
      </c>
      <c r="B887" s="144"/>
      <c r="C887" s="144"/>
      <c r="D887" s="144"/>
      <c r="E887" s="144"/>
      <c r="F887" s="144"/>
      <c r="G887" s="144"/>
      <c r="H887" s="144"/>
      <c r="I887" s="167"/>
    </row>
    <row r="888" spans="1:9" s="226" customFormat="1" x14ac:dyDescent="0.25">
      <c r="A888" s="345" t="s">
        <v>422</v>
      </c>
      <c r="B888" s="343"/>
      <c r="C888" s="343"/>
      <c r="D888" s="343"/>
      <c r="E888" s="343"/>
      <c r="F888" s="343"/>
      <c r="G888" s="343"/>
      <c r="H888" s="343"/>
      <c r="I888" s="285"/>
    </row>
    <row r="889" spans="1:9" x14ac:dyDescent="0.25">
      <c r="A889" s="54"/>
      <c r="B889" s="54"/>
      <c r="C889" s="54"/>
      <c r="D889" s="54"/>
      <c r="E889" s="54"/>
      <c r="F889" s="54"/>
      <c r="G889" s="54"/>
      <c r="H889" s="54"/>
    </row>
    <row r="890" spans="1:9" x14ac:dyDescent="0.25">
      <c r="A890" s="54"/>
      <c r="B890" s="54"/>
      <c r="C890" s="54"/>
      <c r="D890" s="54"/>
      <c r="E890" s="54"/>
      <c r="F890" s="54"/>
      <c r="G890" s="54"/>
      <c r="H890" s="54"/>
    </row>
    <row r="891" spans="1:9" x14ac:dyDescent="0.25">
      <c r="A891" s="81" t="s">
        <v>13</v>
      </c>
      <c r="B891" s="82" t="s">
        <v>344</v>
      </c>
      <c r="C891" s="292"/>
      <c r="D891" s="83"/>
      <c r="E891" s="83"/>
      <c r="F891" s="83"/>
      <c r="G891" s="83"/>
      <c r="H891" s="54"/>
    </row>
    <row r="892" spans="1:9" x14ac:dyDescent="0.25">
      <c r="A892" s="84" t="s">
        <v>15</v>
      </c>
      <c r="B892" s="85" t="s">
        <v>329</v>
      </c>
      <c r="C892" s="86" t="s">
        <v>17</v>
      </c>
      <c r="D892" s="83"/>
      <c r="E892" s="83"/>
      <c r="F892" s="83"/>
      <c r="G892" s="83"/>
      <c r="H892" s="54"/>
    </row>
    <row r="893" spans="1:9" x14ac:dyDescent="0.25">
      <c r="A893" s="87" t="s">
        <v>18</v>
      </c>
      <c r="B893" s="88"/>
      <c r="C893" s="88"/>
      <c r="D893" s="472">
        <v>2019</v>
      </c>
      <c r="E893" s="472">
        <v>2020</v>
      </c>
      <c r="H893" s="54"/>
    </row>
    <row r="894" spans="1:9" x14ac:dyDescent="0.25">
      <c r="A894" s="87" t="s">
        <v>19</v>
      </c>
      <c r="B894" s="88"/>
      <c r="C894" s="88"/>
      <c r="D894" s="89">
        <v>239</v>
      </c>
      <c r="E894" s="89">
        <v>300</v>
      </c>
      <c r="H894" s="54"/>
    </row>
    <row r="895" spans="1:9" x14ac:dyDescent="0.25">
      <c r="A895" s="87" t="s">
        <v>20</v>
      </c>
      <c r="B895" s="88"/>
      <c r="C895" s="88"/>
      <c r="D895" s="89">
        <v>239</v>
      </c>
      <c r="E895" s="89">
        <f>E894+0.05*D894</f>
        <v>311.95</v>
      </c>
      <c r="H895" s="54"/>
    </row>
    <row r="896" spans="1:9" x14ac:dyDescent="0.25">
      <c r="A896" s="87" t="s">
        <v>21</v>
      </c>
      <c r="B896" s="90"/>
      <c r="C896" s="91"/>
      <c r="D896" s="573" t="s">
        <v>345</v>
      </c>
      <c r="E896" s="574"/>
      <c r="H896" s="54"/>
    </row>
    <row r="897" spans="1:8" x14ac:dyDescent="0.25">
      <c r="A897" s="87" t="s">
        <v>22</v>
      </c>
      <c r="B897" s="88"/>
      <c r="C897" s="88"/>
      <c r="D897" s="89">
        <v>49.3</v>
      </c>
      <c r="E897" s="89"/>
      <c r="H897" s="54"/>
    </row>
    <row r="898" spans="1:8" x14ac:dyDescent="0.25">
      <c r="A898" s="87" t="s">
        <v>23</v>
      </c>
      <c r="B898" s="88"/>
      <c r="C898" s="88"/>
      <c r="D898" s="89">
        <f>D895-D897</f>
        <v>189.7</v>
      </c>
      <c r="E898" s="89"/>
      <c r="H898" s="54"/>
    </row>
    <row r="899" spans="1:8" x14ac:dyDescent="0.25">
      <c r="A899" s="213" t="s">
        <v>24</v>
      </c>
      <c r="B899" s="214"/>
      <c r="C899" s="214"/>
      <c r="D899" s="603">
        <v>2020</v>
      </c>
      <c r="E899" s="215"/>
      <c r="H899" s="54"/>
    </row>
    <row r="900" spans="1:8" x14ac:dyDescent="0.25">
      <c r="A900" s="570" t="s">
        <v>25</v>
      </c>
      <c r="B900" s="571"/>
      <c r="C900" s="571"/>
      <c r="D900" s="571"/>
      <c r="E900" s="572"/>
      <c r="F900" s="85"/>
      <c r="G900" s="85"/>
      <c r="H900" s="54"/>
    </row>
    <row r="901" spans="1:8" ht="73.2" customHeight="1" x14ac:dyDescent="0.25">
      <c r="A901" s="536" t="s">
        <v>346</v>
      </c>
      <c r="B901" s="537"/>
      <c r="C901" s="537"/>
      <c r="D901" s="537"/>
      <c r="E901" s="538"/>
      <c r="F901" s="54"/>
      <c r="G901" s="54"/>
      <c r="H901" s="54"/>
    </row>
    <row r="902" spans="1:8" x14ac:dyDescent="0.25">
      <c r="A902" s="54"/>
      <c r="B902" s="54"/>
      <c r="C902" s="54"/>
      <c r="D902" s="54"/>
      <c r="E902" s="54"/>
      <c r="F902" s="54"/>
      <c r="G902" s="54"/>
      <c r="H902" s="54"/>
    </row>
    <row r="904" spans="1:8" x14ac:dyDescent="0.25">
      <c r="A904" s="1" t="s">
        <v>11</v>
      </c>
      <c r="B904" s="41" t="s">
        <v>282</v>
      </c>
      <c r="C904" s="292"/>
      <c r="D904" s="2"/>
      <c r="E904" s="2"/>
      <c r="F904" s="2"/>
    </row>
    <row r="905" spans="1:8" x14ac:dyDescent="0.25">
      <c r="A905" s="3" t="s">
        <v>1</v>
      </c>
      <c r="B905" s="4" t="s">
        <v>262</v>
      </c>
      <c r="C905" s="115" t="s">
        <v>2</v>
      </c>
      <c r="D905" s="2"/>
      <c r="E905" s="2"/>
      <c r="F905" s="2"/>
    </row>
    <row r="906" spans="1:8" x14ac:dyDescent="0.25">
      <c r="A906" s="6" t="s">
        <v>3</v>
      </c>
      <c r="B906" s="7"/>
      <c r="C906" s="60">
        <v>2018</v>
      </c>
      <c r="D906" s="604">
        <v>2019</v>
      </c>
      <c r="E906" s="60">
        <v>2020</v>
      </c>
      <c r="F906" s="7"/>
    </row>
    <row r="907" spans="1:8" x14ac:dyDescent="0.25">
      <c r="A907" s="6" t="s">
        <v>4</v>
      </c>
      <c r="B907" s="7"/>
      <c r="C907" s="113">
        <v>250</v>
      </c>
      <c r="D907" s="351">
        <v>250</v>
      </c>
      <c r="E907" s="113">
        <v>250</v>
      </c>
      <c r="F907" s="353"/>
    </row>
    <row r="908" spans="1:8" x14ac:dyDescent="0.25">
      <c r="A908" s="6" t="s">
        <v>5</v>
      </c>
      <c r="B908" s="7"/>
      <c r="C908" s="113">
        <v>200</v>
      </c>
      <c r="D908" s="113">
        <v>350</v>
      </c>
      <c r="E908" s="113">
        <f>E909</f>
        <v>225</v>
      </c>
      <c r="F908" s="353"/>
    </row>
    <row r="909" spans="1:8" x14ac:dyDescent="0.25">
      <c r="A909" s="6" t="s">
        <v>6</v>
      </c>
      <c r="B909" s="7"/>
      <c r="C909" s="113">
        <v>200</v>
      </c>
      <c r="D909" s="113">
        <f>1.4*D907</f>
        <v>350</v>
      </c>
      <c r="E909" s="113">
        <f>1.4*E907-125</f>
        <v>225</v>
      </c>
      <c r="F909" s="353"/>
    </row>
    <row r="910" spans="1:8" x14ac:dyDescent="0.25">
      <c r="A910" s="6" t="s">
        <v>7</v>
      </c>
      <c r="B910" s="7"/>
      <c r="C910" s="113">
        <v>43.54</v>
      </c>
      <c r="D910" s="113">
        <v>13.64</v>
      </c>
      <c r="E910" s="113"/>
      <c r="F910" s="353"/>
    </row>
    <row r="911" spans="1:8" x14ac:dyDescent="0.25">
      <c r="A911" s="6" t="s">
        <v>8</v>
      </c>
      <c r="B911" s="7"/>
      <c r="C911" s="113">
        <v>156.46</v>
      </c>
      <c r="D911" s="351">
        <f>D908-D910</f>
        <v>336.36</v>
      </c>
      <c r="E911" s="113"/>
      <c r="F911" s="353"/>
    </row>
    <row r="912" spans="1:8" x14ac:dyDescent="0.25">
      <c r="A912" s="8" t="s">
        <v>9</v>
      </c>
      <c r="B912" s="43"/>
      <c r="C912" s="65">
        <v>2019</v>
      </c>
      <c r="D912" s="66">
        <v>2020</v>
      </c>
      <c r="E912" s="65">
        <v>2021</v>
      </c>
      <c r="F912" s="10"/>
    </row>
    <row r="913" spans="1:6" x14ac:dyDescent="0.25">
      <c r="A913" s="8" t="s">
        <v>204</v>
      </c>
      <c r="B913" s="9"/>
      <c r="C913" s="9"/>
      <c r="D913" s="9"/>
      <c r="E913" s="9"/>
      <c r="F913" s="10"/>
    </row>
    <row r="914" spans="1:6" x14ac:dyDescent="0.25">
      <c r="A914" s="56" t="s">
        <v>283</v>
      </c>
      <c r="B914" s="54"/>
      <c r="C914" s="54"/>
      <c r="D914" s="54"/>
      <c r="E914" s="54"/>
      <c r="F914" s="57"/>
    </row>
    <row r="915" spans="1:6" ht="30" customHeight="1" x14ac:dyDescent="0.25">
      <c r="A915" s="493" t="s">
        <v>490</v>
      </c>
      <c r="B915" s="494"/>
      <c r="C915" s="494"/>
      <c r="D915" s="494"/>
      <c r="E915" s="494"/>
      <c r="F915" s="495"/>
    </row>
    <row r="916" spans="1:6" x14ac:dyDescent="0.25">
      <c r="A916" s="493" t="s">
        <v>427</v>
      </c>
      <c r="B916" s="494"/>
      <c r="C916" s="494"/>
      <c r="D916" s="494"/>
      <c r="E916" s="494"/>
      <c r="F916" s="495"/>
    </row>
    <row r="917" spans="1:6" x14ac:dyDescent="0.25">
      <c r="A917" s="536" t="s">
        <v>491</v>
      </c>
      <c r="B917" s="537"/>
      <c r="C917" s="537"/>
      <c r="D917" s="537"/>
      <c r="E917" s="537"/>
      <c r="F917" s="538"/>
    </row>
    <row r="919" spans="1:6" x14ac:dyDescent="0.25">
      <c r="A919" s="3" t="s">
        <v>1</v>
      </c>
      <c r="B919" s="4" t="s">
        <v>270</v>
      </c>
      <c r="C919" s="115" t="s">
        <v>2</v>
      </c>
      <c r="D919" s="2"/>
      <c r="E919" s="2"/>
      <c r="F919" s="2"/>
    </row>
    <row r="920" spans="1:6" x14ac:dyDescent="0.25">
      <c r="A920" s="6" t="s">
        <v>3</v>
      </c>
      <c r="B920" s="7"/>
      <c r="C920" s="60">
        <v>2018</v>
      </c>
      <c r="D920" s="604">
        <v>2019</v>
      </c>
      <c r="E920" s="60">
        <v>2020</v>
      </c>
      <c r="F920" s="7"/>
    </row>
    <row r="921" spans="1:6" x14ac:dyDescent="0.25">
      <c r="A921" s="6" t="s">
        <v>4</v>
      </c>
      <c r="B921" s="7"/>
      <c r="C921" s="113">
        <v>417</v>
      </c>
      <c r="D921" s="113">
        <v>417</v>
      </c>
      <c r="E921" s="113">
        <v>417</v>
      </c>
      <c r="F921" s="113"/>
    </row>
    <row r="922" spans="1:6" x14ac:dyDescent="0.25">
      <c r="A922" s="6" t="s">
        <v>5</v>
      </c>
      <c r="B922" s="7"/>
      <c r="C922" s="113">
        <v>500.4</v>
      </c>
      <c r="D922" s="113">
        <v>500.4</v>
      </c>
      <c r="E922" s="113">
        <f>E923</f>
        <v>500.4</v>
      </c>
      <c r="F922" s="113"/>
    </row>
    <row r="923" spans="1:6" x14ac:dyDescent="0.25">
      <c r="A923" s="6" t="s">
        <v>6</v>
      </c>
      <c r="B923" s="7"/>
      <c r="C923" s="113">
        <v>500.4</v>
      </c>
      <c r="D923" s="113">
        <v>500.4</v>
      </c>
      <c r="E923" s="113">
        <f>1.2*E921</f>
        <v>500.4</v>
      </c>
      <c r="F923" s="113"/>
    </row>
    <row r="924" spans="1:6" x14ac:dyDescent="0.25">
      <c r="A924" s="6" t="s">
        <v>7</v>
      </c>
      <c r="B924" s="7"/>
      <c r="C924" s="113">
        <v>92.8</v>
      </c>
      <c r="D924" s="113">
        <v>166.9</v>
      </c>
      <c r="E924" s="113"/>
      <c r="F924" s="113"/>
    </row>
    <row r="925" spans="1:6" x14ac:dyDescent="0.25">
      <c r="A925" s="6" t="s">
        <v>8</v>
      </c>
      <c r="B925" s="7"/>
      <c r="C925" s="113">
        <v>407.59999999999997</v>
      </c>
      <c r="D925" s="113">
        <f>D922-D924</f>
        <v>333.5</v>
      </c>
      <c r="E925" s="113"/>
      <c r="F925" s="113"/>
    </row>
    <row r="926" spans="1:6" x14ac:dyDescent="0.25">
      <c r="A926" s="6" t="s">
        <v>9</v>
      </c>
      <c r="B926" s="7"/>
      <c r="C926" s="60">
        <v>2019</v>
      </c>
      <c r="D926" s="604">
        <v>2020</v>
      </c>
      <c r="E926" s="60">
        <v>2021</v>
      </c>
      <c r="F926" s="55"/>
    </row>
    <row r="927" spans="1:6" x14ac:dyDescent="0.25">
      <c r="A927" s="8" t="s">
        <v>204</v>
      </c>
      <c r="B927" s="9"/>
      <c r="C927" s="9"/>
      <c r="D927" s="9"/>
      <c r="E927" s="9"/>
      <c r="F927" s="10"/>
    </row>
    <row r="928" spans="1:6" x14ac:dyDescent="0.25">
      <c r="A928" s="56" t="s">
        <v>283</v>
      </c>
      <c r="B928" s="54"/>
      <c r="C928" s="54"/>
      <c r="D928" s="54"/>
      <c r="E928" s="54"/>
      <c r="F928" s="57"/>
    </row>
    <row r="929" spans="1:6" s="352" customFormat="1" ht="30" customHeight="1" x14ac:dyDescent="0.25">
      <c r="A929" s="493" t="s">
        <v>284</v>
      </c>
      <c r="B929" s="494"/>
      <c r="C929" s="494"/>
      <c r="D929" s="494"/>
      <c r="E929" s="494"/>
      <c r="F929" s="495"/>
    </row>
    <row r="930" spans="1:6" s="352" customFormat="1" ht="28.8" customHeight="1" x14ac:dyDescent="0.25">
      <c r="A930" s="536" t="s">
        <v>428</v>
      </c>
      <c r="B930" s="537"/>
      <c r="C930" s="537"/>
      <c r="D930" s="537"/>
      <c r="E930" s="537"/>
      <c r="F930" s="538"/>
    </row>
    <row r="933" spans="1:6" x14ac:dyDescent="0.25">
      <c r="A933" s="1" t="s">
        <v>265</v>
      </c>
      <c r="B933" s="41" t="s">
        <v>266</v>
      </c>
      <c r="C933" s="212"/>
      <c r="D933" s="2"/>
      <c r="E933" s="2"/>
      <c r="F933" s="2"/>
    </row>
    <row r="934" spans="1:6" x14ac:dyDescent="0.25">
      <c r="A934" s="112" t="s">
        <v>263</v>
      </c>
      <c r="B934" s="374" t="s">
        <v>264</v>
      </c>
      <c r="C934" s="70" t="s">
        <v>17</v>
      </c>
      <c r="D934" s="212"/>
      <c r="E934" s="212"/>
      <c r="F934" s="212"/>
    </row>
    <row r="935" spans="1:6" x14ac:dyDescent="0.25">
      <c r="A935" s="110" t="s">
        <v>18</v>
      </c>
      <c r="B935" s="212"/>
      <c r="C935" s="111"/>
      <c r="D935" s="427">
        <v>2018</v>
      </c>
      <c r="E935" s="427">
        <v>2019</v>
      </c>
      <c r="F935" s="427">
        <v>2020</v>
      </c>
    </row>
    <row r="936" spans="1:6" x14ac:dyDescent="0.25">
      <c r="A936" s="110" t="s">
        <v>19</v>
      </c>
      <c r="B936" s="74"/>
      <c r="C936" s="74"/>
      <c r="D936" s="74">
        <v>4400</v>
      </c>
      <c r="E936" s="74">
        <v>4400</v>
      </c>
      <c r="F936" s="74">
        <v>4400</v>
      </c>
    </row>
    <row r="937" spans="1:6" x14ac:dyDescent="0.25">
      <c r="A937" s="110" t="s">
        <v>20</v>
      </c>
      <c r="B937" s="74"/>
      <c r="C937" s="74"/>
      <c r="D937" s="74">
        <v>5500</v>
      </c>
      <c r="E937" s="74">
        <f>E936*1.25-900</f>
        <v>4600</v>
      </c>
      <c r="F937" s="74">
        <f>F936*1.25-600</f>
        <v>4900</v>
      </c>
    </row>
    <row r="938" spans="1:6" x14ac:dyDescent="0.25">
      <c r="A938" s="110" t="s">
        <v>21</v>
      </c>
      <c r="B938" s="381"/>
      <c r="C938" s="74"/>
      <c r="D938" s="74"/>
      <c r="E938" s="74"/>
      <c r="F938" s="74"/>
    </row>
    <row r="939" spans="1:6" x14ac:dyDescent="0.25">
      <c r="A939" s="110" t="s">
        <v>22</v>
      </c>
      <c r="B939" s="74"/>
      <c r="C939" s="74"/>
      <c r="D939" s="74">
        <v>2572.5</v>
      </c>
      <c r="E939" s="74">
        <v>4402.866</v>
      </c>
      <c r="F939" s="74"/>
    </row>
    <row r="940" spans="1:6" x14ac:dyDescent="0.25">
      <c r="A940" s="110" t="s">
        <v>23</v>
      </c>
      <c r="B940" s="74"/>
      <c r="C940" s="74"/>
      <c r="D940" s="350">
        <f>D937-D939</f>
        <v>2927.5</v>
      </c>
      <c r="E940" s="74">
        <f>E937-E939</f>
        <v>197.13400000000001</v>
      </c>
      <c r="F940" s="74"/>
    </row>
    <row r="941" spans="1:6" x14ac:dyDescent="0.25">
      <c r="A941" s="375" t="s">
        <v>24</v>
      </c>
      <c r="B941" s="376"/>
      <c r="C941" s="376"/>
      <c r="D941" s="605">
        <v>2020</v>
      </c>
      <c r="E941" s="599">
        <v>2021</v>
      </c>
      <c r="F941" s="599">
        <v>2022</v>
      </c>
    </row>
    <row r="942" spans="1:6" x14ac:dyDescent="0.25">
      <c r="A942" s="382" t="s">
        <v>147</v>
      </c>
      <c r="B942" s="116"/>
      <c r="C942" s="116"/>
      <c r="D942" s="116"/>
      <c r="E942" s="116"/>
      <c r="F942" s="377"/>
    </row>
    <row r="943" spans="1:6" x14ac:dyDescent="0.25">
      <c r="A943" s="349" t="s">
        <v>446</v>
      </c>
      <c r="B943" s="80"/>
      <c r="C943" s="80"/>
      <c r="D943" s="80"/>
      <c r="E943" s="80"/>
      <c r="F943" s="384"/>
    </row>
    <row r="944" spans="1:6" ht="17.399999999999999" customHeight="1" x14ac:dyDescent="0.25">
      <c r="A944" s="383" t="s">
        <v>447</v>
      </c>
      <c r="B944" s="379"/>
      <c r="C944" s="379"/>
      <c r="D944" s="379"/>
      <c r="E944" s="379"/>
      <c r="F944" s="380"/>
    </row>
    <row r="946" spans="1:7" x14ac:dyDescent="0.25">
      <c r="A946" s="1" t="s">
        <v>13</v>
      </c>
      <c r="B946" s="41" t="s">
        <v>14</v>
      </c>
      <c r="C946" s="212"/>
      <c r="D946" s="2"/>
      <c r="E946" s="2"/>
      <c r="F946" s="2"/>
    </row>
    <row r="947" spans="1:7" x14ac:dyDescent="0.25">
      <c r="A947" s="3" t="s">
        <v>15</v>
      </c>
      <c r="B947" s="4" t="s">
        <v>16</v>
      </c>
      <c r="C947" s="5" t="s">
        <v>17</v>
      </c>
      <c r="D947" s="2"/>
      <c r="E947" s="2"/>
      <c r="F947" s="2"/>
    </row>
    <row r="948" spans="1:7" x14ac:dyDescent="0.25">
      <c r="A948" s="6" t="s">
        <v>18</v>
      </c>
      <c r="B948" s="7"/>
      <c r="C948" s="606">
        <v>2016</v>
      </c>
      <c r="D948" s="607">
        <v>2017</v>
      </c>
      <c r="E948" s="606">
        <v>2018</v>
      </c>
      <c r="F948" s="608">
        <v>2019</v>
      </c>
    </row>
    <row r="949" spans="1:7" x14ac:dyDescent="0.25">
      <c r="A949" s="6" t="s">
        <v>19</v>
      </c>
      <c r="B949" s="7"/>
      <c r="C949" s="173">
        <v>47.4</v>
      </c>
      <c r="D949" s="208">
        <v>56.91</v>
      </c>
      <c r="E949" s="173">
        <v>66</v>
      </c>
      <c r="F949" s="171">
        <v>73</v>
      </c>
    </row>
    <row r="950" spans="1:7" x14ac:dyDescent="0.25">
      <c r="A950" s="6" t="s">
        <v>20</v>
      </c>
      <c r="B950" s="7"/>
      <c r="C950" s="173">
        <v>47.4</v>
      </c>
      <c r="D950" s="208">
        <v>56.91</v>
      </c>
      <c r="E950" s="173">
        <v>66</v>
      </c>
      <c r="F950" s="171">
        <v>73</v>
      </c>
    </row>
    <row r="951" spans="1:7" x14ac:dyDescent="0.25">
      <c r="A951" s="6" t="s">
        <v>21</v>
      </c>
      <c r="B951" s="7"/>
      <c r="C951" s="173"/>
      <c r="D951" s="208"/>
      <c r="E951" s="173"/>
      <c r="F951" s="171"/>
    </row>
    <row r="952" spans="1:7" x14ac:dyDescent="0.25">
      <c r="A952" s="6" t="s">
        <v>22</v>
      </c>
      <c r="B952" s="7"/>
      <c r="C952" s="173">
        <v>47.393000000000001</v>
      </c>
      <c r="D952" s="208">
        <v>56.905999999999999</v>
      </c>
      <c r="E952" s="173">
        <v>66</v>
      </c>
      <c r="F952" s="171">
        <v>71.97</v>
      </c>
    </row>
    <row r="953" spans="1:7" x14ac:dyDescent="0.25">
      <c r="A953" s="6" t="s">
        <v>23</v>
      </c>
      <c r="B953" s="7"/>
      <c r="C953" s="173">
        <f>C950-C952</f>
        <v>6.9999999999978968E-3</v>
      </c>
      <c r="D953" s="173">
        <f t="shared" ref="D953:F953" si="19">D950-D952</f>
        <v>3.9999999999977831E-3</v>
      </c>
      <c r="E953" s="173">
        <f t="shared" si="19"/>
        <v>0</v>
      </c>
      <c r="F953" s="173">
        <f t="shared" si="19"/>
        <v>1.0300000000000011</v>
      </c>
    </row>
    <row r="954" spans="1:7" x14ac:dyDescent="0.25">
      <c r="A954" s="6" t="s">
        <v>24</v>
      </c>
      <c r="B954" s="7"/>
      <c r="C954" s="7"/>
      <c r="D954" s="61"/>
      <c r="E954" s="7"/>
      <c r="F954" s="55"/>
    </row>
    <row r="955" spans="1:7" x14ac:dyDescent="0.25">
      <c r="A955" s="6" t="s">
        <v>25</v>
      </c>
      <c r="B955" s="61"/>
      <c r="C955" s="61"/>
      <c r="D955" s="61"/>
      <c r="E955" s="61"/>
      <c r="F955" s="55"/>
    </row>
    <row r="956" spans="1:7" x14ac:dyDescent="0.25">
      <c r="A956" s="54"/>
      <c r="B956" s="54"/>
      <c r="C956" s="54"/>
      <c r="D956" s="54"/>
      <c r="E956" s="54"/>
      <c r="F956" s="54"/>
    </row>
    <row r="957" spans="1:7" x14ac:dyDescent="0.25">
      <c r="A957" s="54"/>
      <c r="B957" s="54"/>
      <c r="C957" s="54"/>
      <c r="D957" s="54"/>
      <c r="E957" s="54"/>
      <c r="F957" s="54"/>
    </row>
    <row r="958" spans="1:7" x14ac:dyDescent="0.25">
      <c r="A958" s="1" t="s">
        <v>13</v>
      </c>
      <c r="B958" s="41" t="s">
        <v>221</v>
      </c>
      <c r="C958" s="212"/>
      <c r="D958" s="2"/>
      <c r="E958" s="2"/>
      <c r="F958" s="2"/>
    </row>
    <row r="959" spans="1:7" x14ac:dyDescent="0.25">
      <c r="A959" s="3" t="s">
        <v>15</v>
      </c>
      <c r="B959" s="210" t="s">
        <v>67</v>
      </c>
      <c r="C959" s="209" t="s">
        <v>17</v>
      </c>
      <c r="D959" s="2"/>
      <c r="E959" s="2"/>
      <c r="F959" s="2"/>
    </row>
    <row r="960" spans="1:7" x14ac:dyDescent="0.25">
      <c r="A960" s="6" t="s">
        <v>18</v>
      </c>
      <c r="B960" s="7"/>
      <c r="C960" s="142"/>
      <c r="D960" s="142"/>
      <c r="E960" s="142"/>
      <c r="F960" s="60">
        <v>2018</v>
      </c>
      <c r="G960" s="60">
        <v>2019</v>
      </c>
    </row>
    <row r="961" spans="1:8" x14ac:dyDescent="0.25">
      <c r="A961" s="6" t="s">
        <v>19</v>
      </c>
      <c r="B961" s="7"/>
      <c r="C961" s="142"/>
      <c r="D961" s="142"/>
      <c r="E961" s="142"/>
      <c r="F961" s="173">
        <v>125</v>
      </c>
      <c r="G961" s="173">
        <v>125</v>
      </c>
    </row>
    <row r="962" spans="1:8" x14ac:dyDescent="0.25">
      <c r="A962" s="6" t="s">
        <v>20</v>
      </c>
      <c r="B962" s="7"/>
      <c r="C962" s="142"/>
      <c r="D962" s="142"/>
      <c r="E962" s="142"/>
      <c r="F962" s="173">
        <v>100</v>
      </c>
      <c r="G962" s="173">
        <v>100</v>
      </c>
    </row>
    <row r="963" spans="1:8" x14ac:dyDescent="0.25">
      <c r="A963" s="6" t="s">
        <v>21</v>
      </c>
      <c r="B963" s="7"/>
      <c r="C963" s="142"/>
      <c r="D963" s="142"/>
      <c r="E963" s="142"/>
      <c r="F963" s="173">
        <f>F961*1.4-(75)</f>
        <v>100</v>
      </c>
      <c r="G963" s="173">
        <f>G961*1.4-(75)</f>
        <v>100</v>
      </c>
    </row>
    <row r="964" spans="1:8" x14ac:dyDescent="0.25">
      <c r="A964" s="6" t="s">
        <v>22</v>
      </c>
      <c r="B964" s="7"/>
      <c r="C964" s="142"/>
      <c r="D964" s="142"/>
      <c r="E964" s="142"/>
      <c r="F964" s="173">
        <v>3</v>
      </c>
      <c r="G964" s="173">
        <v>5.91</v>
      </c>
    </row>
    <row r="965" spans="1:8" x14ac:dyDescent="0.25">
      <c r="A965" s="6" t="s">
        <v>23</v>
      </c>
      <c r="B965" s="7"/>
      <c r="C965" s="142"/>
      <c r="D965" s="142"/>
      <c r="E965" s="142"/>
      <c r="F965" s="173">
        <f>F962-F964</f>
        <v>97</v>
      </c>
      <c r="G965" s="173">
        <f>G962-G964</f>
        <v>94.09</v>
      </c>
    </row>
    <row r="966" spans="1:8" x14ac:dyDescent="0.25">
      <c r="A966" s="8" t="s">
        <v>24</v>
      </c>
      <c r="B966" s="43"/>
      <c r="C966" s="211"/>
      <c r="D966" s="211"/>
      <c r="E966" s="211"/>
      <c r="F966" s="65">
        <v>2017</v>
      </c>
      <c r="G966" s="65">
        <v>2018</v>
      </c>
    </row>
    <row r="967" spans="1:8" ht="61.2" customHeight="1" x14ac:dyDescent="0.25">
      <c r="A967" s="489" t="s">
        <v>342</v>
      </c>
      <c r="B967" s="490"/>
      <c r="C967" s="490"/>
      <c r="D967" s="490"/>
      <c r="E967" s="490"/>
      <c r="F967" s="490"/>
      <c r="G967" s="563"/>
    </row>
    <row r="968" spans="1:8" ht="61.8" customHeight="1" x14ac:dyDescent="0.25">
      <c r="A968" s="536" t="s">
        <v>343</v>
      </c>
      <c r="B968" s="537"/>
      <c r="C968" s="537"/>
      <c r="D968" s="537"/>
      <c r="E968" s="537"/>
      <c r="F968" s="537"/>
      <c r="G968" s="538"/>
    </row>
    <row r="969" spans="1:8" x14ac:dyDescent="0.25">
      <c r="A969" s="54"/>
      <c r="B969" s="54"/>
      <c r="C969" s="54"/>
      <c r="D969" s="54"/>
      <c r="E969" s="54"/>
      <c r="F969" s="54"/>
    </row>
    <row r="970" spans="1:8" x14ac:dyDescent="0.25">
      <c r="A970" s="112" t="s">
        <v>15</v>
      </c>
      <c r="B970" s="69" t="s">
        <v>92</v>
      </c>
      <c r="C970" s="70" t="s">
        <v>17</v>
      </c>
      <c r="D970" s="212"/>
      <c r="E970" s="212"/>
      <c r="F970" s="212"/>
      <c r="G970" s="212"/>
      <c r="H970" s="212"/>
    </row>
    <row r="971" spans="1:8" x14ac:dyDescent="0.25">
      <c r="A971" s="110" t="s">
        <v>18</v>
      </c>
      <c r="B971" s="70"/>
      <c r="C971" s="69">
        <v>2015</v>
      </c>
      <c r="D971" s="69">
        <v>2016</v>
      </c>
      <c r="E971" s="69">
        <v>2017</v>
      </c>
      <c r="F971" s="69">
        <v>2018</v>
      </c>
      <c r="G971" s="69">
        <v>2019</v>
      </c>
      <c r="H971" s="69">
        <v>2020</v>
      </c>
    </row>
    <row r="972" spans="1:8" x14ac:dyDescent="0.25">
      <c r="A972" s="110" t="s">
        <v>19</v>
      </c>
      <c r="B972" s="71"/>
      <c r="C972" s="71">
        <v>20</v>
      </c>
      <c r="D972" s="71">
        <v>20</v>
      </c>
      <c r="E972" s="71">
        <v>20</v>
      </c>
      <c r="F972" s="71">
        <v>20</v>
      </c>
      <c r="G972" s="71">
        <v>20</v>
      </c>
      <c r="H972" s="77">
        <v>16.8</v>
      </c>
    </row>
    <row r="973" spans="1:8" x14ac:dyDescent="0.25">
      <c r="A973" s="110" t="s">
        <v>20</v>
      </c>
      <c r="B973" s="71"/>
      <c r="C973" s="71"/>
      <c r="D973" s="71">
        <v>-64.900000000000006</v>
      </c>
      <c r="E973" s="71">
        <v>-63.600000000000009</v>
      </c>
      <c r="F973" s="71">
        <v>-43.600000000000009</v>
      </c>
      <c r="G973" s="71">
        <v>-23.600000000000009</v>
      </c>
      <c r="H973" s="71">
        <f>G976+H972</f>
        <v>-6.8000000000000078</v>
      </c>
    </row>
    <row r="974" spans="1:8" x14ac:dyDescent="0.25">
      <c r="A974" s="110" t="s">
        <v>21</v>
      </c>
      <c r="B974" s="72"/>
      <c r="C974" s="72"/>
      <c r="D974" s="73">
        <v>1</v>
      </c>
      <c r="E974" s="73">
        <v>2</v>
      </c>
      <c r="F974" s="73">
        <v>3</v>
      </c>
      <c r="G974" s="73">
        <v>4</v>
      </c>
      <c r="H974" s="73">
        <v>5</v>
      </c>
    </row>
    <row r="975" spans="1:8" x14ac:dyDescent="0.25">
      <c r="A975" s="110" t="s">
        <v>22</v>
      </c>
      <c r="B975" s="74"/>
      <c r="C975" s="74">
        <v>34.9</v>
      </c>
      <c r="D975" s="74">
        <v>18.7</v>
      </c>
      <c r="E975" s="74">
        <v>0</v>
      </c>
      <c r="F975" s="74">
        <v>0</v>
      </c>
      <c r="G975" s="74">
        <v>0</v>
      </c>
      <c r="H975" s="74"/>
    </row>
    <row r="976" spans="1:8" x14ac:dyDescent="0.25">
      <c r="A976" s="110" t="s">
        <v>23</v>
      </c>
      <c r="B976" s="74"/>
      <c r="C976" s="74">
        <v>-84.9</v>
      </c>
      <c r="D976" s="74">
        <v>-83.600000000000009</v>
      </c>
      <c r="E976" s="74">
        <v>-63.600000000000009</v>
      </c>
      <c r="F976" s="74">
        <v>-43.600000000000009</v>
      </c>
      <c r="G976" s="74">
        <f>G973-G975</f>
        <v>-23.600000000000009</v>
      </c>
      <c r="H976" s="74"/>
    </row>
    <row r="977" spans="1:8" x14ac:dyDescent="0.25">
      <c r="A977" s="6" t="s">
        <v>24</v>
      </c>
      <c r="B977" s="5"/>
      <c r="C977" s="5"/>
      <c r="D977" s="5"/>
      <c r="E977" s="5"/>
      <c r="F977" s="162"/>
      <c r="G977" s="162"/>
      <c r="H977" s="162"/>
    </row>
    <row r="978" spans="1:8" ht="67.2" customHeight="1" x14ac:dyDescent="0.25">
      <c r="A978" s="557" t="s">
        <v>341</v>
      </c>
      <c r="B978" s="558"/>
      <c r="C978" s="558"/>
      <c r="D978" s="558"/>
      <c r="E978" s="558"/>
      <c r="F978" s="558"/>
      <c r="G978" s="558"/>
      <c r="H978" s="559"/>
    </row>
    <row r="979" spans="1:8" x14ac:dyDescent="0.25">
      <c r="A979" s="54"/>
      <c r="B979" s="54"/>
      <c r="C979" s="54"/>
      <c r="D979" s="54"/>
      <c r="E979" s="54"/>
      <c r="F979" s="54"/>
    </row>
    <row r="980" spans="1:8" x14ac:dyDescent="0.25">
      <c r="A980" s="112" t="s">
        <v>15</v>
      </c>
      <c r="B980" s="69" t="s">
        <v>97</v>
      </c>
      <c r="C980" s="70" t="s">
        <v>17</v>
      </c>
      <c r="D980" s="212"/>
      <c r="E980" s="212"/>
      <c r="F980" s="212"/>
      <c r="G980" s="212"/>
      <c r="H980" s="2"/>
    </row>
    <row r="981" spans="1:8" x14ac:dyDescent="0.25">
      <c r="A981" s="110" t="s">
        <v>18</v>
      </c>
      <c r="B981" s="70"/>
      <c r="C981" s="70">
        <v>2015</v>
      </c>
      <c r="D981" s="70">
        <v>2016</v>
      </c>
      <c r="E981" s="70">
        <v>2017</v>
      </c>
      <c r="F981" s="70">
        <v>2018</v>
      </c>
      <c r="G981" s="70">
        <v>2019</v>
      </c>
      <c r="H981" s="5">
        <v>2020</v>
      </c>
    </row>
    <row r="982" spans="1:8" x14ac:dyDescent="0.25">
      <c r="A982" s="110" t="s">
        <v>19</v>
      </c>
      <c r="B982" s="71"/>
      <c r="C982" s="71">
        <v>15</v>
      </c>
      <c r="D982" s="71">
        <v>15</v>
      </c>
      <c r="E982" s="71">
        <v>15</v>
      </c>
      <c r="F982" s="71">
        <v>15</v>
      </c>
      <c r="G982" s="71">
        <v>15</v>
      </c>
      <c r="H982" s="159">
        <v>15</v>
      </c>
    </row>
    <row r="983" spans="1:8" x14ac:dyDescent="0.25">
      <c r="A983" s="110" t="s">
        <v>20</v>
      </c>
      <c r="B983" s="71"/>
      <c r="C983" s="71"/>
      <c r="D983" s="71">
        <v>-59.3</v>
      </c>
      <c r="E983" s="71">
        <v>-64.199999999999989</v>
      </c>
      <c r="F983" s="71">
        <v>-49.199999999999989</v>
      </c>
      <c r="G983" s="71">
        <v>-34.199999999999989</v>
      </c>
      <c r="H983" s="158">
        <f>G986+H982</f>
        <v>-19.199999999999989</v>
      </c>
    </row>
    <row r="984" spans="1:8" x14ac:dyDescent="0.25">
      <c r="A984" s="110" t="s">
        <v>21</v>
      </c>
      <c r="B984" s="72"/>
      <c r="C984" s="72"/>
      <c r="D984" s="73">
        <v>1</v>
      </c>
      <c r="E984" s="73">
        <v>2</v>
      </c>
      <c r="F984" s="73">
        <v>3</v>
      </c>
      <c r="G984" s="73">
        <v>4</v>
      </c>
      <c r="H984" s="160">
        <v>5</v>
      </c>
    </row>
    <row r="985" spans="1:8" x14ac:dyDescent="0.25">
      <c r="A985" s="110" t="s">
        <v>22</v>
      </c>
      <c r="B985" s="74"/>
      <c r="C985" s="74">
        <v>31.9</v>
      </c>
      <c r="D985" s="74">
        <v>19.899999999999999</v>
      </c>
      <c r="E985" s="74">
        <v>0</v>
      </c>
      <c r="F985" s="74">
        <v>0</v>
      </c>
      <c r="G985" s="74">
        <v>0</v>
      </c>
      <c r="H985" s="161"/>
    </row>
    <row r="986" spans="1:8" x14ac:dyDescent="0.25">
      <c r="A986" s="110" t="s">
        <v>23</v>
      </c>
      <c r="B986" s="74"/>
      <c r="C986" s="74">
        <v>-74.3</v>
      </c>
      <c r="D986" s="74">
        <v>-79.199999999999989</v>
      </c>
      <c r="E986" s="74">
        <v>-64.199999999999989</v>
      </c>
      <c r="F986" s="74">
        <v>-49.199999999999989</v>
      </c>
      <c r="G986" s="74">
        <f>G983-G985</f>
        <v>-34.199999999999989</v>
      </c>
      <c r="H986" s="161"/>
    </row>
    <row r="987" spans="1:8" x14ac:dyDescent="0.25">
      <c r="A987" s="6" t="s">
        <v>24</v>
      </c>
      <c r="B987" s="5"/>
      <c r="C987" s="5"/>
      <c r="D987" s="5"/>
      <c r="E987" s="5"/>
      <c r="F987" s="162"/>
      <c r="G987" s="162"/>
      <c r="H987" s="162"/>
    </row>
    <row r="988" spans="1:8" ht="72.599999999999994" customHeight="1" x14ac:dyDescent="0.25">
      <c r="A988" s="557" t="s">
        <v>341</v>
      </c>
      <c r="B988" s="558"/>
      <c r="C988" s="558"/>
      <c r="D988" s="558"/>
      <c r="E988" s="558"/>
      <c r="F988" s="558"/>
      <c r="G988" s="558"/>
      <c r="H988" s="559"/>
    </row>
    <row r="989" spans="1:8" x14ac:dyDescent="0.25">
      <c r="A989" s="54"/>
      <c r="B989" s="54"/>
      <c r="C989" s="54"/>
      <c r="D989" s="54"/>
      <c r="E989" s="54"/>
      <c r="F989" s="54"/>
    </row>
    <row r="991" spans="1:8" x14ac:dyDescent="0.25">
      <c r="A991" s="1" t="s">
        <v>11</v>
      </c>
      <c r="B991" s="41" t="s">
        <v>50</v>
      </c>
      <c r="C991" s="212"/>
      <c r="D991" s="2"/>
      <c r="E991" s="2"/>
      <c r="F991" s="2"/>
    </row>
    <row r="992" spans="1:8" x14ac:dyDescent="0.25">
      <c r="A992" s="3" t="s">
        <v>1</v>
      </c>
      <c r="B992" s="55" t="s">
        <v>26</v>
      </c>
      <c r="C992" s="5" t="s">
        <v>2</v>
      </c>
      <c r="D992" s="2"/>
      <c r="E992" s="2"/>
      <c r="F992" s="2"/>
    </row>
    <row r="993" spans="1:8" x14ac:dyDescent="0.25">
      <c r="A993" s="6" t="s">
        <v>3</v>
      </c>
      <c r="B993" s="609">
        <v>2016</v>
      </c>
      <c r="C993" s="609">
        <v>2017</v>
      </c>
      <c r="D993" s="609">
        <v>2018</v>
      </c>
      <c r="E993" s="609">
        <v>2019</v>
      </c>
      <c r="F993" s="433">
        <v>2020</v>
      </c>
    </row>
    <row r="994" spans="1:8" x14ac:dyDescent="0.25">
      <c r="A994" s="6" t="s">
        <v>4</v>
      </c>
      <c r="B994" s="172">
        <v>1491.71</v>
      </c>
      <c r="C994" s="172">
        <v>1791</v>
      </c>
      <c r="D994" s="147">
        <v>2115</v>
      </c>
      <c r="E994" s="147">
        <v>2400</v>
      </c>
      <c r="F994" s="171">
        <v>2655</v>
      </c>
    </row>
    <row r="995" spans="1:8" x14ac:dyDescent="0.25">
      <c r="A995" s="6" t="s">
        <v>5</v>
      </c>
      <c r="B995" s="172">
        <v>1491.71</v>
      </c>
      <c r="C995" s="172">
        <v>1791</v>
      </c>
      <c r="D995" s="147">
        <v>2115</v>
      </c>
      <c r="E995" s="147">
        <v>2400</v>
      </c>
      <c r="F995" s="171">
        <f>F994+20.4</f>
        <v>2675.4</v>
      </c>
    </row>
    <row r="996" spans="1:8" x14ac:dyDescent="0.25">
      <c r="A996" s="6" t="s">
        <v>6</v>
      </c>
      <c r="B996" s="7"/>
      <c r="C996" s="61"/>
      <c r="D996" s="7"/>
      <c r="E996" s="55"/>
      <c r="F996" s="55"/>
    </row>
    <row r="997" spans="1:8" x14ac:dyDescent="0.25">
      <c r="A997" s="6" t="s">
        <v>7</v>
      </c>
      <c r="B997" s="147">
        <f>1460.729706+29.834</f>
        <v>1490.5637060000001</v>
      </c>
      <c r="C997" s="147">
        <f>1753.717552+35.82</f>
        <v>1789.537552</v>
      </c>
      <c r="D997" s="147">
        <f>2092.04608+12.05</f>
        <v>2104.0960800000003</v>
      </c>
      <c r="E997" s="171">
        <f>2374.403225+3.6</f>
        <v>2378.0032249999999</v>
      </c>
      <c r="F997" s="171">
        <v>2648.1382469999999</v>
      </c>
    </row>
    <row r="998" spans="1:8" x14ac:dyDescent="0.25">
      <c r="A998" s="6" t="s">
        <v>8</v>
      </c>
      <c r="B998" s="173">
        <f t="shared" ref="B998:E998" si="20">B995-B997</f>
        <v>1.146293999999898</v>
      </c>
      <c r="C998" s="173">
        <f t="shared" si="20"/>
        <v>1.4624479999999949</v>
      </c>
      <c r="D998" s="173">
        <f t="shared" si="20"/>
        <v>10.903919999999744</v>
      </c>
      <c r="E998" s="173">
        <f t="shared" si="20"/>
        <v>21.996775000000071</v>
      </c>
      <c r="F998" s="55"/>
    </row>
    <row r="999" spans="1:8" x14ac:dyDescent="0.25">
      <c r="A999" s="6" t="s">
        <v>9</v>
      </c>
      <c r="B999" s="7"/>
      <c r="C999" s="61"/>
      <c r="D999" s="7"/>
      <c r="E999" s="55"/>
      <c r="F999" s="55"/>
    </row>
    <row r="1000" spans="1:8" x14ac:dyDescent="0.25">
      <c r="A1000" s="8" t="s">
        <v>10</v>
      </c>
      <c r="B1000" s="9"/>
      <c r="C1000" s="9"/>
      <c r="D1000" s="9"/>
      <c r="E1000" s="9"/>
      <c r="F1000" s="10"/>
    </row>
    <row r="1001" spans="1:8" x14ac:dyDescent="0.25">
      <c r="A1001" s="56" t="s">
        <v>323</v>
      </c>
      <c r="B1001" s="54"/>
      <c r="C1001" s="54"/>
      <c r="D1001" s="54"/>
      <c r="E1001" s="54"/>
      <c r="F1001" s="57"/>
    </row>
    <row r="1002" spans="1:8" x14ac:dyDescent="0.25">
      <c r="A1002" s="11" t="s">
        <v>324</v>
      </c>
      <c r="B1002" s="12"/>
      <c r="C1002" s="12"/>
      <c r="D1002" s="12"/>
      <c r="E1002" s="12"/>
      <c r="F1002" s="13"/>
    </row>
    <row r="1005" spans="1:8" x14ac:dyDescent="0.25">
      <c r="A1005" s="117" t="s">
        <v>13</v>
      </c>
      <c r="B1005" s="118" t="s">
        <v>145</v>
      </c>
      <c r="C1005" s="212"/>
      <c r="D1005" s="119"/>
      <c r="E1005" s="119"/>
      <c r="F1005" s="119"/>
      <c r="G1005" s="119"/>
      <c r="H1005" s="119"/>
    </row>
    <row r="1006" spans="1:8" x14ac:dyDescent="0.25">
      <c r="A1006" s="120" t="s">
        <v>15</v>
      </c>
      <c r="B1006" s="127" t="s">
        <v>146</v>
      </c>
      <c r="C1006" s="128" t="s">
        <v>17</v>
      </c>
      <c r="D1006" s="119"/>
      <c r="E1006" s="119"/>
      <c r="F1006" s="119"/>
      <c r="G1006" s="119"/>
      <c r="H1006" s="119"/>
    </row>
    <row r="1007" spans="1:8" x14ac:dyDescent="0.25">
      <c r="A1007" s="121" t="s">
        <v>18</v>
      </c>
      <c r="B1007" s="122"/>
      <c r="C1007" s="610">
        <v>2016</v>
      </c>
      <c r="D1007" s="611">
        <v>2017</v>
      </c>
      <c r="E1007" s="612">
        <v>2018</v>
      </c>
      <c r="F1007" s="613">
        <v>2019</v>
      </c>
      <c r="G1007" s="614">
        <v>2020</v>
      </c>
      <c r="H1007" s="119"/>
    </row>
    <row r="1008" spans="1:8" x14ac:dyDescent="0.25">
      <c r="A1008" s="121" t="s">
        <v>19</v>
      </c>
      <c r="B1008" s="122"/>
      <c r="C1008" s="323">
        <v>527</v>
      </c>
      <c r="D1008" s="323">
        <v>527</v>
      </c>
      <c r="E1008" s="324">
        <v>632.4</v>
      </c>
      <c r="F1008" s="329">
        <v>632.4</v>
      </c>
      <c r="G1008" s="320">
        <v>632.4</v>
      </c>
      <c r="H1008" s="119"/>
    </row>
    <row r="1009" spans="1:8" x14ac:dyDescent="0.25">
      <c r="A1009" s="121" t="s">
        <v>20</v>
      </c>
      <c r="B1009" s="122"/>
      <c r="C1009" s="323">
        <v>658.75</v>
      </c>
      <c r="D1009" s="323">
        <v>658.75</v>
      </c>
      <c r="E1009" s="324">
        <v>764.15</v>
      </c>
      <c r="F1009" s="329">
        <v>790.5</v>
      </c>
      <c r="G1009" s="320">
        <v>790.5</v>
      </c>
      <c r="H1009" s="119"/>
    </row>
    <row r="1010" spans="1:8" x14ac:dyDescent="0.25">
      <c r="A1010" s="121" t="s">
        <v>21</v>
      </c>
      <c r="B1010" s="122"/>
      <c r="C1010" s="324"/>
      <c r="D1010" s="330"/>
      <c r="E1010" s="327"/>
      <c r="F1010" s="325"/>
      <c r="G1010" s="320"/>
      <c r="H1010" s="119"/>
    </row>
    <row r="1011" spans="1:8" x14ac:dyDescent="0.25">
      <c r="A1011" s="121" t="s">
        <v>22</v>
      </c>
      <c r="B1011" s="122"/>
      <c r="C1011" s="323">
        <v>250.22</v>
      </c>
      <c r="D1011" s="330">
        <v>238.35</v>
      </c>
      <c r="E1011" s="331">
        <v>102.57</v>
      </c>
      <c r="F1011" s="325">
        <v>221.36</v>
      </c>
      <c r="G1011" s="320"/>
      <c r="H1011" s="119"/>
    </row>
    <row r="1012" spans="1:8" x14ac:dyDescent="0.25">
      <c r="A1012" s="121" t="s">
        <v>23</v>
      </c>
      <c r="B1012" s="122"/>
      <c r="C1012" s="323">
        <v>408.53</v>
      </c>
      <c r="D1012" s="330">
        <v>420.4</v>
      </c>
      <c r="E1012" s="331">
        <f>E1009-E1011</f>
        <v>661.57999999999993</v>
      </c>
      <c r="F1012" s="325">
        <f>F1009-F1011</f>
        <v>569.14</v>
      </c>
      <c r="G1012" s="320"/>
      <c r="H1012" s="119"/>
    </row>
    <row r="1013" spans="1:8" x14ac:dyDescent="0.25">
      <c r="A1013" s="306" t="s">
        <v>24</v>
      </c>
      <c r="B1013" s="307"/>
      <c r="C1013" s="615">
        <v>2017</v>
      </c>
      <c r="D1013" s="616">
        <v>2018</v>
      </c>
      <c r="E1013" s="615">
        <v>2019</v>
      </c>
      <c r="F1013" s="617">
        <v>2020</v>
      </c>
      <c r="G1013" s="308">
        <v>2021</v>
      </c>
      <c r="H1013" s="119"/>
    </row>
    <row r="1014" spans="1:8" x14ac:dyDescent="0.25">
      <c r="A1014" s="309" t="s">
        <v>147</v>
      </c>
      <c r="B1014" s="310"/>
      <c r="C1014" s="310"/>
      <c r="D1014" s="310"/>
      <c r="E1014" s="310"/>
      <c r="F1014" s="310"/>
      <c r="G1014" s="311"/>
      <c r="H1014" s="119"/>
    </row>
    <row r="1015" spans="1:8" x14ac:dyDescent="0.25">
      <c r="A1015" s="312" t="s">
        <v>148</v>
      </c>
      <c r="B1015" s="125"/>
      <c r="C1015" s="125"/>
      <c r="D1015" s="125"/>
      <c r="E1015" s="125"/>
      <c r="F1015" s="125"/>
      <c r="G1015" s="313"/>
      <c r="H1015" s="119"/>
    </row>
    <row r="1016" spans="1:8" x14ac:dyDescent="0.25">
      <c r="A1016" s="312" t="s">
        <v>149</v>
      </c>
      <c r="B1016" s="125"/>
      <c r="C1016" s="125"/>
      <c r="D1016" s="125"/>
      <c r="E1016" s="125"/>
      <c r="F1016" s="125"/>
      <c r="G1016" s="313"/>
      <c r="H1016" s="119"/>
    </row>
    <row r="1017" spans="1:8" x14ac:dyDescent="0.25">
      <c r="A1017" s="312" t="s">
        <v>150</v>
      </c>
      <c r="B1017" s="125"/>
      <c r="C1017" s="125"/>
      <c r="D1017" s="125"/>
      <c r="E1017" s="125"/>
      <c r="F1017" s="125"/>
      <c r="G1017" s="313"/>
      <c r="H1017" s="119"/>
    </row>
    <row r="1018" spans="1:8" x14ac:dyDescent="0.25">
      <c r="A1018" s="312" t="s">
        <v>151</v>
      </c>
      <c r="B1018" s="125"/>
      <c r="C1018" s="125"/>
      <c r="D1018" s="125"/>
      <c r="E1018" s="125"/>
      <c r="F1018" s="125"/>
      <c r="G1018" s="313"/>
      <c r="H1018" s="119"/>
    </row>
    <row r="1019" spans="1:8" x14ac:dyDescent="0.25">
      <c r="A1019" s="314" t="s">
        <v>410</v>
      </c>
      <c r="B1019" s="126"/>
      <c r="C1019" s="126"/>
      <c r="D1019" s="126"/>
      <c r="E1019" s="126"/>
      <c r="F1019" s="126"/>
      <c r="G1019" s="315"/>
      <c r="H1019" s="119"/>
    </row>
    <row r="1021" spans="1:8" x14ac:dyDescent="0.25">
      <c r="A1021" s="120" t="s">
        <v>15</v>
      </c>
      <c r="B1021" s="127" t="s">
        <v>152</v>
      </c>
      <c r="C1021" s="128" t="s">
        <v>17</v>
      </c>
      <c r="D1021" s="119"/>
      <c r="E1021" s="119"/>
      <c r="F1021" s="119"/>
      <c r="G1021" s="119"/>
      <c r="H1021" s="119"/>
    </row>
    <row r="1022" spans="1:8" x14ac:dyDescent="0.25">
      <c r="A1022" s="121" t="s">
        <v>18</v>
      </c>
      <c r="B1022" s="122"/>
      <c r="C1022" s="618">
        <v>2017</v>
      </c>
      <c r="D1022" s="612">
        <v>2018</v>
      </c>
      <c r="E1022" s="612">
        <v>2019</v>
      </c>
      <c r="F1022" s="613">
        <v>2020</v>
      </c>
      <c r="G1022" s="614"/>
      <c r="H1022" s="119"/>
    </row>
    <row r="1023" spans="1:8" x14ac:dyDescent="0.25">
      <c r="A1023" s="121" t="s">
        <v>19</v>
      </c>
      <c r="B1023" s="122"/>
      <c r="C1023" s="323">
        <v>3907</v>
      </c>
      <c r="D1023" s="323">
        <v>3907</v>
      </c>
      <c r="E1023" s="324">
        <v>3907</v>
      </c>
      <c r="F1023" s="325">
        <v>3907</v>
      </c>
      <c r="G1023" s="320"/>
      <c r="H1023" s="119"/>
    </row>
    <row r="1024" spans="1:8" x14ac:dyDescent="0.25">
      <c r="A1024" s="121" t="s">
        <v>20</v>
      </c>
      <c r="B1024" s="122"/>
      <c r="C1024" s="323">
        <v>4468.05</v>
      </c>
      <c r="D1024" s="323">
        <v>4493.05</v>
      </c>
      <c r="E1024" s="324">
        <v>4493.05</v>
      </c>
      <c r="F1024" s="325">
        <v>4493.05</v>
      </c>
      <c r="G1024" s="320"/>
      <c r="H1024" s="119"/>
    </row>
    <row r="1025" spans="1:8" x14ac:dyDescent="0.25">
      <c r="A1025" s="121" t="s">
        <v>21</v>
      </c>
      <c r="B1025" s="122"/>
      <c r="C1025" s="326"/>
      <c r="D1025" s="324"/>
      <c r="E1025" s="327"/>
      <c r="F1025" s="325"/>
      <c r="G1025" s="320"/>
      <c r="H1025" s="119"/>
    </row>
    <row r="1026" spans="1:8" x14ac:dyDescent="0.25">
      <c r="A1026" s="121" t="s">
        <v>22</v>
      </c>
      <c r="B1026" s="122"/>
      <c r="C1026" s="328">
        <v>1404.81</v>
      </c>
      <c r="D1026" s="324">
        <v>1274.92</v>
      </c>
      <c r="E1026" s="327">
        <v>1763.27</v>
      </c>
      <c r="F1026" s="325"/>
      <c r="G1026" s="320"/>
      <c r="H1026" s="119"/>
    </row>
    <row r="1027" spans="1:8" x14ac:dyDescent="0.25">
      <c r="A1027" s="121" t="s">
        <v>23</v>
      </c>
      <c r="B1027" s="122"/>
      <c r="C1027" s="323">
        <v>3063.24</v>
      </c>
      <c r="D1027" s="324">
        <f>D1024-D1026</f>
        <v>3218.13</v>
      </c>
      <c r="E1027" s="324">
        <f>E1024-E1026</f>
        <v>2729.78</v>
      </c>
      <c r="F1027" s="325"/>
      <c r="G1027" s="320"/>
      <c r="H1027" s="119"/>
    </row>
    <row r="1028" spans="1:8" x14ac:dyDescent="0.25">
      <c r="A1028" s="306" t="s">
        <v>24</v>
      </c>
      <c r="B1028" s="307"/>
      <c r="C1028" s="619">
        <v>2018</v>
      </c>
      <c r="D1028" s="615">
        <v>2019</v>
      </c>
      <c r="E1028" s="615">
        <v>2020</v>
      </c>
      <c r="F1028" s="617">
        <v>2021</v>
      </c>
      <c r="G1028" s="620"/>
      <c r="H1028" s="119"/>
    </row>
    <row r="1029" spans="1:8" x14ac:dyDescent="0.25">
      <c r="A1029" s="309" t="s">
        <v>153</v>
      </c>
      <c r="B1029" s="310"/>
      <c r="C1029" s="310"/>
      <c r="D1029" s="310"/>
      <c r="E1029" s="310"/>
      <c r="F1029" s="310"/>
      <c r="G1029" s="311"/>
      <c r="H1029" s="119"/>
    </row>
    <row r="1030" spans="1:8" x14ac:dyDescent="0.25">
      <c r="A1030" s="317"/>
      <c r="B1030" s="125"/>
      <c r="C1030" s="125"/>
      <c r="D1030" s="125"/>
      <c r="E1030" s="125"/>
      <c r="F1030" s="125"/>
      <c r="G1030" s="313"/>
      <c r="H1030" s="119"/>
    </row>
    <row r="1031" spans="1:8" x14ac:dyDescent="0.25">
      <c r="A1031" s="312" t="s">
        <v>154</v>
      </c>
      <c r="B1031" s="125"/>
      <c r="C1031" s="125"/>
      <c r="D1031" s="125"/>
      <c r="E1031" s="125"/>
      <c r="F1031" s="125"/>
      <c r="G1031" s="313"/>
      <c r="H1031" s="119"/>
    </row>
    <row r="1032" spans="1:8" x14ac:dyDescent="0.25">
      <c r="A1032" s="312" t="s">
        <v>155</v>
      </c>
      <c r="B1032" s="125"/>
      <c r="C1032" s="125"/>
      <c r="D1032" s="125"/>
      <c r="E1032" s="125"/>
      <c r="F1032" s="125"/>
      <c r="G1032" s="313"/>
      <c r="H1032" s="119"/>
    </row>
    <row r="1033" spans="1:8" x14ac:dyDescent="0.25">
      <c r="A1033" s="312" t="s">
        <v>156</v>
      </c>
      <c r="B1033" s="125"/>
      <c r="C1033" s="125"/>
      <c r="D1033" s="125"/>
      <c r="E1033" s="125"/>
      <c r="F1033" s="125"/>
      <c r="G1033" s="313"/>
      <c r="H1033" s="119"/>
    </row>
    <row r="1034" spans="1:8" x14ac:dyDescent="0.25">
      <c r="A1034" s="314" t="s">
        <v>411</v>
      </c>
      <c r="B1034" s="126"/>
      <c r="C1034" s="126"/>
      <c r="D1034" s="126"/>
      <c r="E1034" s="126"/>
      <c r="F1034" s="126"/>
      <c r="G1034" s="315"/>
      <c r="H1034" s="119"/>
    </row>
    <row r="1036" spans="1:8" x14ac:dyDescent="0.25">
      <c r="A1036" s="120" t="s">
        <v>15</v>
      </c>
      <c r="B1036" s="127" t="s">
        <v>157</v>
      </c>
      <c r="C1036" s="128" t="s">
        <v>17</v>
      </c>
      <c r="D1036" s="119"/>
      <c r="E1036" s="119"/>
      <c r="F1036" s="119"/>
      <c r="G1036" s="119"/>
      <c r="H1036" s="119"/>
    </row>
    <row r="1037" spans="1:8" x14ac:dyDescent="0.25">
      <c r="A1037" s="121" t="s">
        <v>18</v>
      </c>
      <c r="B1037" s="122"/>
      <c r="C1037" s="619">
        <v>2017</v>
      </c>
      <c r="D1037" s="615">
        <v>2018</v>
      </c>
      <c r="E1037" s="615">
        <v>2019</v>
      </c>
      <c r="F1037" s="617">
        <v>2020</v>
      </c>
      <c r="G1037" s="305"/>
      <c r="H1037" s="119"/>
    </row>
    <row r="1038" spans="1:8" x14ac:dyDescent="0.25">
      <c r="A1038" s="121" t="s">
        <v>19</v>
      </c>
      <c r="B1038" s="121"/>
      <c r="C1038" s="318">
        <v>100</v>
      </c>
      <c r="D1038" s="318">
        <v>100</v>
      </c>
      <c r="E1038" s="319">
        <v>100</v>
      </c>
      <c r="F1038" s="319">
        <v>100</v>
      </c>
      <c r="G1038" s="320"/>
      <c r="H1038" s="119"/>
    </row>
    <row r="1039" spans="1:8" x14ac:dyDescent="0.25">
      <c r="A1039" s="121" t="s">
        <v>20</v>
      </c>
      <c r="B1039" s="121"/>
      <c r="C1039" s="318">
        <v>99.94</v>
      </c>
      <c r="D1039" s="318">
        <v>99.94</v>
      </c>
      <c r="E1039" s="319">
        <v>99.94</v>
      </c>
      <c r="F1039" s="319">
        <v>99.94</v>
      </c>
      <c r="G1039" s="320"/>
      <c r="H1039" s="119"/>
    </row>
    <row r="1040" spans="1:8" x14ac:dyDescent="0.25">
      <c r="A1040" s="121" t="s">
        <v>21</v>
      </c>
      <c r="B1040" s="121"/>
      <c r="C1040" s="319"/>
      <c r="D1040" s="319"/>
      <c r="E1040" s="320"/>
      <c r="F1040" s="320"/>
      <c r="G1040" s="320"/>
      <c r="H1040" s="119"/>
    </row>
    <row r="1041" spans="1:8" x14ac:dyDescent="0.25">
      <c r="A1041" s="121" t="s">
        <v>22</v>
      </c>
      <c r="B1041" s="121"/>
      <c r="C1041" s="318">
        <v>0</v>
      </c>
      <c r="D1041" s="318">
        <v>0</v>
      </c>
      <c r="E1041" s="318">
        <v>0</v>
      </c>
      <c r="F1041" s="320"/>
      <c r="G1041" s="320"/>
      <c r="H1041" s="119"/>
    </row>
    <row r="1042" spans="1:8" x14ac:dyDescent="0.25">
      <c r="A1042" s="121" t="s">
        <v>23</v>
      </c>
      <c r="B1042" s="122"/>
      <c r="C1042" s="321">
        <v>99.94</v>
      </c>
      <c r="D1042" s="321">
        <v>99.94</v>
      </c>
      <c r="E1042" s="321">
        <v>99.94</v>
      </c>
      <c r="F1042" s="322"/>
      <c r="G1042" s="320"/>
      <c r="H1042" s="119"/>
    </row>
    <row r="1043" spans="1:8" x14ac:dyDescent="0.25">
      <c r="A1043" s="306" t="s">
        <v>24</v>
      </c>
      <c r="B1043" s="307"/>
      <c r="C1043" s="619">
        <v>2018</v>
      </c>
      <c r="D1043" s="615">
        <v>2019</v>
      </c>
      <c r="E1043" s="615">
        <v>2020</v>
      </c>
      <c r="F1043" s="617">
        <v>2021</v>
      </c>
      <c r="G1043" s="308"/>
      <c r="H1043" s="119"/>
    </row>
    <row r="1044" spans="1:8" x14ac:dyDescent="0.25">
      <c r="A1044" s="309" t="s">
        <v>158</v>
      </c>
      <c r="B1044" s="310"/>
      <c r="C1044" s="310"/>
      <c r="D1044" s="310"/>
      <c r="E1044" s="310"/>
      <c r="F1044" s="310"/>
      <c r="G1044" s="311"/>
      <c r="H1044" s="119"/>
    </row>
    <row r="1045" spans="1:8" x14ac:dyDescent="0.25">
      <c r="A1045" s="312"/>
      <c r="B1045" s="125"/>
      <c r="C1045" s="125"/>
      <c r="D1045" s="125"/>
      <c r="E1045" s="125"/>
      <c r="F1045" s="125"/>
      <c r="G1045" s="313"/>
      <c r="H1045" s="119"/>
    </row>
    <row r="1046" spans="1:8" x14ac:dyDescent="0.25">
      <c r="A1046" s="312" t="s">
        <v>159</v>
      </c>
      <c r="B1046" s="125"/>
      <c r="C1046" s="125"/>
      <c r="D1046" s="125"/>
      <c r="E1046" s="125"/>
      <c r="F1046" s="125"/>
      <c r="G1046" s="313"/>
      <c r="H1046" s="119"/>
    </row>
    <row r="1047" spans="1:8" x14ac:dyDescent="0.25">
      <c r="A1047" s="312" t="s">
        <v>160</v>
      </c>
      <c r="B1047" s="125"/>
      <c r="C1047" s="125"/>
      <c r="D1047" s="125"/>
      <c r="E1047" s="125"/>
      <c r="F1047" s="125"/>
      <c r="G1047" s="313"/>
      <c r="H1047" s="119"/>
    </row>
    <row r="1048" spans="1:8" x14ac:dyDescent="0.25">
      <c r="A1048" s="312" t="s">
        <v>161</v>
      </c>
      <c r="B1048" s="125"/>
      <c r="C1048" s="125"/>
      <c r="D1048" s="125"/>
      <c r="E1048" s="125"/>
      <c r="F1048" s="125"/>
      <c r="G1048" s="313"/>
      <c r="H1048" s="119"/>
    </row>
    <row r="1049" spans="1:8" x14ac:dyDescent="0.25">
      <c r="A1049" s="314" t="s">
        <v>412</v>
      </c>
      <c r="B1049" s="126"/>
      <c r="C1049" s="126"/>
      <c r="D1049" s="126"/>
      <c r="E1049" s="126"/>
      <c r="F1049" s="126"/>
      <c r="G1049" s="315"/>
      <c r="H1049" s="119"/>
    </row>
    <row r="1051" spans="1:8" x14ac:dyDescent="0.25">
      <c r="A1051" s="120" t="s">
        <v>15</v>
      </c>
      <c r="B1051" s="127" t="s">
        <v>162</v>
      </c>
      <c r="C1051" s="128" t="s">
        <v>17</v>
      </c>
      <c r="D1051" s="119"/>
      <c r="E1051" s="119"/>
      <c r="F1051" s="119"/>
    </row>
    <row r="1052" spans="1:8" x14ac:dyDescent="0.25">
      <c r="A1052" s="121" t="s">
        <v>18</v>
      </c>
      <c r="B1052" s="122"/>
      <c r="C1052" s="610">
        <v>2016</v>
      </c>
      <c r="D1052" s="613">
        <v>2017</v>
      </c>
      <c r="E1052" s="612">
        <v>2018</v>
      </c>
      <c r="F1052" s="613">
        <v>2019</v>
      </c>
      <c r="G1052" s="580">
        <v>2020</v>
      </c>
    </row>
    <row r="1053" spans="1:8" x14ac:dyDescent="0.25">
      <c r="A1053" s="121" t="s">
        <v>19</v>
      </c>
      <c r="B1053" s="122"/>
      <c r="C1053" s="123">
        <v>1083.79</v>
      </c>
      <c r="D1053" s="123">
        <v>1083.79</v>
      </c>
      <c r="E1053" s="130">
        <v>1272.8599999999999</v>
      </c>
      <c r="F1053" s="129">
        <v>1272.8599999999999</v>
      </c>
      <c r="G1053" s="142">
        <v>1272.8599999999999</v>
      </c>
    </row>
    <row r="1054" spans="1:8" x14ac:dyDescent="0.25">
      <c r="A1054" s="121" t="s">
        <v>20</v>
      </c>
      <c r="B1054" s="122"/>
      <c r="C1054" s="123">
        <v>1192.17</v>
      </c>
      <c r="D1054" s="123">
        <v>1192.17</v>
      </c>
      <c r="E1054" s="124">
        <v>1381.24</v>
      </c>
      <c r="F1054" s="129">
        <v>1400.15</v>
      </c>
      <c r="G1054" s="142">
        <v>1400.15</v>
      </c>
    </row>
    <row r="1055" spans="1:8" x14ac:dyDescent="0.25">
      <c r="A1055" s="121" t="s">
        <v>21</v>
      </c>
      <c r="B1055" s="122"/>
      <c r="C1055" s="124"/>
      <c r="D1055" s="131"/>
      <c r="E1055" s="122"/>
      <c r="F1055" s="131"/>
      <c r="G1055" s="142"/>
    </row>
    <row r="1056" spans="1:8" x14ac:dyDescent="0.25">
      <c r="A1056" s="121" t="s">
        <v>22</v>
      </c>
      <c r="B1056" s="122"/>
      <c r="C1056" s="123">
        <v>1025.0999999999999</v>
      </c>
      <c r="D1056" s="129">
        <v>996.8</v>
      </c>
      <c r="E1056" s="316">
        <v>1028.26</v>
      </c>
      <c r="F1056" s="131">
        <v>1190.78</v>
      </c>
      <c r="G1056" s="142"/>
    </row>
    <row r="1057" spans="1:7" x14ac:dyDescent="0.25">
      <c r="A1057" s="121" t="s">
        <v>23</v>
      </c>
      <c r="B1057" s="122"/>
      <c r="C1057" s="123">
        <f>C1054-C1056</f>
        <v>167.07000000000016</v>
      </c>
      <c r="D1057" s="123">
        <f t="shared" ref="D1057:F1057" si="21">D1054-D1056</f>
        <v>195.37000000000012</v>
      </c>
      <c r="E1057" s="333">
        <f t="shared" si="21"/>
        <v>352.98</v>
      </c>
      <c r="F1057" s="123">
        <f t="shared" si="21"/>
        <v>209.37000000000012</v>
      </c>
      <c r="G1057" s="142"/>
    </row>
    <row r="1058" spans="1:7" x14ac:dyDescent="0.25">
      <c r="A1058" s="306" t="s">
        <v>24</v>
      </c>
      <c r="B1058" s="307"/>
      <c r="C1058" s="615">
        <v>2017</v>
      </c>
      <c r="D1058" s="617">
        <v>2018</v>
      </c>
      <c r="E1058" s="615">
        <v>2019</v>
      </c>
      <c r="F1058" s="617">
        <v>2020</v>
      </c>
      <c r="G1058" s="211"/>
    </row>
    <row r="1059" spans="1:7" x14ac:dyDescent="0.25">
      <c r="A1059" s="545" t="s">
        <v>163</v>
      </c>
      <c r="B1059" s="546"/>
      <c r="C1059" s="546"/>
      <c r="D1059" s="546"/>
      <c r="E1059" s="546"/>
      <c r="F1059" s="547"/>
      <c r="G1059" s="332"/>
    </row>
    <row r="1060" spans="1:7" x14ac:dyDescent="0.25">
      <c r="A1060" s="551" t="s">
        <v>164</v>
      </c>
      <c r="B1060" s="552"/>
      <c r="C1060" s="552"/>
      <c r="D1060" s="552"/>
      <c r="E1060" s="552"/>
      <c r="F1060" s="553"/>
      <c r="G1060" s="140"/>
    </row>
    <row r="1061" spans="1:7" x14ac:dyDescent="0.25">
      <c r="A1061" s="551" t="s">
        <v>165</v>
      </c>
      <c r="B1061" s="552"/>
      <c r="C1061" s="552"/>
      <c r="D1061" s="552"/>
      <c r="E1061" s="552"/>
      <c r="F1061" s="553"/>
      <c r="G1061" s="140"/>
    </row>
    <row r="1062" spans="1:7" x14ac:dyDescent="0.25">
      <c r="A1062" s="551" t="s">
        <v>166</v>
      </c>
      <c r="B1062" s="552"/>
      <c r="C1062" s="552"/>
      <c r="D1062" s="552"/>
      <c r="E1062" s="552"/>
      <c r="F1062" s="553"/>
      <c r="G1062" s="140"/>
    </row>
    <row r="1063" spans="1:7" x14ac:dyDescent="0.25">
      <c r="A1063" s="533" t="s">
        <v>413</v>
      </c>
      <c r="B1063" s="534"/>
      <c r="C1063" s="534"/>
      <c r="D1063" s="534"/>
      <c r="E1063" s="534"/>
      <c r="F1063" s="535"/>
      <c r="G1063" s="170"/>
    </row>
  </sheetData>
  <mergeCells count="69">
    <mergeCell ref="A901:E901"/>
    <mergeCell ref="D896:E896"/>
    <mergeCell ref="A968:G968"/>
    <mergeCell ref="A988:H988"/>
    <mergeCell ref="A1061:F1061"/>
    <mergeCell ref="A978:H978"/>
    <mergeCell ref="A659:M659"/>
    <mergeCell ref="A967:G967"/>
    <mergeCell ref="A784:I784"/>
    <mergeCell ref="A823:F823"/>
    <mergeCell ref="A727:H727"/>
    <mergeCell ref="A916:F916"/>
    <mergeCell ref="A799:F799"/>
    <mergeCell ref="A915:F915"/>
    <mergeCell ref="A836:I836"/>
    <mergeCell ref="A900:E900"/>
    <mergeCell ref="A1060:F1060"/>
    <mergeCell ref="A774:I774"/>
    <mergeCell ref="A929:F929"/>
    <mergeCell ref="A1063:F1063"/>
    <mergeCell ref="A930:F930"/>
    <mergeCell ref="A917:F917"/>
    <mergeCell ref="A557:N557"/>
    <mergeCell ref="A559:N559"/>
    <mergeCell ref="A580:N580"/>
    <mergeCell ref="A582:N582"/>
    <mergeCell ref="A1059:F1059"/>
    <mergeCell ref="A811:F811"/>
    <mergeCell ref="A1062:F1062"/>
    <mergeCell ref="A558:N558"/>
    <mergeCell ref="E45:F45"/>
    <mergeCell ref="E58:F58"/>
    <mergeCell ref="E70:F70"/>
    <mergeCell ref="E83:F83"/>
    <mergeCell ref="A105:G105"/>
    <mergeCell ref="A49:F49"/>
    <mergeCell ref="A50:F50"/>
    <mergeCell ref="A798:F798"/>
    <mergeCell ref="A400:H400"/>
    <mergeCell ref="A410:H410"/>
    <mergeCell ref="A717:H717"/>
    <mergeCell ref="A737:H737"/>
    <mergeCell ref="A487:H487"/>
    <mergeCell ref="A437:I437"/>
    <mergeCell ref="A447:I447"/>
    <mergeCell ref="A457:I457"/>
    <mergeCell ref="A511:F511"/>
    <mergeCell ref="A467:I467"/>
    <mergeCell ref="A477:I477"/>
    <mergeCell ref="A497:I497"/>
    <mergeCell ref="A707:H707"/>
    <mergeCell ref="A581:N581"/>
    <mergeCell ref="A115:G115"/>
    <mergeCell ref="A126:G126"/>
    <mergeCell ref="A137:G137"/>
    <mergeCell ref="A148:G148"/>
    <mergeCell ref="A425:G425"/>
    <mergeCell ref="A311:F311"/>
    <mergeCell ref="A323:F323"/>
    <mergeCell ref="A337:F337"/>
    <mergeCell ref="A387:F387"/>
    <mergeCell ref="A326:G326"/>
    <mergeCell ref="A338:F338"/>
    <mergeCell ref="A375:F375"/>
    <mergeCell ref="A218:L218"/>
    <mergeCell ref="A300:G300"/>
    <mergeCell ref="A298:G298"/>
    <mergeCell ref="A158:F158"/>
    <mergeCell ref="A159:G159"/>
  </mergeCells>
  <phoneticPr fontId="23" type="noConversion"/>
  <pageMargins left="0.7" right="0.7" top="0.75" bottom="0.75" header="0.3" footer="0.3"/>
  <pageSetup paperSize="9" orientation="portrait" r:id="rId1"/>
  <ignoredErrors>
    <ignoredError sqref="F877 D842" formula="1"/>
    <ignoredError sqref="H973 H98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2020-10-15T09:02:29Z</dcterms:modified>
</cp:coreProperties>
</file>