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5_SharedDocs\eForms\WEB\"/>
    </mc:Choice>
  </mc:AlternateContent>
  <xr:revisionPtr revIDLastSave="0" documentId="13_ncr:1_{07B3A42C-8990-4BA7-AC34-ED1CDC7C4B5A}" xr6:coauthVersionLast="47" xr6:coauthVersionMax="47" xr10:uidLastSave="{00000000-0000-0000-0000-000000000000}"/>
  <workbookProtection workbookAlgorithmName="SHA-512" workbookHashValue="lB2QvvVSP7Ep83TxZHnYWtCHpaVxTo6Qi+ltDFjW14KSwDRwi8JF3EBrsTFp4t764SjfeXeMNBhqEE463+RebA==" workbookSaltValue="4yuvAKrSKc2x1/cutlGW6g==" workbookSpinCount="100000" lockStructure="1"/>
  <bookViews>
    <workbookView xWindow="28680" yWindow="-120" windowWidth="29040" windowHeight="15720" xr2:uid="{00000000-000D-0000-FFFF-FFFF00000000}"/>
  </bookViews>
  <sheets>
    <sheet name="CP11 (IUU Vessels)" sheetId="5" r:id="rId1"/>
    <sheet name="Codes" sheetId="8" r:id="rId2"/>
    <sheet name="Instructions" sheetId="12" r:id="rId3"/>
    <sheet name="Translation" sheetId="9" state="veryHidden" r:id="rId4"/>
  </sheets>
  <definedNames>
    <definedName name="_xlnm._FilterDatabase" localSheetId="1" hidden="1">Codes!$B$2:$D$153</definedName>
    <definedName name="_xlnm._FilterDatabase" localSheetId="3" hidden="1">Translation!$C$4:$E$57</definedName>
    <definedName name="AreaCode">Codes!$F$43:$F$61</definedName>
    <definedName name="FlagA2ISO">Codes!$D$3:$D$178</definedName>
    <definedName name="FlagCod">Codes!$B$3:$B$178</definedName>
    <definedName name="FlagName">Codes!$A$3:$A$178</definedName>
    <definedName name="fmtLatitude">Codes!$M$4</definedName>
    <definedName name="fmtLongitude">Codes!$M$7</definedName>
    <definedName name="GearCode">Codes!$F$10:$F$23</definedName>
    <definedName name="Idiom">'CP11 (IUU Vessels)'!$O$2</definedName>
    <definedName name="InfringementCode">Codes!$J$3:$J$14</definedName>
    <definedName name="LangFieldID">Translation!$H$1</definedName>
    <definedName name="LangNameID">Translation!$H$2</definedName>
    <definedName name="RFMOCode">Codes!$F$28:$F$38</definedName>
    <definedName name="Status">Codes!$C$3:$C$178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5" l="1"/>
  <c r="G46" i="12" l="1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O23" i="5" l="1"/>
  <c r="N23" i="5"/>
  <c r="M23" i="5"/>
  <c r="T23" i="5"/>
  <c r="S23" i="5"/>
  <c r="J23" i="5" l="1"/>
  <c r="K23" i="5"/>
  <c r="L23" i="5"/>
  <c r="I23" i="5"/>
  <c r="U23" i="5"/>
  <c r="V23" i="5"/>
  <c r="W23" i="5"/>
  <c r="R23" i="5" l="1"/>
  <c r="Q23" i="5"/>
  <c r="P23" i="5"/>
  <c r="H23" i="5"/>
  <c r="G23" i="5"/>
  <c r="F23" i="5"/>
  <c r="D23" i="5"/>
  <c r="C23" i="5"/>
  <c r="A23" i="5"/>
  <c r="I10" i="5" l="1"/>
  <c r="B23" i="5" l="1"/>
  <c r="H2" i="9" l="1"/>
  <c r="H1" i="9"/>
  <c r="E36" i="12" l="1"/>
  <c r="D18" i="12"/>
  <c r="F14" i="12"/>
  <c r="F11" i="12"/>
  <c r="R22" i="5"/>
  <c r="F22" i="5"/>
  <c r="M20" i="5"/>
  <c r="F5" i="5"/>
  <c r="F43" i="12"/>
  <c r="D36" i="12"/>
  <c r="F32" i="12"/>
  <c r="B11" i="12"/>
  <c r="Q22" i="5"/>
  <c r="E22" i="5"/>
  <c r="A20" i="5"/>
  <c r="A5" i="5"/>
  <c r="J4" i="5"/>
  <c r="A9" i="12"/>
  <c r="F46" i="12"/>
  <c r="F39" i="12"/>
  <c r="F28" i="12"/>
  <c r="F24" i="12"/>
  <c r="F21" i="12"/>
  <c r="A11" i="12"/>
  <c r="P22" i="5"/>
  <c r="D22" i="5"/>
  <c r="A19" i="5"/>
  <c r="F18" i="12"/>
  <c r="D46" i="12"/>
  <c r="E24" i="12"/>
  <c r="F17" i="12"/>
  <c r="F13" i="12"/>
  <c r="H10" i="12"/>
  <c r="O22" i="5"/>
  <c r="C22" i="5"/>
  <c r="A11" i="5"/>
  <c r="A4" i="5"/>
  <c r="C24" i="12"/>
  <c r="C13" i="12"/>
  <c r="M22" i="5"/>
  <c r="A10" i="5"/>
  <c r="E10" i="12"/>
  <c r="A7" i="5"/>
  <c r="M21" i="5"/>
  <c r="T22" i="5"/>
  <c r="J5" i="5"/>
  <c r="F42" i="12"/>
  <c r="F35" i="12"/>
  <c r="F31" i="12"/>
  <c r="D24" i="12"/>
  <c r="D13" i="12"/>
  <c r="G10" i="12"/>
  <c r="N22" i="5"/>
  <c r="B22" i="5"/>
  <c r="J10" i="5"/>
  <c r="B2" i="5"/>
  <c r="F27" i="12"/>
  <c r="F10" i="12"/>
  <c r="A22" i="5"/>
  <c r="U21" i="5"/>
  <c r="N1" i="5"/>
  <c r="V22" i="5"/>
  <c r="H22" i="5"/>
  <c r="W20" i="5"/>
  <c r="F38" i="12"/>
  <c r="E31" i="12"/>
  <c r="F20" i="12"/>
  <c r="A2" i="12"/>
  <c r="O1" i="5"/>
  <c r="R21" i="5"/>
  <c r="J22" i="5"/>
  <c r="A10" i="12"/>
  <c r="F45" i="12"/>
  <c r="F16" i="12"/>
  <c r="B13" i="12"/>
  <c r="L22" i="5"/>
  <c r="J8" i="5"/>
  <c r="F23" i="12"/>
  <c r="J6" i="5"/>
  <c r="F29" i="12"/>
  <c r="F41" i="12"/>
  <c r="F34" i="12"/>
  <c r="D10" i="12"/>
  <c r="W22" i="5"/>
  <c r="K22" i="5"/>
  <c r="F19" i="12"/>
  <c r="A1" i="5"/>
  <c r="A6" i="5"/>
  <c r="G22" i="5"/>
  <c r="E41" i="12"/>
  <c r="F37" i="12"/>
  <c r="F30" i="12"/>
  <c r="F26" i="12"/>
  <c r="C10" i="12"/>
  <c r="F25" i="12"/>
  <c r="F44" i="12"/>
  <c r="F15" i="12"/>
  <c r="F12" i="12"/>
  <c r="B10" i="12"/>
  <c r="U22" i="5"/>
  <c r="I22" i="5"/>
  <c r="H21" i="5"/>
  <c r="F6" i="5"/>
  <c r="F33" i="12"/>
  <c r="A21" i="5"/>
  <c r="S22" i="5"/>
  <c r="E44" i="12"/>
  <c r="F40" i="12"/>
  <c r="F36" i="12"/>
  <c r="F22" i="12"/>
  <c r="H46" i="12"/>
  <c r="H39" i="12"/>
  <c r="H28" i="12"/>
  <c r="H24" i="12"/>
  <c r="H21" i="12"/>
  <c r="B7" i="12"/>
  <c r="H17" i="12"/>
  <c r="H13" i="12"/>
  <c r="B6" i="12"/>
  <c r="H42" i="12"/>
  <c r="H35" i="12"/>
  <c r="H31" i="12"/>
  <c r="B5" i="12"/>
  <c r="H38" i="12"/>
  <c r="H27" i="12"/>
  <c r="H20" i="12"/>
  <c r="B4" i="12"/>
  <c r="H45" i="12"/>
  <c r="H16" i="12"/>
  <c r="B3" i="12"/>
  <c r="B1" i="5"/>
  <c r="H41" i="12"/>
  <c r="H34" i="12"/>
  <c r="A1" i="12"/>
  <c r="H37" i="12"/>
  <c r="H30" i="12"/>
  <c r="H26" i="12"/>
  <c r="H23" i="12"/>
  <c r="H19" i="12"/>
  <c r="H44" i="12"/>
  <c r="H15" i="12"/>
  <c r="H12" i="12"/>
  <c r="H33" i="12"/>
  <c r="H40" i="12"/>
  <c r="H36" i="12"/>
  <c r="H29" i="12"/>
  <c r="H25" i="12"/>
  <c r="H22" i="12"/>
  <c r="H18" i="12"/>
  <c r="H14" i="12"/>
  <c r="H11" i="12"/>
  <c r="H43" i="12"/>
  <c r="H32" i="12"/>
  <c r="I4" i="5"/>
  <c r="J9" i="5" s="1"/>
  <c r="E23" i="5" l="1"/>
</calcChain>
</file>

<file path=xl/sharedStrings.xml><?xml version="1.0" encoding="utf-8"?>
<sst xmlns="http://schemas.openxmlformats.org/spreadsheetml/2006/main" count="1679" uniqueCount="1084">
  <si>
    <t>Name</t>
  </si>
  <si>
    <t>Phone</t>
  </si>
  <si>
    <t>Email</t>
  </si>
  <si>
    <t>Address</t>
  </si>
  <si>
    <t>Header</t>
  </si>
  <si>
    <t xml:space="preserve">Characteristics </t>
  </si>
  <si>
    <t>TO</t>
  </si>
  <si>
    <t>DO</t>
  </si>
  <si>
    <t>LL</t>
  </si>
  <si>
    <t>LT</t>
  </si>
  <si>
    <t>FO</t>
  </si>
  <si>
    <t>TW</t>
  </si>
  <si>
    <t>AU</t>
  </si>
  <si>
    <t>SV</t>
  </si>
  <si>
    <t>PS</t>
  </si>
  <si>
    <t>FlagName</t>
  </si>
  <si>
    <t>FlagA2ISO</t>
  </si>
  <si>
    <t>USA</t>
  </si>
  <si>
    <t>US</t>
  </si>
  <si>
    <t>JPN</t>
  </si>
  <si>
    <t>Japan</t>
  </si>
  <si>
    <t>JP</t>
  </si>
  <si>
    <t>ZAF</t>
  </si>
  <si>
    <t>South Africa</t>
  </si>
  <si>
    <t>ZA</t>
  </si>
  <si>
    <t>GHA</t>
  </si>
  <si>
    <t>Ghana</t>
  </si>
  <si>
    <t>GH</t>
  </si>
  <si>
    <t>CAN</t>
  </si>
  <si>
    <t>Canada</t>
  </si>
  <si>
    <t>CA</t>
  </si>
  <si>
    <t>PM</t>
  </si>
  <si>
    <t>BRA</t>
  </si>
  <si>
    <t>Brazil</t>
  </si>
  <si>
    <t>BR</t>
  </si>
  <si>
    <t>MAR</t>
  </si>
  <si>
    <t>Maroc</t>
  </si>
  <si>
    <t>MA</t>
  </si>
  <si>
    <t>KOR</t>
  </si>
  <si>
    <t>KR</t>
  </si>
  <si>
    <t>CIV</t>
  </si>
  <si>
    <t>CI</t>
  </si>
  <si>
    <t>AGO</t>
  </si>
  <si>
    <t>Angola</t>
  </si>
  <si>
    <t>AO</t>
  </si>
  <si>
    <t>RUS</t>
  </si>
  <si>
    <t>Russian Federation</t>
  </si>
  <si>
    <t>RU</t>
  </si>
  <si>
    <t>GAB</t>
  </si>
  <si>
    <t>Gabon</t>
  </si>
  <si>
    <t>GA</t>
  </si>
  <si>
    <t>CPV</t>
  </si>
  <si>
    <t>Cape Verde</t>
  </si>
  <si>
    <t>CV</t>
  </si>
  <si>
    <t>URY</t>
  </si>
  <si>
    <t>Uruguay</t>
  </si>
  <si>
    <t>UY</t>
  </si>
  <si>
    <t>STP</t>
  </si>
  <si>
    <t>ST</t>
  </si>
  <si>
    <t>VEN</t>
  </si>
  <si>
    <t>Venezuela</t>
  </si>
  <si>
    <t>VE</t>
  </si>
  <si>
    <t>GNQ</t>
  </si>
  <si>
    <t>Guinea Ecuatorial</t>
  </si>
  <si>
    <t>GQ</t>
  </si>
  <si>
    <t>GIN</t>
  </si>
  <si>
    <t>GN</t>
  </si>
  <si>
    <t>SH</t>
  </si>
  <si>
    <t>BM</t>
  </si>
  <si>
    <t>TC</t>
  </si>
  <si>
    <t>VG</t>
  </si>
  <si>
    <t>LBY</t>
  </si>
  <si>
    <t>Libya</t>
  </si>
  <si>
    <t>LY</t>
  </si>
  <si>
    <t>CHN</t>
  </si>
  <si>
    <t>CN</t>
  </si>
  <si>
    <t>HR</t>
  </si>
  <si>
    <t>DK</t>
  </si>
  <si>
    <t>FR</t>
  </si>
  <si>
    <t>DE</t>
  </si>
  <si>
    <t>GR</t>
  </si>
  <si>
    <t>IT</t>
  </si>
  <si>
    <t>MT</t>
  </si>
  <si>
    <t>ES</t>
  </si>
  <si>
    <t>SE</t>
  </si>
  <si>
    <t>BG</t>
  </si>
  <si>
    <t>CY</t>
  </si>
  <si>
    <t>IE</t>
  </si>
  <si>
    <t>NL</t>
  </si>
  <si>
    <t>GB</t>
  </si>
  <si>
    <t>EE</t>
  </si>
  <si>
    <t>LV</t>
  </si>
  <si>
    <t>BE</t>
  </si>
  <si>
    <t>SI</t>
  </si>
  <si>
    <t>HU</t>
  </si>
  <si>
    <t>TUN</t>
  </si>
  <si>
    <t>Tunisie</t>
  </si>
  <si>
    <t>TN</t>
  </si>
  <si>
    <t>PAN</t>
  </si>
  <si>
    <t>Panama</t>
  </si>
  <si>
    <t>PA</t>
  </si>
  <si>
    <t>TTO</t>
  </si>
  <si>
    <t>Trinidad and Tobago</t>
  </si>
  <si>
    <t>TT</t>
  </si>
  <si>
    <t>NAM</t>
  </si>
  <si>
    <t>Namibia</t>
  </si>
  <si>
    <t>NA</t>
  </si>
  <si>
    <t>BRB</t>
  </si>
  <si>
    <t>Barbados</t>
  </si>
  <si>
    <t>BB</t>
  </si>
  <si>
    <t>HND</t>
  </si>
  <si>
    <t>Honduras</t>
  </si>
  <si>
    <t>HN</t>
  </si>
  <si>
    <t>DZA</t>
  </si>
  <si>
    <t>Algerie</t>
  </si>
  <si>
    <t>DZ</t>
  </si>
  <si>
    <t>MEX</t>
  </si>
  <si>
    <t>Mexico</t>
  </si>
  <si>
    <t>MX</t>
  </si>
  <si>
    <t>VUT</t>
  </si>
  <si>
    <t>Vanuatu</t>
  </si>
  <si>
    <t>VU</t>
  </si>
  <si>
    <t>ISL</t>
  </si>
  <si>
    <t>Iceland</t>
  </si>
  <si>
    <t>IS</t>
  </si>
  <si>
    <t>TUR</t>
  </si>
  <si>
    <t>TR</t>
  </si>
  <si>
    <t>PHL</t>
  </si>
  <si>
    <t>Philippines</t>
  </si>
  <si>
    <t>PH</t>
  </si>
  <si>
    <t>NOR</t>
  </si>
  <si>
    <t>Norway</t>
  </si>
  <si>
    <t>NO</t>
  </si>
  <si>
    <t>NIC</t>
  </si>
  <si>
    <t>Nicaragua</t>
  </si>
  <si>
    <t>NI</t>
  </si>
  <si>
    <t>GTM</t>
  </si>
  <si>
    <t>Guatemala</t>
  </si>
  <si>
    <t>GT</t>
  </si>
  <si>
    <t>SEN</t>
  </si>
  <si>
    <t>Senegal</t>
  </si>
  <si>
    <t>SN</t>
  </si>
  <si>
    <t>BLZ</t>
  </si>
  <si>
    <t>Belize</t>
  </si>
  <si>
    <t>BZ</t>
  </si>
  <si>
    <t>SYR</t>
  </si>
  <si>
    <t>SY</t>
  </si>
  <si>
    <t>VCT</t>
  </si>
  <si>
    <t>VC</t>
  </si>
  <si>
    <t>EGY</t>
  </si>
  <si>
    <t>Egypt</t>
  </si>
  <si>
    <t>EG</t>
  </si>
  <si>
    <t>ALB</t>
  </si>
  <si>
    <t>Albania</t>
  </si>
  <si>
    <t>AL</t>
  </si>
  <si>
    <t>SLE</t>
  </si>
  <si>
    <t>Sierra Leone</t>
  </si>
  <si>
    <t>SL</t>
  </si>
  <si>
    <t>TAI</t>
  </si>
  <si>
    <t>Chinese Taipei</t>
  </si>
  <si>
    <t>GUY</t>
  </si>
  <si>
    <t>Guyana</t>
  </si>
  <si>
    <t>GY</t>
  </si>
  <si>
    <t>Curaçao</t>
  </si>
  <si>
    <t>KNA</t>
  </si>
  <si>
    <t>Saint Kitts and Nevis</t>
  </si>
  <si>
    <t>KN</t>
  </si>
  <si>
    <t>ARG</t>
  </si>
  <si>
    <t>Argentina</t>
  </si>
  <si>
    <t>AR</t>
  </si>
  <si>
    <t>CUB</t>
  </si>
  <si>
    <t>Cuba</t>
  </si>
  <si>
    <t>CU</t>
  </si>
  <si>
    <t>GRD</t>
  </si>
  <si>
    <t>Grenada</t>
  </si>
  <si>
    <t>GD</t>
  </si>
  <si>
    <t>DOM</t>
  </si>
  <si>
    <t>Dominican Republic</t>
  </si>
  <si>
    <t>ISR</t>
  </si>
  <si>
    <t>Israel</t>
  </si>
  <si>
    <t>IL</t>
  </si>
  <si>
    <t>LBN</t>
  </si>
  <si>
    <t>Lebanon</t>
  </si>
  <si>
    <t>LB</t>
  </si>
  <si>
    <t>VIR</t>
  </si>
  <si>
    <t>US Virgin Islands</t>
  </si>
  <si>
    <t>VI</t>
  </si>
  <si>
    <t>LBR</t>
  </si>
  <si>
    <t>Liberia</t>
  </si>
  <si>
    <t>LR</t>
  </si>
  <si>
    <t>PRI</t>
  </si>
  <si>
    <t>Puerto Rico</t>
  </si>
  <si>
    <t>PR</t>
  </si>
  <si>
    <t>COL</t>
  </si>
  <si>
    <t>Colombia</t>
  </si>
  <si>
    <t>CO</t>
  </si>
  <si>
    <t>BEN</t>
  </si>
  <si>
    <t>Benin</t>
  </si>
  <si>
    <t>BJ</t>
  </si>
  <si>
    <t>COG</t>
  </si>
  <si>
    <t>Congo</t>
  </si>
  <si>
    <t>CG</t>
  </si>
  <si>
    <t>TGO</t>
  </si>
  <si>
    <t>Togo</t>
  </si>
  <si>
    <t>TG</t>
  </si>
  <si>
    <t>CYM</t>
  </si>
  <si>
    <t>Cayman Islands</t>
  </si>
  <si>
    <t>KY</t>
  </si>
  <si>
    <t>LCA</t>
  </si>
  <si>
    <t>LC</t>
  </si>
  <si>
    <t>MRT</t>
  </si>
  <si>
    <t>Mauritania</t>
  </si>
  <si>
    <t>MR</t>
  </si>
  <si>
    <t>CMR</t>
  </si>
  <si>
    <t>Cameroon</t>
  </si>
  <si>
    <t>CM</t>
  </si>
  <si>
    <t>NGA</t>
  </si>
  <si>
    <t>Nigeria</t>
  </si>
  <si>
    <t>NG</t>
  </si>
  <si>
    <t>ABW</t>
  </si>
  <si>
    <t>Aruba</t>
  </si>
  <si>
    <t>AW</t>
  </si>
  <si>
    <t>GNB</t>
  </si>
  <si>
    <t>Guinea Bissau</t>
  </si>
  <si>
    <t>GW</t>
  </si>
  <si>
    <t>UKR</t>
  </si>
  <si>
    <t>Ukraine</t>
  </si>
  <si>
    <t>UA</t>
  </si>
  <si>
    <t>ATG</t>
  </si>
  <si>
    <t>Antigua and Barbuda</t>
  </si>
  <si>
    <t>AG</t>
  </si>
  <si>
    <t>JAM</t>
  </si>
  <si>
    <t>Jamaica</t>
  </si>
  <si>
    <t>JM</t>
  </si>
  <si>
    <t>DMA</t>
  </si>
  <si>
    <t>Dominica</t>
  </si>
  <si>
    <t>DM</t>
  </si>
  <si>
    <t>CRI</t>
  </si>
  <si>
    <t>Costa Rica</t>
  </si>
  <si>
    <t>CR</t>
  </si>
  <si>
    <t>GEO</t>
  </si>
  <si>
    <t>Georgia</t>
  </si>
  <si>
    <t>GE</t>
  </si>
  <si>
    <t>GMB</t>
  </si>
  <si>
    <t>Gambia</t>
  </si>
  <si>
    <t>GM</t>
  </si>
  <si>
    <t>BLR</t>
  </si>
  <si>
    <t>Belarus</t>
  </si>
  <si>
    <t>BY</t>
  </si>
  <si>
    <t>FRO</t>
  </si>
  <si>
    <t>Faroe Islands</t>
  </si>
  <si>
    <t>KHM</t>
  </si>
  <si>
    <t>Cambodia</t>
  </si>
  <si>
    <t>KH</t>
  </si>
  <si>
    <t>SYC</t>
  </si>
  <si>
    <t>Seychelles</t>
  </si>
  <si>
    <t>SC</t>
  </si>
  <si>
    <t>MUS</t>
  </si>
  <si>
    <t>Mauritius</t>
  </si>
  <si>
    <t>MU</t>
  </si>
  <si>
    <t>IND</t>
  </si>
  <si>
    <t>India</t>
  </si>
  <si>
    <t>IN</t>
  </si>
  <si>
    <t>IRN</t>
  </si>
  <si>
    <t>IR</t>
  </si>
  <si>
    <t>MYS</t>
  </si>
  <si>
    <t>Malaysia</t>
  </si>
  <si>
    <t>MY</t>
  </si>
  <si>
    <t>SLV</t>
  </si>
  <si>
    <t>El Salvador</t>
  </si>
  <si>
    <t>AIA</t>
  </si>
  <si>
    <t>Anguilla</t>
  </si>
  <si>
    <t>AI</t>
  </si>
  <si>
    <t>THA</t>
  </si>
  <si>
    <t>Thailand</t>
  </si>
  <si>
    <t>TH</t>
  </si>
  <si>
    <t>CHL</t>
  </si>
  <si>
    <t>Chile</t>
  </si>
  <si>
    <t>CL</t>
  </si>
  <si>
    <t>BHS</t>
  </si>
  <si>
    <t>Bahamas</t>
  </si>
  <si>
    <t>BS</t>
  </si>
  <si>
    <t>SUR</t>
  </si>
  <si>
    <t>Suriname</t>
  </si>
  <si>
    <t>SR</t>
  </si>
  <si>
    <t>ECU</t>
  </si>
  <si>
    <t>Ecuador</t>
  </si>
  <si>
    <t>EC</t>
  </si>
  <si>
    <t>AUS</t>
  </si>
  <si>
    <t>Australia</t>
  </si>
  <si>
    <t>FJI</t>
  </si>
  <si>
    <t>Fiji Islands</t>
  </si>
  <si>
    <t>FJ</t>
  </si>
  <si>
    <t>GUM</t>
  </si>
  <si>
    <t>Guam</t>
  </si>
  <si>
    <t>GU</t>
  </si>
  <si>
    <t>IDN</t>
  </si>
  <si>
    <t>Indonesia</t>
  </si>
  <si>
    <t>ID</t>
  </si>
  <si>
    <t>KIR</t>
  </si>
  <si>
    <t>Kiribati</t>
  </si>
  <si>
    <t>KI</t>
  </si>
  <si>
    <t>MDV</t>
  </si>
  <si>
    <t>Maldives</t>
  </si>
  <si>
    <t>MV</t>
  </si>
  <si>
    <t>PNG</t>
  </si>
  <si>
    <t>Papua New Guinea</t>
  </si>
  <si>
    <t>PG</t>
  </si>
  <si>
    <t>LKA</t>
  </si>
  <si>
    <t>Sri Lanka</t>
  </si>
  <si>
    <t>LK</t>
  </si>
  <si>
    <t>VNM</t>
  </si>
  <si>
    <t>VN</t>
  </si>
  <si>
    <t>SGP</t>
  </si>
  <si>
    <t>Singapore</t>
  </si>
  <si>
    <t>SG</t>
  </si>
  <si>
    <t>OMN</t>
  </si>
  <si>
    <t>Oman</t>
  </si>
  <si>
    <t>OM</t>
  </si>
  <si>
    <t>NZL</t>
  </si>
  <si>
    <t>New Zealand</t>
  </si>
  <si>
    <t>NZ</t>
  </si>
  <si>
    <t>FSM</t>
  </si>
  <si>
    <t>Micronesia</t>
  </si>
  <si>
    <t>FM</t>
  </si>
  <si>
    <t>COK</t>
  </si>
  <si>
    <t>Cook Islands</t>
  </si>
  <si>
    <t>CK</t>
  </si>
  <si>
    <t>BOL</t>
  </si>
  <si>
    <t>Bolivia</t>
  </si>
  <si>
    <t>BO</t>
  </si>
  <si>
    <t>PLW</t>
  </si>
  <si>
    <t>Palau</t>
  </si>
  <si>
    <t>PW</t>
  </si>
  <si>
    <t>TON</t>
  </si>
  <si>
    <t>Tonga</t>
  </si>
  <si>
    <t>KEN</t>
  </si>
  <si>
    <t>Kenya</t>
  </si>
  <si>
    <t>KE</t>
  </si>
  <si>
    <t>PYF</t>
  </si>
  <si>
    <t>Polynesie Française</t>
  </si>
  <si>
    <t>PF</t>
  </si>
  <si>
    <t>PER</t>
  </si>
  <si>
    <t>PE</t>
  </si>
  <si>
    <t>CHE</t>
  </si>
  <si>
    <t>Switzerland</t>
  </si>
  <si>
    <t>CH</t>
  </si>
  <si>
    <t>TZA</t>
  </si>
  <si>
    <t>Tanzania</t>
  </si>
  <si>
    <t>TZ</t>
  </si>
  <si>
    <t>ARE</t>
  </si>
  <si>
    <t>United Arab Emirates</t>
  </si>
  <si>
    <t>AE</t>
  </si>
  <si>
    <t>HTI</t>
  </si>
  <si>
    <t>Haiti</t>
  </si>
  <si>
    <t>HT</t>
  </si>
  <si>
    <t>MDG</t>
  </si>
  <si>
    <t>Madagascar</t>
  </si>
  <si>
    <t>MG</t>
  </si>
  <si>
    <t>MOZ</t>
  </si>
  <si>
    <t>Mozambique</t>
  </si>
  <si>
    <t>MZ</t>
  </si>
  <si>
    <t>SLB</t>
  </si>
  <si>
    <t>Solomon Islands</t>
  </si>
  <si>
    <t>SB</t>
  </si>
  <si>
    <t>KWT</t>
  </si>
  <si>
    <t>Kuwait</t>
  </si>
  <si>
    <t>KW</t>
  </si>
  <si>
    <t>MHL</t>
  </si>
  <si>
    <t>Marshall Islands</t>
  </si>
  <si>
    <t>MH</t>
  </si>
  <si>
    <t>Section</t>
  </si>
  <si>
    <t>Detail</t>
  </si>
  <si>
    <t>Title</t>
  </si>
  <si>
    <t>Reporting Flag</t>
  </si>
  <si>
    <t>Reporting Agency</t>
  </si>
  <si>
    <t>Caractéristiques</t>
  </si>
  <si>
    <t>Características</t>
  </si>
  <si>
    <t>FieldID</t>
  </si>
  <si>
    <t>IRCS</t>
  </si>
  <si>
    <t>Nom</t>
  </si>
  <si>
    <t>Nombre</t>
  </si>
  <si>
    <t>Adresse</t>
  </si>
  <si>
    <t>Dirección</t>
  </si>
  <si>
    <t>T01</t>
  </si>
  <si>
    <t>Téléphone</t>
  </si>
  <si>
    <t>Teléfono</t>
  </si>
  <si>
    <t>Status</t>
  </si>
  <si>
    <t>CP</t>
  </si>
  <si>
    <t>NCC</t>
  </si>
  <si>
    <t>NCO</t>
  </si>
  <si>
    <t>China PR</t>
  </si>
  <si>
    <t>Iran</t>
  </si>
  <si>
    <t>Secretariat use only</t>
  </si>
  <si>
    <t>Agencia que informa</t>
  </si>
  <si>
    <t>Version</t>
  </si>
  <si>
    <t>Notes</t>
  </si>
  <si>
    <t>Remarques</t>
  </si>
  <si>
    <t>Notas</t>
  </si>
  <si>
    <t>Action requested</t>
  </si>
  <si>
    <t>Acción solicitada</t>
  </si>
  <si>
    <t>Vietnam</t>
  </si>
  <si>
    <t>Pavillon déclarant</t>
  </si>
  <si>
    <t>Agence déclarante</t>
  </si>
  <si>
    <t>Action sollicitée</t>
  </si>
  <si>
    <t>Pabellón que informa</t>
  </si>
  <si>
    <t>CUW</t>
  </si>
  <si>
    <t>CW</t>
  </si>
  <si>
    <t>FLK</t>
  </si>
  <si>
    <t>Falklands</t>
  </si>
  <si>
    <t>FK</t>
  </si>
  <si>
    <t>Syria</t>
  </si>
  <si>
    <t>MNE</t>
  </si>
  <si>
    <t>Montenegro</t>
  </si>
  <si>
    <t>ME</t>
  </si>
  <si>
    <t>PSE</t>
  </si>
  <si>
    <t>Palestine</t>
  </si>
  <si>
    <t>Perú</t>
  </si>
  <si>
    <t>WSM</t>
  </si>
  <si>
    <t>Samoa</t>
  </si>
  <si>
    <t>WS</t>
  </si>
  <si>
    <t>SRB</t>
  </si>
  <si>
    <t>Serbia</t>
  </si>
  <si>
    <t>RS</t>
  </si>
  <si>
    <t>TUV</t>
  </si>
  <si>
    <t>Tuvalu</t>
  </si>
  <si>
    <t>TV</t>
  </si>
  <si>
    <t>BND</t>
  </si>
  <si>
    <t>Brunei</t>
  </si>
  <si>
    <t>BN</t>
  </si>
  <si>
    <t>Description</t>
  </si>
  <si>
    <t>Côte d'Ivoire</t>
  </si>
  <si>
    <t>AND</t>
  </si>
  <si>
    <t>Andorra</t>
  </si>
  <si>
    <t>AD</t>
  </si>
  <si>
    <t>NCL</t>
  </si>
  <si>
    <t>New Caledonia</t>
  </si>
  <si>
    <t>NC</t>
  </si>
  <si>
    <t>SAU</t>
  </si>
  <si>
    <t>Saudi Arabia</t>
  </si>
  <si>
    <t>SA</t>
  </si>
  <si>
    <t>Order</t>
  </si>
  <si>
    <t>Subform</t>
  </si>
  <si>
    <t>Item</t>
  </si>
  <si>
    <t>FieldType</t>
  </si>
  <si>
    <t>FldNameEN</t>
  </si>
  <si>
    <t>FldNameFR</t>
  </si>
  <si>
    <t>FldNameES</t>
  </si>
  <si>
    <t>n/a</t>
  </si>
  <si>
    <t>field</t>
  </si>
  <si>
    <t>ICCAT code</t>
  </si>
  <si>
    <t>Translation for Forms</t>
  </si>
  <si>
    <t>LangFieldID</t>
  </si>
  <si>
    <t>LangNameID</t>
  </si>
  <si>
    <t>a)</t>
  </si>
  <si>
    <t>b)</t>
  </si>
  <si>
    <t>c)</t>
  </si>
  <si>
    <t>d)</t>
  </si>
  <si>
    <t>e)</t>
  </si>
  <si>
    <t>G00</t>
  </si>
  <si>
    <t>General</t>
  </si>
  <si>
    <t>title</t>
  </si>
  <si>
    <t>Instructions</t>
  </si>
  <si>
    <t>Instrucciones</t>
  </si>
  <si>
    <t>Instructions to complete the form</t>
  </si>
  <si>
    <t>Instructions pour remplir le formulaire</t>
  </si>
  <si>
    <t>Instrucciones para cumplimentar el formulario</t>
  </si>
  <si>
    <t>G01</t>
  </si>
  <si>
    <t>subtitle</t>
  </si>
  <si>
    <t>G01a</t>
  </si>
  <si>
    <t>item</t>
  </si>
  <si>
    <t>General01</t>
  </si>
  <si>
    <t>Complete as far as possible the Header and Detail sections (don't leave fields empty when information is known).</t>
  </si>
  <si>
    <t>G01b</t>
  </si>
  <si>
    <t>General02</t>
  </si>
  <si>
    <t>In Header section, only white cells can be filled (manually or by selecting from the Combo Box the corresponding code).</t>
  </si>
  <si>
    <t>G01c</t>
  </si>
  <si>
    <t>General03</t>
  </si>
  <si>
    <t>Always use ICCAT standard codes (when element "OTHERS" of various fields is required it must be explicitly described in "Notes").</t>
  </si>
  <si>
    <t>G01d</t>
  </si>
  <si>
    <t>General04</t>
  </si>
  <si>
    <t>G01e</t>
  </si>
  <si>
    <t>General05</t>
  </si>
  <si>
    <t>Leave "blank" the fields for which you don't collect information</t>
  </si>
  <si>
    <t>S00</t>
  </si>
  <si>
    <t>Specific</t>
  </si>
  <si>
    <t>Specific (by field)</t>
  </si>
  <si>
    <t>Spécifique (par champ)</t>
  </si>
  <si>
    <t>Específico (por campo)</t>
  </si>
  <si>
    <t>SC01</t>
  </si>
  <si>
    <t>Form</t>
  </si>
  <si>
    <t>Formulaire</t>
  </si>
  <si>
    <t>Formulario</t>
  </si>
  <si>
    <t>SC02</t>
  </si>
  <si>
    <t>Sub-form</t>
  </si>
  <si>
    <t>Sous-formulaire</t>
  </si>
  <si>
    <t>Subformulario</t>
  </si>
  <si>
    <t>SC03</t>
  </si>
  <si>
    <t>Part</t>
  </si>
  <si>
    <t>Partie</t>
  </si>
  <si>
    <t>Parte</t>
  </si>
  <si>
    <t>SC04</t>
  </si>
  <si>
    <t xml:space="preserve">Section </t>
  </si>
  <si>
    <t>Sección</t>
  </si>
  <si>
    <t>SC05</t>
  </si>
  <si>
    <t>Sub-section</t>
  </si>
  <si>
    <t>Sous-section</t>
  </si>
  <si>
    <t>Sub-secciones</t>
  </si>
  <si>
    <t>SC06</t>
  </si>
  <si>
    <t>Field (name)</t>
  </si>
  <si>
    <t>Champ (nom)</t>
  </si>
  <si>
    <t>Campo (nombre)</t>
  </si>
  <si>
    <t>SC07</t>
  </si>
  <si>
    <t>Field (format)</t>
  </si>
  <si>
    <t>Champ (format)</t>
  </si>
  <si>
    <t>Campo (formato)</t>
  </si>
  <si>
    <t>SC08</t>
  </si>
  <si>
    <t>Descripción</t>
  </si>
  <si>
    <t>2-Instructions</t>
  </si>
  <si>
    <t>Titre</t>
  </si>
  <si>
    <t>Título</t>
  </si>
  <si>
    <t>Titre du formulaire</t>
  </si>
  <si>
    <t>Título del formulario</t>
  </si>
  <si>
    <t>ICCAT</t>
  </si>
  <si>
    <t>CICTA</t>
  </si>
  <si>
    <t>CICAA</t>
  </si>
  <si>
    <t>INTERNATIONAL COMMISSION FOR THE CONSERVATION OF ATLANTIC TUNAS</t>
  </si>
  <si>
    <t>COMMISSION INTERNATIONALE POUR LA CONSERVATION DES THONIDÉS DE L'ATLANTIQUE</t>
  </si>
  <si>
    <t>COMISIÓN INTERNACIONAL PARA LA CONSERVACIÓN DEL ATÚN ATLÁNTICO</t>
  </si>
  <si>
    <t>T02</t>
  </si>
  <si>
    <t>(fixed)</t>
  </si>
  <si>
    <t>Versión</t>
  </si>
  <si>
    <t>Always use the lastest version of this form.</t>
  </si>
  <si>
    <t>T03</t>
  </si>
  <si>
    <t>Language</t>
  </si>
  <si>
    <t>Langue</t>
  </si>
  <si>
    <t>Idioma</t>
  </si>
  <si>
    <t>Choose the language (EN, FR, ES) for form translation</t>
  </si>
  <si>
    <t>T00</t>
  </si>
  <si>
    <t>section</t>
  </si>
  <si>
    <t>string</t>
  </si>
  <si>
    <t>integer</t>
  </si>
  <si>
    <t>float</t>
  </si>
  <si>
    <t>hFlagRep</t>
  </si>
  <si>
    <t>hAgency</t>
  </si>
  <si>
    <t>hPerson</t>
  </si>
  <si>
    <t>hActions</t>
  </si>
  <si>
    <t>hNotes</t>
  </si>
  <si>
    <t>hAddress</t>
  </si>
  <si>
    <t>BFA</t>
  </si>
  <si>
    <t>Burkina Faso</t>
  </si>
  <si>
    <t>BF</t>
  </si>
  <si>
    <t>H00</t>
  </si>
  <si>
    <t>H10</t>
  </si>
  <si>
    <t>H20</t>
  </si>
  <si>
    <t>Tête</t>
  </si>
  <si>
    <t>Cabecera</t>
  </si>
  <si>
    <t>Filters</t>
  </si>
  <si>
    <t>subsection</t>
  </si>
  <si>
    <t>Réservé au Secrétariat</t>
  </si>
  <si>
    <t>Reservado a la Secretaría</t>
  </si>
  <si>
    <t>H30</t>
  </si>
  <si>
    <t>Data set characteristics</t>
  </si>
  <si>
    <t>date</t>
  </si>
  <si>
    <t>Date reported</t>
  </si>
  <si>
    <t>Date de déclaration</t>
  </si>
  <si>
    <t>Fecha de notificación</t>
  </si>
  <si>
    <t>Reservado a la Sacretaría</t>
  </si>
  <si>
    <t>hRef</t>
  </si>
  <si>
    <t>Reference Nº</t>
  </si>
  <si>
    <t>Nº Reference</t>
  </si>
  <si>
    <t>Nº Referencia</t>
  </si>
  <si>
    <t>File name (proposed)</t>
  </si>
  <si>
    <t>(reserved)</t>
  </si>
  <si>
    <t>Flag Correspondent</t>
  </si>
  <si>
    <t>Correspondant du Pavillon</t>
  </si>
  <si>
    <t>Corresponsal de Bandera</t>
  </si>
  <si>
    <t>Table. Flags</t>
  </si>
  <si>
    <t>FlagCod</t>
  </si>
  <si>
    <t>tVersion</t>
  </si>
  <si>
    <t>tLang</t>
  </si>
  <si>
    <t>hEmail</t>
  </si>
  <si>
    <t>hPhone</t>
  </si>
  <si>
    <t>hDateRep</t>
  </si>
  <si>
    <t>hFName</t>
  </si>
  <si>
    <t>D00</t>
  </si>
  <si>
    <t>Détail</t>
  </si>
  <si>
    <t>Detalle</t>
  </si>
  <si>
    <t>D10</t>
  </si>
  <si>
    <t>D20</t>
  </si>
  <si>
    <t>D11</t>
  </si>
  <si>
    <t>D12</t>
  </si>
  <si>
    <t>D21</t>
  </si>
  <si>
    <t>D30</t>
  </si>
  <si>
    <t>Enter the name of the person to be contacted in the event of enquiries</t>
  </si>
  <si>
    <t>Enter the name of your ministry, institute or agency</t>
  </si>
  <si>
    <t>Enter the street address of your ministry, institute or agency</t>
  </si>
  <si>
    <t>Indicate the actions being requested (select one option)</t>
  </si>
  <si>
    <t>Select the flag (choose from available flag codes) under which the vessel is operating.</t>
  </si>
  <si>
    <t>Introduzca el nombre de la persona a contactar en caso de consultas</t>
  </si>
  <si>
    <t>Introduzca el nombre de su ministerio, institución o agencia</t>
  </si>
  <si>
    <t>Introduzca la dirección de su ministerio, institución o agencia</t>
  </si>
  <si>
    <t>Enter the email address of the person to be contacted</t>
  </si>
  <si>
    <t>Introduzca la dirección de correo electrónico de la persona a contactar</t>
  </si>
  <si>
    <t>Enter the telephone number of the person to be contacted</t>
  </si>
  <si>
    <t>Introduzca el número de teléfono de la persona a contactar</t>
  </si>
  <si>
    <t>Enter the flag of the CPC (Party, Entity or Fishing Entity) submitting the information</t>
  </si>
  <si>
    <t>Indique las acciones solicitadas (seleccione una opción)</t>
  </si>
  <si>
    <t>Indiquez les actions demandées (sélectionnez une option)</t>
  </si>
  <si>
    <t>For any relevant notes (justification on lack of IMO numbers, etc.)</t>
  </si>
  <si>
    <t>Send the form to ICCAT with the proposed file name (if required, adding a suffix at the end of the filename: [suffix])</t>
  </si>
  <si>
    <t>Enviar el formulario a ICCAT con el nombre del archivo propuesto (si es necesario, agregue un sufijo al final del nombre del archivo: [suffix])</t>
  </si>
  <si>
    <t>Nom fichier (proposé)</t>
  </si>
  <si>
    <t>Nombre archivo (propuesto)</t>
  </si>
  <si>
    <t>Características conjunto de datos</t>
  </si>
  <si>
    <t>Caractéristiques jeu de données</t>
  </si>
  <si>
    <t>fldDescEN</t>
  </si>
  <si>
    <t>fldDescFR</t>
  </si>
  <si>
    <t>fldDescES</t>
  </si>
  <si>
    <t>Utilisez toujours la dernière version de ce formulaire</t>
  </si>
  <si>
    <t>Utilice siempre la última versión de este formulario</t>
  </si>
  <si>
    <t>Choisissez la langue (EN, FR, ES) pour la traduction du formulaire</t>
  </si>
  <si>
    <t>Elija el idioma (EN, FR, ES) para la traducción del formulario</t>
  </si>
  <si>
    <t>Saisissez le nom de la personne à contacter en cas d'enquête</t>
  </si>
  <si>
    <t>Saisissez le nom de votre ministère, institut ou agence</t>
  </si>
  <si>
    <t>Saisissez l'adresse de votre ministère, institut ou agence</t>
  </si>
  <si>
    <t>Saisissez l'adresse e-mail de la personne à contacter</t>
  </si>
  <si>
    <t>Saisissez le numéro de téléphone de la personne à contacter</t>
  </si>
  <si>
    <t>Saisissez le pavillon de la CPC (Partie, Entité ou Entité de pêche) soumettant l'information</t>
  </si>
  <si>
    <t>Introduzca el pabellón de la CPC (Parte, Entidad o Entidad pesquera) que presenta la información</t>
  </si>
  <si>
    <t>Espace reservé aux notes pertinentes (justification de l'absence de numéros OMI, etc.)</t>
  </si>
  <si>
    <t>Para cualquier nota relevante (justificación sobre omisión de números OMI, etc.)</t>
  </si>
  <si>
    <t>Envoyez le formulaire à l'ICCAT avec le nom du fichier proposé (si nécessaire, ajoutez un suffixe à la fin du nom de fichier: [suffix])</t>
  </si>
  <si>
    <t>Indicatif international d’appel radio. Cet indicatif ne comportera que des lettres et des chiffres, par ex. 7T2472 (sans espace, « - », « . », ou tout autre caractère spécial). Si le navire est trop petit pour qu’un IRCS lui soit attribué, saisissez « (n/a) »</t>
  </si>
  <si>
    <t>Sélectionnez le pavillon (à choisir parmi les codes de pavillons disponibles) sous lequel le navire opère</t>
  </si>
  <si>
    <t>Seleccionar el pabellón (consultar los códigos de pabellón disponibles) bajo el que opera el buque</t>
  </si>
  <si>
    <t>Veuillez compléter dans la plus grande mesure du possible les rubriques « En-tête » et « Informations détaillées ». Ne laissez pas de cellules vides si l’information est connue</t>
  </si>
  <si>
    <t>Cumplimentar con la mayor información posible las secciones "cabecera" y "detalles" (no dejar campos vacíos cuando se conoce la información)</t>
  </si>
  <si>
    <t>Dans la rubrique « En-tête », seules les cellules blanches sont à remplir (manuellement ou en sélectionnant le code correspondant dans le menu déroulant)</t>
  </si>
  <si>
    <t>En la sección de cabecera, sólo pueden cumplimentarse las celdas en blanco (manualmente o seleccionando en la pestaña desplegable el código correspondiente)</t>
  </si>
  <si>
    <t>Utilisez toujours les codes standard de l’ICCAT (si l’élément « Autres » des menus déroulants de plusieurs champs est requis, une explication détaillée doit être apportée au point « Notes »)</t>
  </si>
  <si>
    <t>Utilice siempre los códigos estándar ICCAT (cuando se requiere el elemento "OTROS" de varios campos, éste debe describirse explícitamente en las "Notas")</t>
  </si>
  <si>
    <t>Recommendation for users with databases: To paste an entire dataset into the Detail section (must have the same structure and format) use "Paste special (values)"</t>
  </si>
  <si>
    <t>Recommandation pour les utilisateurs de bases de données: pour copier un jeu de données complet dans la rubrique « Informations détaillées ». (qui doivent avoir la même structure et le même format), utilisez « Collage spécial &gt; Coller valeurs »</t>
  </si>
  <si>
    <t>Recomendación para los usuarios con bases de datos: para pegar un conjunto de datos completo en la sección de información detallada (debe tener la misma estructura y formato) se debe utilizar "Pegado especial (valores)"</t>
  </si>
  <si>
    <t>Laisser en blanc les champs pour lesquels vous ne recueillez pas d'informations</t>
  </si>
  <si>
    <t>Deje en blanco los campos para los que no se ha recopilado información</t>
  </si>
  <si>
    <t>ENG</t>
  </si>
  <si>
    <t>Internat. RCS</t>
  </si>
  <si>
    <t>RCS internat.</t>
  </si>
  <si>
    <t>RCS internac.</t>
  </si>
  <si>
    <t>AT</t>
  </si>
  <si>
    <t>Djibouti</t>
  </si>
  <si>
    <t>DJI</t>
  </si>
  <si>
    <t>DJ</t>
  </si>
  <si>
    <t>CZ</t>
  </si>
  <si>
    <t>FI</t>
  </si>
  <si>
    <t>LU</t>
  </si>
  <si>
    <t>Bosnia and Herzegovina</t>
  </si>
  <si>
    <t>BIH</t>
  </si>
  <si>
    <t>BA</t>
  </si>
  <si>
    <t>Isle of Man</t>
  </si>
  <si>
    <t>IMN</t>
  </si>
  <si>
    <t>IM</t>
  </si>
  <si>
    <t>Mongolia</t>
  </si>
  <si>
    <t>MNG</t>
  </si>
  <si>
    <t>MN</t>
  </si>
  <si>
    <t>MKD</t>
  </si>
  <si>
    <t>MK</t>
  </si>
  <si>
    <t>Qatar</t>
  </si>
  <si>
    <t>QAT</t>
  </si>
  <si>
    <t>QA</t>
  </si>
  <si>
    <t>id</t>
  </si>
  <si>
    <t>Table. Status</t>
  </si>
  <si>
    <t>Contracting Party</t>
  </si>
  <si>
    <t>Non-Contracting Cooperating Party</t>
  </si>
  <si>
    <t>Non-Contracting Other</t>
  </si>
  <si>
    <t>RR</t>
  </si>
  <si>
    <t>TL</t>
  </si>
  <si>
    <t>Tended line</t>
  </si>
  <si>
    <t>Harpoon</t>
  </si>
  <si>
    <t>HP</t>
  </si>
  <si>
    <t>HS</t>
  </si>
  <si>
    <t>Handline</t>
  </si>
  <si>
    <t>HL</t>
  </si>
  <si>
    <t>OTH</t>
  </si>
  <si>
    <t>Other (specified in Additional information)</t>
  </si>
  <si>
    <t>Mediterranean Sea</t>
  </si>
  <si>
    <t>Indian Ocean</t>
  </si>
  <si>
    <t>Pacific Ocean</t>
  </si>
  <si>
    <t>CCAMLR</t>
  </si>
  <si>
    <t>CCSBT</t>
  </si>
  <si>
    <t>GFCM</t>
  </si>
  <si>
    <t>IATTC</t>
  </si>
  <si>
    <t>IOTC</t>
  </si>
  <si>
    <t>NAFO</t>
  </si>
  <si>
    <t>NEAFC</t>
  </si>
  <si>
    <t>SEAFO</t>
  </si>
  <si>
    <t>WCPFC</t>
  </si>
  <si>
    <t>a</t>
  </si>
  <si>
    <t>b</t>
  </si>
  <si>
    <t>Harvest tuna and tuna-like species in the Convention area, and the vessel’s whose flag State is without quotas, catch limit or effort allocation under relevant ICCAT conservation and management measures</t>
  </si>
  <si>
    <t>c</t>
  </si>
  <si>
    <t>Do not record or report their catches made in the ICCAT Convention area, or make false reports</t>
  </si>
  <si>
    <t>d</t>
  </si>
  <si>
    <t>Take or land undersized fish in contravention of ICCAT conservation measures</t>
  </si>
  <si>
    <t>e</t>
  </si>
  <si>
    <t>Fish during closed fishing periods or in closed areas in contravention of ICCAT conservation measures</t>
  </si>
  <si>
    <t>f</t>
  </si>
  <si>
    <t>Use prohibited fishing gear or fishing methods in contravention of ICCAT conservation measures</t>
  </si>
  <si>
    <t>g</t>
  </si>
  <si>
    <t>Transship with, or participate in other joint operations, such as re-supplying or re-fueling, with vessels included in the IUU vessels list</t>
  </si>
  <si>
    <t>h</t>
  </si>
  <si>
    <t>Harvest tuna or tuna-like species in the waters under the national jurisdiction of the coastal States in the Convention area without authorization and/or infringes on that State’s laws and regulations, without prejudice to the sovereign rights of coastal States to take measures against such vessels</t>
  </si>
  <si>
    <t>i</t>
  </si>
  <si>
    <t>Are without nationality and harvest tunas or tuna-like species in the ICCAT Convention area</t>
  </si>
  <si>
    <t>j</t>
  </si>
  <si>
    <t>Engage in fishing or fishing related activities contrary to any other ICCAT conservation and management measures</t>
  </si>
  <si>
    <t>AreaCode</t>
  </si>
  <si>
    <t>AN</t>
  </si>
  <si>
    <t>MED</t>
  </si>
  <si>
    <t>AVAILABLE INFORMATION ON VESSELS PRESUMED TO BE CARRYING OUT ILLEGAL, UNREPORTED AND UNREGULATED FISHING ACTIVITIES</t>
  </si>
  <si>
    <t>CP11-IUULst</t>
  </si>
  <si>
    <t>VesselName</t>
  </si>
  <si>
    <t>FlagCd</t>
  </si>
  <si>
    <t>GearCd</t>
  </si>
  <si>
    <t>IMONo</t>
  </si>
  <si>
    <t>LOAm</t>
  </si>
  <si>
    <t>LOA (m)</t>
  </si>
  <si>
    <t>Enter the registered Length Overall (LOA) of the vessel in meters (rounded to 1 decimal)</t>
  </si>
  <si>
    <t>Saisir la longueur hors-tout totale (LOA) enregistrée du navire en mètres (arrondie à la première décimale)</t>
  </si>
  <si>
    <t>Introducir la eslora total (LOA) registrada del buque en metros (redondeado al primer decimal)</t>
  </si>
  <si>
    <t>OwName</t>
  </si>
  <si>
    <t>OwAddrs</t>
  </si>
  <si>
    <t>OwPlaceReg</t>
  </si>
  <si>
    <t>OpName</t>
  </si>
  <si>
    <t>OpAddrs</t>
  </si>
  <si>
    <t>Unique identifier for an IUU vessel within the CP11 form</t>
  </si>
  <si>
    <t>IMO Number</t>
  </si>
  <si>
    <t>Numéro OMI</t>
  </si>
  <si>
    <t>Número OMI</t>
  </si>
  <si>
    <t>IMO number. All vessels of 20 m or greater must have an IMO number, except wooden LSFVs that are not authorized to fish on the high seas or LSFVs unable to obtain an IMO number</t>
  </si>
  <si>
    <t>Numéro OMI. Tous les navires de 20 m ou plus doivent avoir un numéro OMI, à l'exception des LSFV en bois qui ne sont pas autorisés à pêcher en haute mer ou des LSFV qui ne peuvent pas obtenir de  numéro OMI</t>
  </si>
  <si>
    <t>Número OMI. Todos los buques de 20 m o más deben tener un número OMI, excepto los GPA de madera que no están autorizados a pescar en alta mar o los GPA que no pueden obtener un número OMI.</t>
  </si>
  <si>
    <t>Nom navire (latin)</t>
  </si>
  <si>
    <t>Vessel name in Latin script</t>
  </si>
  <si>
    <t>Nom du navire en caractères latins</t>
  </si>
  <si>
    <t>El nombre del buque en caracteres latinos</t>
  </si>
  <si>
    <t>Pavillon du navire (cod)</t>
  </si>
  <si>
    <t>Pabellón del buque (cód)</t>
  </si>
  <si>
    <t>Gear (cod)</t>
  </si>
  <si>
    <t>Engin (cod)</t>
  </si>
  <si>
    <t>Arte (cód)</t>
  </si>
  <si>
    <t>Choose the lost fishing Gear code (ICCAT codes)</t>
  </si>
  <si>
    <t>Choisir le code d'engin (code ICCAT)</t>
  </si>
  <si>
    <t>Escoger un código de arte (códigos ICCAT)</t>
  </si>
  <si>
    <t>International Radio Call Sign. This must comprise only letters and numbers, e.g. 7T2472 (no spaces, "-", ".", or any other special characters are allowed. If the vessel is too small to have an IRCS assigned, then "n/a" should be entered</t>
  </si>
  <si>
    <t>Indicativo internacional de radio. Debe estar compuesto solo por números y letras, por ejemplo, 7T2472 (sin espacios ni , “-“, “.”, u otros caracteres especiales). Si el buque es demasiado pequeño para tener un IRCS asignado, entonces debe indicar n/a</t>
  </si>
  <si>
    <t>AreaCd</t>
  </si>
  <si>
    <t>RepFlagCd</t>
  </si>
  <si>
    <t>RepRFMOCd</t>
  </si>
  <si>
    <t>ActvLat</t>
  </si>
  <si>
    <t>ActvLon</t>
  </si>
  <si>
    <t>ActvActions</t>
  </si>
  <si>
    <t>Summary of alleged IUU fishing activities</t>
  </si>
  <si>
    <t>Outcome of any actions taken</t>
  </si>
  <si>
    <t>Select the RFMO reporting the IUU activities</t>
  </si>
  <si>
    <t>Reporting RFMO (cod)</t>
  </si>
  <si>
    <t>see format</t>
  </si>
  <si>
    <t>Latitude (±dd.dddd)</t>
  </si>
  <si>
    <t>Latitud (±dd.dddd)</t>
  </si>
  <si>
    <t>Longitude (±dd.dddd)</t>
  </si>
  <si>
    <t>Longitud (±dd.dddd)</t>
  </si>
  <si>
    <t>StandardFormats</t>
  </si>
  <si>
    <t>fmtLatitude</t>
  </si>
  <si>
    <t>Type</t>
  </si>
  <si>
    <t>Example</t>
  </si>
  <si>
    <t>±dd.dddd</t>
  </si>
  <si>
    <t>Decimal degree coordinate system {(N,+),(S,-)}. (dd.d# = ±(dd + mm/60 + ss/3600)):: 4 decimals (max)</t>
  </si>
  <si>
    <t>fmtLongitude</t>
  </si>
  <si>
    <t>±ddd.dddd</t>
  </si>
  <si>
    <t>Decimal degree coordinate system {(E,+),(W,-)}. (ddd.d# = ±(dd + mm/60 + ss/3600)):: 4 decimals (max)</t>
  </si>
  <si>
    <t>Summary of any actions known to have been taken in response to the IUU activities</t>
  </si>
  <si>
    <t>Latitude of alleged IUU fishing activities</t>
  </si>
  <si>
    <t>Longitude of alleged IUU fishing activities</t>
  </si>
  <si>
    <t>Area of alleged IUU fishing activities</t>
  </si>
  <si>
    <t>Select the flag of the CPC (Party, Entity or Fishing Entity) reporting the alleged IUU activities</t>
  </si>
  <si>
    <t>Position of alleged IUU fishing activities</t>
  </si>
  <si>
    <t>Other relevant information, as appropriate (e.g., possible false flags or vessel names used, modus operandi, etc.)</t>
  </si>
  <si>
    <t>Informations supplémentaires</t>
  </si>
  <si>
    <t>Información adicional</t>
  </si>
  <si>
    <t>1-CP01A</t>
  </si>
  <si>
    <t>Ownership</t>
  </si>
  <si>
    <t>Propriété</t>
  </si>
  <si>
    <t>Propiedad</t>
  </si>
  <si>
    <t>D22</t>
  </si>
  <si>
    <t>D23</t>
  </si>
  <si>
    <t>ActvOutcome</t>
  </si>
  <si>
    <t>Additional information</t>
  </si>
  <si>
    <t>ActCode</t>
  </si>
  <si>
    <r>
      <t>Description (</t>
    </r>
    <r>
      <rPr>
        <b/>
        <sz val="9"/>
        <color theme="1"/>
        <rFont val="Calibri"/>
        <family val="2"/>
        <scheme val="minor"/>
      </rPr>
      <t>Vessel fished for species covered by the ICCAT Convention within the Convention area and:</t>
    </r>
    <r>
      <rPr>
        <sz val="9"/>
        <color theme="1"/>
        <rFont val="Calibri"/>
        <family val="2"/>
        <scheme val="minor"/>
      </rPr>
      <t>)</t>
    </r>
  </si>
  <si>
    <t>Table. Regional fisheries management organisations (RFMOs)</t>
  </si>
  <si>
    <t>Commission for the Conservation of Southern Bluefin Tuna</t>
  </si>
  <si>
    <t>Inter-American Tropical Tuna Commission</t>
  </si>
  <si>
    <t>Indian Ocean Tuna Commission</t>
  </si>
  <si>
    <t>Western and Central Pacific Fisheries Commission</t>
  </si>
  <si>
    <t>Commission for the Conservation of Antarctic Marine Living Resources</t>
  </si>
  <si>
    <t>General Fisheries Commission for the Mediterranean</t>
  </si>
  <si>
    <t>Northwest Atlantic Fisheries Organization</t>
  </si>
  <si>
    <t>North East Atlantic Fisheries Commission</t>
  </si>
  <si>
    <t>South East Atlantic Fisheries Organisation</t>
  </si>
  <si>
    <t>Atlantic Ocean</t>
  </si>
  <si>
    <t>Atlantic North east</t>
  </si>
  <si>
    <t>Atlantic North west</t>
  </si>
  <si>
    <t>Atlantic South east</t>
  </si>
  <si>
    <t>Atlantic South west</t>
  </si>
  <si>
    <t>Indian North east</t>
  </si>
  <si>
    <t>Indian North west</t>
  </si>
  <si>
    <t>Indian South east</t>
  </si>
  <si>
    <t>Indian South west</t>
  </si>
  <si>
    <t>Pacific North east</t>
  </si>
  <si>
    <t>Pacific North west</t>
  </si>
  <si>
    <t>Pacific South east</t>
  </si>
  <si>
    <t>Pacific South west</t>
  </si>
  <si>
    <t>Southern/Antarctic Ocean</t>
  </si>
  <si>
    <t>RFMOCode</t>
  </si>
  <si>
    <t>Table. Areas</t>
  </si>
  <si>
    <t>Table. Gears</t>
  </si>
  <si>
    <t>GearCode</t>
  </si>
  <si>
    <t>GearName</t>
  </si>
  <si>
    <t>GearGroup</t>
  </si>
  <si>
    <t>GILL</t>
  </si>
  <si>
    <t>Gillnet: Drift net</t>
  </si>
  <si>
    <t>Haul seine</t>
  </si>
  <si>
    <t>Purse seine</t>
  </si>
  <si>
    <t>Trammel net</t>
  </si>
  <si>
    <t>TRAW</t>
  </si>
  <si>
    <t>Trawl</t>
  </si>
  <si>
    <t>HAND</t>
  </si>
  <si>
    <t>TROL</t>
  </si>
  <si>
    <t>Troll</t>
  </si>
  <si>
    <t>Baitboat</t>
  </si>
  <si>
    <t>Rod and Reel</t>
  </si>
  <si>
    <t>HARP</t>
  </si>
  <si>
    <t xml:space="preserve">LL  </t>
  </si>
  <si>
    <t>Longline</t>
  </si>
  <si>
    <t xml:space="preserve">HS  </t>
  </si>
  <si>
    <t xml:space="preserve">PS  </t>
  </si>
  <si>
    <t xml:space="preserve">TN  </t>
  </si>
  <si>
    <t xml:space="preserve">TL  </t>
  </si>
  <si>
    <t xml:space="preserve">BB  </t>
  </si>
  <si>
    <t xml:space="preserve">RR  </t>
  </si>
  <si>
    <t>A-NE</t>
  </si>
  <si>
    <t>A-NW</t>
  </si>
  <si>
    <t>A-SE</t>
  </si>
  <si>
    <t>A-SW</t>
  </si>
  <si>
    <t>I-NE</t>
  </si>
  <si>
    <t>I-NW</t>
  </si>
  <si>
    <t>I-SE</t>
  </si>
  <si>
    <t>I-SW</t>
  </si>
  <si>
    <t>P-NE</t>
  </si>
  <si>
    <t>P-NW</t>
  </si>
  <si>
    <t>P-SE</t>
  </si>
  <si>
    <t>P-SW</t>
  </si>
  <si>
    <t>VessID</t>
  </si>
  <si>
    <t>Vessel ID</t>
  </si>
  <si>
    <t>1-CP11</t>
  </si>
  <si>
    <t>CP11</t>
  </si>
  <si>
    <t>Nombre buque (latin)</t>
  </si>
  <si>
    <t>DateRec</t>
  </si>
  <si>
    <t>Date of alleged IUU fishing activities and identifies the information collected for each update</t>
  </si>
  <si>
    <t>InfrgmtCd</t>
  </si>
  <si>
    <t>Infringement (cod)</t>
  </si>
  <si>
    <t>Remarks</t>
  </si>
  <si>
    <t>Table. Infringements</t>
  </si>
  <si>
    <t>ICCATReg</t>
  </si>
  <si>
    <t>Registered in ICCAT</t>
  </si>
  <si>
    <t>Harvest tunas and tuna-like species in the Convention area</t>
  </si>
  <si>
    <t>IUU vessel information</t>
  </si>
  <si>
    <t>Information sur le navire IUU</t>
  </si>
  <si>
    <t>Información sobre el buque IUU</t>
  </si>
  <si>
    <t>IUU activities information</t>
  </si>
  <si>
    <t>Information sur les activités IUU</t>
  </si>
  <si>
    <t>Información sobre las actividades IUU</t>
  </si>
  <si>
    <t>Details (infringement)</t>
  </si>
  <si>
    <t>Détails (infraction)</t>
  </si>
  <si>
    <t>Detalles (infracción)</t>
  </si>
  <si>
    <t>Position des activités de pêche IUU alléguées</t>
  </si>
  <si>
    <t>Posición de las presuntas actividades de pesca IUU</t>
  </si>
  <si>
    <t>Actions taken/outcome</t>
  </si>
  <si>
    <t>Actions prises/résultat</t>
  </si>
  <si>
    <t>Acciones emprendidas/resultado</t>
  </si>
  <si>
    <t>ID du navire</t>
  </si>
  <si>
    <t>ID del buque</t>
  </si>
  <si>
    <t>Vessel name (Latin)</t>
  </si>
  <si>
    <t>Flag of vessel (cod)</t>
  </si>
  <si>
    <t>Owner name</t>
  </si>
  <si>
    <t>Nom de l'armateur</t>
  </si>
  <si>
    <t>Nombre del armador</t>
  </si>
  <si>
    <t>Owner address</t>
  </si>
  <si>
    <t>Adresse de l'armateur</t>
  </si>
  <si>
    <t>Dirección del armador</t>
  </si>
  <si>
    <t>Owner place of registration</t>
  </si>
  <si>
    <t>Lieu d'enregistrement de l'armateur</t>
  </si>
  <si>
    <t>Lugar de registro del armador</t>
  </si>
  <si>
    <t>Operator name</t>
  </si>
  <si>
    <t>Nom de l'opérateur</t>
  </si>
  <si>
    <t>Nombre del operador</t>
  </si>
  <si>
    <t>Operator address</t>
  </si>
  <si>
    <t>Adresse de l'opérateur</t>
  </si>
  <si>
    <t>Dirección del operador</t>
  </si>
  <si>
    <t>Date recorded</t>
  </si>
  <si>
    <t>Date enregistrée</t>
  </si>
  <si>
    <t>Fecha consignada</t>
  </si>
  <si>
    <t>Enregistré à l'ICCAT</t>
  </si>
  <si>
    <t>Registrado en ICCAT</t>
  </si>
  <si>
    <t>Infraction (cod.)</t>
  </si>
  <si>
    <t>Infracción (cód.)</t>
  </si>
  <si>
    <t>Reporting flag (cod)</t>
  </si>
  <si>
    <t>Pavillon déclarant (cod.)</t>
  </si>
  <si>
    <t>Pabellón declarante (cód.)</t>
  </si>
  <si>
    <t>ORGP déclarante (cod.)</t>
  </si>
  <si>
    <t>OROP declarante (cód.)</t>
  </si>
  <si>
    <t>Fishing area (cod)</t>
  </si>
  <si>
    <t>Zone de pêche (cod.)</t>
  </si>
  <si>
    <t>Zona de pesca (cód.)</t>
  </si>
  <si>
    <t>Actions in response</t>
  </si>
  <si>
    <t>Actions en réponse</t>
  </si>
  <si>
    <t>Acciones en respuesta</t>
  </si>
  <si>
    <t>Outcome of actions</t>
  </si>
  <si>
    <t>Résultat des actions</t>
  </si>
  <si>
    <t>Resultado de las acciones</t>
  </si>
  <si>
    <t>Comentarios</t>
  </si>
  <si>
    <t>INFORMATIONS DISPONIBLES SUR LES NAVIRES PRÉSUMÉS EXERCER DES ACTIVITÉS DE PÊCHE ILLICITES, NON DÉCLARÉES ET NON RÉGLEMENTÉES</t>
  </si>
  <si>
    <t>INFORMACIÓN DISPONIBLE SOBRE BUQUES QUE SUPUESTAMENTE LLEVAN A CABO ACTIVIDADES DE PESCA ILEGAL, NO DECLARADA Y NO REGLAMENTADA</t>
  </si>
  <si>
    <t>Form title</t>
  </si>
  <si>
    <t>IUU vessel registration details (including historical data)</t>
  </si>
  <si>
    <t>Détails de l'enregistrement du navire IUU (incluant les données historiques)</t>
  </si>
  <si>
    <t>Detalles del registro del buque IUU (incluidos datos históricos)</t>
  </si>
  <si>
    <t>Identificateur unique pour un navire IUU dans le formulaire CP11</t>
  </si>
  <si>
    <t>Identificador único para un buque IUU dentro del formulario CP11</t>
  </si>
  <si>
    <t>Name of person or company who owns the vessel. If a given vessel has more than one owner, these should be separated by the character "|" (vertical bar). This field allows a maximum of 100 characters.</t>
  </si>
  <si>
    <t>Nom de la personne ou de la société qui est propriétaire du navire. Si un navire donné a plus d’un propriétaire, ceux-ci doivent être séparés par le caractère « | »   (barre verticale). Ce champ ne peut pas dépasser 100 caractères.</t>
  </si>
  <si>
    <t>Nombre de la persona o empresa dueña del buque. Si un buque determinado tiene más de un armador, deberían ir seprados por el símbolo  "|" (barra vertical). Este campo no acepta más de 100 caracteres.</t>
  </si>
  <si>
    <t>Address of person or company who owns the vessel. This field allows a maximum of 150 characters.</t>
  </si>
  <si>
    <t>Adresse de la personne ou de la société qui est propriétaire du navire. Ce champ ne peut pas dépasser 150 caractères.</t>
  </si>
  <si>
    <t>Dirección de la persona o empresa dueña del buque. Este campo no acepta más de 150 caracteres.</t>
  </si>
  <si>
    <t>Place of Registration of person or company who owns the vessel. This field allows a maximum of 100 characters.</t>
  </si>
  <si>
    <t>Lieu d’enregistrement de la personne ou de la société qui est propriétaire du navire. Ce champ ne peut pas dépasser 100 caractères.</t>
  </si>
  <si>
    <t>Lugar de registro de la persona o empresa dueña del buque. Este campo no acepta más de 100 caracteres.</t>
  </si>
  <si>
    <t>Name of person or company who operates the vessel. If a given vessel has more than one operator, these should be separated by the character "|" (vertical bar). This field  allows a maximum of 100 characters.</t>
  </si>
  <si>
    <t>Nom de la personne ou de la société qui exploite le navire. Si un navire donné a plus d’un opérateur, ceux-ci doivent être séparés par le caractère « | » (barre verticale). Ce champ ne peut pas dépasser 100 caractères.</t>
  </si>
  <si>
    <t>Nombre de la persona o empresa que opera el buque. Si un buque determinado tiene más de un operador, deberían ir seprados por el símbolo  "|" (barra vertical). Este campo no acepta más de 100 caracteres.</t>
  </si>
  <si>
    <t>Address of person or company who operates the vessel. This field allows a maximum of 150 characters.</t>
  </si>
  <si>
    <t>Adresse de la personne ou de la société qui exploite le navire. Ce champ ne peut pas dépasser 150 caractères.</t>
  </si>
  <si>
    <t>Dirección de la persona o empresa que opera el buque. Este campo no acepta más de 100 caracteres.</t>
  </si>
  <si>
    <t>Date des activités de pêche IUU présumées et identifie les informations recueillies pour chaque mise à jour</t>
  </si>
  <si>
    <t>Fecha de las supuestas actividades de pesca IUU e identifica la información recopilada para cada actualización.</t>
  </si>
  <si>
    <t>Résumé des activités de pêche IUU alléguées</t>
  </si>
  <si>
    <t>Resumen de las presuntas actividades de pesca IUU.</t>
  </si>
  <si>
    <t>Sélectionner le pavillon de la CPC (Partie, Entité ou Entité de pêche) qui déclare les activités IUU alléguées</t>
  </si>
  <si>
    <t>Selección el pabellón de la CPC (Parte, Entidad o Entidad pesquera) que comunica las presuntas actividades IUU.</t>
  </si>
  <si>
    <t>Sélectionner l'ORGP qui signale les activités IUU</t>
  </si>
  <si>
    <t>Seleccionar la OROP que comunica las actividades IUU.</t>
  </si>
  <si>
    <t>Zone des activités de pêche IUU alléguées</t>
  </si>
  <si>
    <t>Área de las presuntas actividades de pesca IUU.</t>
  </si>
  <si>
    <t>Latitude des activités de pêche IUU alléguées</t>
  </si>
  <si>
    <t>Latitud de las presuntas actividades de pesca IUU.</t>
  </si>
  <si>
    <t>Longitude des activités de pêche IUU alléguées</t>
  </si>
  <si>
    <t>Longitud de las presuntas actividades de pesca IUU.</t>
  </si>
  <si>
    <t>Résumé de toute action dont on sait qu’elle a été prise en réponse aux activités IUU</t>
  </si>
  <si>
    <t>Resumen de cualquier acción que se conozca que se ha emprendido en respuesta a las actividades IUU.</t>
  </si>
  <si>
    <t>Résultat de toute action entreprise</t>
  </si>
  <si>
    <t>Resultado de cualquier acción emprendida.</t>
  </si>
  <si>
    <t>Autre information pertinente, le cas échéant (p.ex. faux pavillons éventuels ou faux noms de navires utilisés, modus operandi, etc.)</t>
  </si>
  <si>
    <t>Otra información pertinente, se procede (por ejemplo, posibles pabellones o nombres del buque falsos utilizados, modus operandi, etc.).</t>
  </si>
  <si>
    <t>It indicates whether the vessel is registered in the ICCAT Record of Vessels (Yes/No)</t>
  </si>
  <si>
    <t>Il indique si le navire est enregistré dans le Registre ICCAT de navires. (Oui/Non)</t>
  </si>
  <si>
    <t>Indica si el buque está incluido en el Registro ICCAT de buques. (Sí/No)</t>
  </si>
  <si>
    <t xml:space="preserve">UN  </t>
  </si>
  <si>
    <t>Unclassified (unknown)</t>
  </si>
  <si>
    <t>UN</t>
  </si>
  <si>
    <t>UNK</t>
  </si>
  <si>
    <t>Unknown</t>
  </si>
  <si>
    <t>Unclear/Unknown</t>
  </si>
  <si>
    <t>Unclassified flag</t>
  </si>
  <si>
    <t>UNCL</t>
  </si>
  <si>
    <t>Other *</t>
  </si>
  <si>
    <t>* Specified in Additional information</t>
  </si>
  <si>
    <t>--</t>
  </si>
  <si>
    <t>European Union</t>
  </si>
  <si>
    <t>EU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</si>
  <si>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</si>
  <si>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</si>
  <si>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</si>
  <si>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</si>
  <si>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</si>
  <si>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</si>
  <si>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</si>
  <si>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</si>
  <si>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</si>
  <si>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</si>
  <si>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</si>
  <si>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</si>
  <si>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</si>
  <si>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</si>
  <si>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</si>
  <si>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</si>
  <si>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</si>
  <si>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</si>
  <si>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</si>
  <si>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</si>
  <si>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</si>
  <si>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</si>
  <si>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</si>
  <si>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</si>
  <si>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</si>
  <si>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</si>
  <si>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</si>
  <si>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</si>
  <si>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</si>
  <si>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</si>
  <si>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</si>
  <si>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</si>
  <si>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</si>
  <si>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</si>
  <si>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</si>
  <si>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</si>
  <si>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</si>
  <si>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</si>
  <si>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</si>
  <si>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</si>
  <si>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</si>
  <si>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</si>
  <si>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</si>
  <si>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</si>
  <si>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PL</t>
  </si>
  <si>
    <t>EU-Portugal</t>
  </si>
  <si>
    <t>EU-PRT</t>
  </si>
  <si>
    <t>PT</t>
  </si>
  <si>
    <t>EU-Rumania</t>
  </si>
  <si>
    <t>EU-ROU</t>
  </si>
  <si>
    <t>RO</t>
  </si>
  <si>
    <t>EU-Slovakia</t>
  </si>
  <si>
    <t>EU-SVK</t>
  </si>
  <si>
    <t>SK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</si>
  <si>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</si>
  <si>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</si>
  <si>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</si>
  <si>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</si>
  <si>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</si>
  <si>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</si>
  <si>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</si>
  <si>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</si>
  <si>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</si>
  <si>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GBR</t>
  </si>
  <si>
    <t>Guinée Rep</t>
  </si>
  <si>
    <t>Korea Rep</t>
  </si>
  <si>
    <t>Northern Ireland</t>
  </si>
  <si>
    <t>GB-NIR</t>
  </si>
  <si>
    <t>S Tomé e Príncipe</t>
  </si>
  <si>
    <t>Scotland</t>
  </si>
  <si>
    <t>GB-SCT</t>
  </si>
  <si>
    <t>St Vincent and Grenadines</t>
  </si>
  <si>
    <t>Türkiye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</si>
  <si>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</si>
  <si>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</si>
  <si>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</si>
  <si>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</si>
  <si>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</si>
  <si>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</si>
  <si>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</si>
  <si>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</si>
  <si>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</si>
  <si>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</si>
  <si>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</si>
  <si>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</si>
  <si>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</si>
  <si>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</si>
  <si>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</si>
  <si>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</si>
  <si>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</si>
  <si>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</si>
  <si>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2025a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</si>
</sst>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0.0"/>
    <numFmt numFmtId="166" formatCode="0.0000"/>
  </numFmts>
  <fonts count="3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rgb="FF0000FF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u/>
      <sz val="8"/>
      <name val="Calibri"/>
      <family val="2"/>
      <scheme val="minor"/>
    </font>
    <font>
      <u/>
      <sz val="8"/>
      <color theme="1"/>
      <name val="Calibri"/>
      <family val="2"/>
      <scheme val="minor"/>
    </font>
    <font>
      <i/>
      <u/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theme="1"/>
      <name val="Times New Roman"/>
      <family val="1"/>
    </font>
    <font>
      <b/>
      <sz val="16"/>
      <color rgb="FF0070C0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7"/>
        <bgColor theme="7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theme="1"/>
      </patternFill>
    </fill>
    <fill>
      <patternFill patternType="solid">
        <fgColor rgb="FF92D050"/>
        <bgColor theme="1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medium">
        <color theme="6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 tint="0.39997558519241921"/>
      </left>
      <right/>
      <top style="thin">
        <color theme="7" tint="0.39997558519241921"/>
      </top>
      <bottom/>
      <diagonal/>
    </border>
    <border>
      <left style="thin">
        <color theme="7"/>
      </left>
      <right/>
      <top style="thin">
        <color theme="7" tint="0.39997558519241921"/>
      </top>
      <bottom/>
      <diagonal/>
    </border>
    <border>
      <left/>
      <right style="thin">
        <color theme="7"/>
      </right>
      <top style="thin">
        <color theme="7" tint="0.39997558519241921"/>
      </top>
      <bottom/>
      <diagonal/>
    </border>
    <border>
      <left/>
      <right style="thin">
        <color theme="7" tint="0.39997558519241921"/>
      </right>
      <top style="thin">
        <color theme="7" tint="0.39997558519241921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/>
      <right/>
      <top style="thin">
        <color theme="6"/>
      </top>
      <bottom/>
      <diagonal/>
    </border>
    <border>
      <left/>
      <right/>
      <top style="medium">
        <color theme="6"/>
      </top>
      <bottom/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/>
      <bottom style="medium">
        <color theme="6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/>
    <xf numFmtId="0" fontId="4" fillId="0" borderId="0"/>
  </cellStyleXfs>
  <cellXfs count="252">
    <xf numFmtId="0" fontId="0" fillId="0" borderId="0" xfId="0"/>
    <xf numFmtId="0" fontId="7" fillId="0" borderId="8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hidden="1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top" wrapText="1"/>
      <protection hidden="1"/>
    </xf>
    <xf numFmtId="0" fontId="8" fillId="0" borderId="0" xfId="0" applyFont="1" applyAlignment="1" applyProtection="1">
      <alignment vertical="top"/>
      <protection hidden="1"/>
    </xf>
    <xf numFmtId="0" fontId="8" fillId="5" borderId="6" xfId="0" applyFont="1" applyFill="1" applyBorder="1" applyAlignment="1" applyProtection="1">
      <alignment vertical="top"/>
      <protection hidden="1"/>
    </xf>
    <xf numFmtId="0" fontId="6" fillId="5" borderId="2" xfId="0" applyFont="1" applyFill="1" applyBorder="1" applyAlignment="1" applyProtection="1">
      <alignment horizontal="center" vertical="top"/>
      <protection hidden="1"/>
    </xf>
    <xf numFmtId="0" fontId="6" fillId="5" borderId="3" xfId="0" applyFont="1" applyFill="1" applyBorder="1" applyAlignment="1" applyProtection="1">
      <alignment horizontal="center" vertical="top"/>
      <protection hidden="1"/>
    </xf>
    <xf numFmtId="0" fontId="17" fillId="5" borderId="7" xfId="0" applyFont="1" applyFill="1" applyBorder="1" applyAlignment="1" applyProtection="1">
      <alignment horizontal="center" vertical="top"/>
      <protection hidden="1"/>
    </xf>
    <xf numFmtId="0" fontId="8" fillId="5" borderId="8" xfId="0" applyFont="1" applyFill="1" applyBorder="1" applyAlignment="1" applyProtection="1">
      <alignment vertical="top"/>
      <protection hidden="1"/>
    </xf>
    <xf numFmtId="0" fontId="8" fillId="5" borderId="7" xfId="0" applyFont="1" applyFill="1" applyBorder="1" applyAlignment="1" applyProtection="1">
      <alignment vertical="top"/>
      <protection hidden="1"/>
    </xf>
    <xf numFmtId="0" fontId="15" fillId="5" borderId="0" xfId="0" applyFont="1" applyFill="1" applyAlignment="1" applyProtection="1">
      <alignment vertical="top"/>
      <protection hidden="1"/>
    </xf>
    <xf numFmtId="0" fontId="2" fillId="0" borderId="0" xfId="0" applyFont="1" applyProtection="1">
      <protection hidden="1"/>
    </xf>
    <xf numFmtId="0" fontId="23" fillId="5" borderId="2" xfId="0" applyFont="1" applyFill="1" applyBorder="1" applyAlignment="1" applyProtection="1">
      <alignment horizontal="center" vertical="top"/>
      <protection hidden="1"/>
    </xf>
    <xf numFmtId="0" fontId="8" fillId="5" borderId="0" xfId="0" applyFont="1" applyFill="1" applyAlignment="1" applyProtection="1">
      <alignment vertical="top" wrapText="1"/>
      <protection hidden="1"/>
    </xf>
    <xf numFmtId="0" fontId="8" fillId="5" borderId="5" xfId="0" applyFont="1" applyFill="1" applyBorder="1" applyAlignment="1" applyProtection="1">
      <alignment vertical="top"/>
      <protection hidden="1"/>
    </xf>
    <xf numFmtId="0" fontId="23" fillId="5" borderId="0" xfId="0" applyFont="1" applyFill="1" applyAlignment="1" applyProtection="1">
      <alignment horizontal="center" vertical="top"/>
      <protection hidden="1"/>
    </xf>
    <xf numFmtId="0" fontId="8" fillId="5" borderId="0" xfId="0" applyFont="1" applyFill="1" applyAlignment="1" applyProtection="1">
      <alignment horizontal="center" vertical="top"/>
      <protection hidden="1"/>
    </xf>
    <xf numFmtId="49" fontId="8" fillId="5" borderId="0" xfId="0" applyNumberFormat="1" applyFont="1" applyFill="1" applyAlignment="1" applyProtection="1">
      <alignment vertical="top"/>
      <protection hidden="1"/>
    </xf>
    <xf numFmtId="0" fontId="8" fillId="5" borderId="7" xfId="0" applyFont="1" applyFill="1" applyBorder="1" applyAlignment="1" applyProtection="1">
      <alignment horizontal="center" vertical="top"/>
      <protection hidden="1"/>
    </xf>
    <xf numFmtId="0" fontId="26" fillId="5" borderId="6" xfId="0" applyFont="1" applyFill="1" applyBorder="1" applyAlignment="1" applyProtection="1">
      <alignment vertical="top"/>
      <protection hidden="1"/>
    </xf>
    <xf numFmtId="0" fontId="9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center" wrapText="1"/>
      <protection hidden="1"/>
    </xf>
    <xf numFmtId="0" fontId="9" fillId="0" borderId="12" xfId="0" applyFont="1" applyBorder="1" applyAlignment="1" applyProtection="1">
      <alignment vertical="top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9" fillId="0" borderId="0" xfId="3" applyFont="1" applyAlignment="1" applyProtection="1">
      <alignment vertical="top"/>
      <protection hidden="1"/>
    </xf>
    <xf numFmtId="0" fontId="9" fillId="0" borderId="0" xfId="3" applyFont="1" applyAlignment="1" applyProtection="1">
      <alignment vertical="top" wrapText="1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11" fillId="8" borderId="13" xfId="0" applyFont="1" applyFill="1" applyBorder="1" applyAlignment="1" applyProtection="1">
      <alignment vertical="top" wrapText="1"/>
      <protection hidden="1"/>
    </xf>
    <xf numFmtId="0" fontId="11" fillId="8" borderId="13" xfId="0" applyFont="1" applyFill="1" applyBorder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11" fillId="8" borderId="13" xfId="0" applyFont="1" applyFill="1" applyBorder="1" applyAlignment="1" applyProtection="1">
      <alignment horizontal="left" vertical="top" wrapText="1"/>
      <protection hidden="1"/>
    </xf>
    <xf numFmtId="0" fontId="8" fillId="0" borderId="0" xfId="0" applyFont="1" applyAlignment="1" applyProtection="1">
      <alignment horizontal="center" vertical="top"/>
      <protection hidden="1"/>
    </xf>
    <xf numFmtId="164" fontId="9" fillId="5" borderId="0" xfId="0" applyNumberFormat="1" applyFont="1" applyFill="1" applyAlignment="1" applyProtection="1">
      <alignment vertical="center"/>
      <protection hidden="1"/>
    </xf>
    <xf numFmtId="164" fontId="9" fillId="5" borderId="8" xfId="0" applyNumberFormat="1" applyFont="1" applyFill="1" applyBorder="1" applyAlignment="1" applyProtection="1">
      <alignment vertical="center"/>
      <protection hidden="1"/>
    </xf>
    <xf numFmtId="0" fontId="2" fillId="0" borderId="0" xfId="0" applyFont="1" applyAlignment="1">
      <alignment vertical="top" wrapText="1"/>
    </xf>
    <xf numFmtId="0" fontId="3" fillId="0" borderId="0" xfId="0" applyFont="1" applyAlignment="1" applyProtection="1">
      <alignment vertical="top"/>
      <protection hidden="1"/>
    </xf>
    <xf numFmtId="0" fontId="28" fillId="0" borderId="0" xfId="3" applyFont="1" applyAlignment="1" applyProtection="1">
      <alignment vertical="top"/>
      <protection hidden="1"/>
    </xf>
    <xf numFmtId="0" fontId="29" fillId="0" borderId="0" xfId="3" applyFont="1" applyAlignment="1" applyProtection="1">
      <alignment vertical="top"/>
      <protection hidden="1"/>
    </xf>
    <xf numFmtId="0" fontId="30" fillId="0" borderId="0" xfId="0" applyFont="1" applyAlignment="1" applyProtection="1">
      <alignment vertical="top" wrapText="1"/>
      <protection hidden="1"/>
    </xf>
    <xf numFmtId="0" fontId="25" fillId="5" borderId="13" xfId="0" applyFont="1" applyFill="1" applyBorder="1" applyAlignment="1" applyProtection="1">
      <alignment horizontal="center" vertical="top"/>
      <protection hidden="1"/>
    </xf>
    <xf numFmtId="0" fontId="10" fillId="5" borderId="4" xfId="1" applyFont="1" applyFill="1" applyBorder="1" applyAlignment="1" applyProtection="1">
      <alignment horizontal="right" vertical="top"/>
      <protection hidden="1"/>
    </xf>
    <xf numFmtId="0" fontId="8" fillId="0" borderId="17" xfId="0" applyFont="1" applyBorder="1" applyAlignment="1">
      <alignment vertical="top" wrapText="1"/>
    </xf>
    <xf numFmtId="164" fontId="9" fillId="5" borderId="15" xfId="0" applyNumberFormat="1" applyFont="1" applyFill="1" applyBorder="1" applyAlignment="1" applyProtection="1">
      <alignment horizontal="center" vertical="center"/>
      <protection hidden="1"/>
    </xf>
    <xf numFmtId="0" fontId="15" fillId="5" borderId="4" xfId="0" applyFont="1" applyFill="1" applyBorder="1" applyAlignment="1" applyProtection="1">
      <alignment vertical="top"/>
      <protection hidden="1"/>
    </xf>
    <xf numFmtId="0" fontId="9" fillId="5" borderId="0" xfId="0" applyFont="1" applyFill="1" applyAlignment="1" applyProtection="1">
      <alignment horizontal="right" vertical="top"/>
      <protection hidden="1"/>
    </xf>
    <xf numFmtId="0" fontId="14" fillId="10" borderId="1" xfId="2" applyFont="1" applyFill="1" applyBorder="1" applyProtection="1">
      <protection hidden="1"/>
    </xf>
    <xf numFmtId="0" fontId="14" fillId="10" borderId="2" xfId="2" applyFont="1" applyFill="1" applyBorder="1" applyProtection="1">
      <protection hidden="1"/>
    </xf>
    <xf numFmtId="0" fontId="14" fillId="10" borderId="3" xfId="2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3" fillId="0" borderId="6" xfId="0" applyFont="1" applyBorder="1" applyProtection="1">
      <protection hidden="1"/>
    </xf>
    <xf numFmtId="0" fontId="15" fillId="13" borderId="21" xfId="0" applyFont="1" applyFill="1" applyBorder="1" applyAlignment="1">
      <alignment vertical="top" wrapText="1"/>
    </xf>
    <xf numFmtId="0" fontId="15" fillId="13" borderId="17" xfId="0" applyFont="1" applyFill="1" applyBorder="1" applyAlignment="1">
      <alignment vertical="top" wrapText="1"/>
    </xf>
    <xf numFmtId="0" fontId="15" fillId="13" borderId="16" xfId="0" applyFont="1" applyFill="1" applyBorder="1" applyAlignment="1">
      <alignment vertical="top" wrapText="1"/>
    </xf>
    <xf numFmtId="0" fontId="15" fillId="13" borderId="18" xfId="0" applyFont="1" applyFill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9" fillId="0" borderId="21" xfId="0" applyFont="1" applyBorder="1" applyAlignment="1">
      <alignment vertical="top" wrapText="1" shrinkToFit="1"/>
    </xf>
    <xf numFmtId="0" fontId="8" fillId="0" borderId="22" xfId="0" applyFont="1" applyBorder="1" applyAlignment="1">
      <alignment vertical="top" wrapText="1" shrinkToFit="1"/>
    </xf>
    <xf numFmtId="0" fontId="8" fillId="0" borderId="16" xfId="0" applyFont="1" applyBorder="1" applyAlignment="1">
      <alignment vertical="top" wrapText="1"/>
    </xf>
    <xf numFmtId="0" fontId="9" fillId="0" borderId="23" xfId="0" applyFont="1" applyBorder="1" applyAlignment="1">
      <alignment vertical="top" wrapText="1" shrinkToFit="1"/>
    </xf>
    <xf numFmtId="0" fontId="9" fillId="0" borderId="16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3" fillId="14" borderId="1" xfId="4" applyFont="1" applyFill="1" applyBorder="1" applyAlignment="1" applyProtection="1">
      <alignment wrapText="1"/>
      <protection hidden="1"/>
    </xf>
    <xf numFmtId="0" fontId="6" fillId="14" borderId="2" xfId="0" applyFont="1" applyFill="1" applyBorder="1" applyProtection="1">
      <protection hidden="1"/>
    </xf>
    <xf numFmtId="0" fontId="6" fillId="14" borderId="3" xfId="0" applyFont="1" applyFill="1" applyBorder="1" applyProtection="1">
      <protection hidden="1"/>
    </xf>
    <xf numFmtId="0" fontId="14" fillId="0" borderId="6" xfId="4" quotePrefix="1" applyFont="1" applyBorder="1" applyAlignment="1" applyProtection="1">
      <alignment wrapText="1"/>
      <protection hidden="1"/>
    </xf>
    <xf numFmtId="0" fontId="2" fillId="0" borderId="7" xfId="0" applyFont="1" applyBorder="1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8" fillId="5" borderId="10" xfId="0" applyFont="1" applyFill="1" applyBorder="1" applyAlignment="1" applyProtection="1">
      <alignment vertical="center" wrapText="1" shrinkToFi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" fillId="0" borderId="5" xfId="0" applyFont="1" applyBorder="1" applyAlignment="1" applyProtection="1">
      <alignment wrapText="1"/>
      <protection hidden="1"/>
    </xf>
    <xf numFmtId="0" fontId="32" fillId="0" borderId="0" xfId="0" applyFont="1" applyProtection="1">
      <protection hidden="1"/>
    </xf>
    <xf numFmtId="0" fontId="14" fillId="0" borderId="0" xfId="2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vertical="top"/>
      <protection hidden="1"/>
    </xf>
    <xf numFmtId="0" fontId="3" fillId="5" borderId="2" xfId="0" applyFont="1" applyFill="1" applyBorder="1" applyAlignment="1" applyProtection="1">
      <alignment vertical="top"/>
      <protection hidden="1"/>
    </xf>
    <xf numFmtId="0" fontId="3" fillId="5" borderId="3" xfId="0" applyFont="1" applyFill="1" applyBorder="1" applyAlignment="1" applyProtection="1">
      <alignment vertical="top"/>
      <protection hidden="1"/>
    </xf>
    <xf numFmtId="0" fontId="10" fillId="5" borderId="10" xfId="1" applyFont="1" applyFill="1" applyBorder="1" applyAlignment="1" applyProtection="1">
      <alignment vertical="center" wrapText="1" shrinkToFit="1"/>
      <protection hidden="1"/>
    </xf>
    <xf numFmtId="0" fontId="8" fillId="6" borderId="10" xfId="0" applyFont="1" applyFill="1" applyBorder="1" applyAlignment="1" applyProtection="1">
      <alignment horizontal="left" vertical="center" wrapText="1"/>
      <protection hidden="1"/>
    </xf>
    <xf numFmtId="0" fontId="8" fillId="5" borderId="4" xfId="0" applyFont="1" applyFill="1" applyBorder="1" applyAlignment="1" applyProtection="1">
      <alignment vertical="top" wrapText="1"/>
      <protection hidden="1"/>
    </xf>
    <xf numFmtId="0" fontId="9" fillId="0" borderId="10" xfId="0" applyFont="1" applyBorder="1" applyAlignment="1" applyProtection="1">
      <alignment horizontal="left" vertical="top" wrapText="1"/>
      <protection hidden="1"/>
    </xf>
    <xf numFmtId="0" fontId="9" fillId="0" borderId="10" xfId="0" applyFont="1" applyBorder="1" applyAlignment="1" applyProtection="1">
      <alignment horizontal="center" vertical="top" wrapText="1"/>
      <protection hidden="1"/>
    </xf>
    <xf numFmtId="0" fontId="9" fillId="0" borderId="10" xfId="0" applyFont="1" applyBorder="1" applyAlignment="1" applyProtection="1">
      <alignment vertical="top" wrapText="1"/>
      <protection hidden="1"/>
    </xf>
    <xf numFmtId="0" fontId="8" fillId="0" borderId="10" xfId="0" applyFont="1" applyBorder="1" applyAlignment="1" applyProtection="1">
      <alignment horizontal="left" vertical="top" wrapText="1"/>
      <protection hidden="1"/>
    </xf>
    <xf numFmtId="0" fontId="8" fillId="0" borderId="10" xfId="0" applyFont="1" applyBorder="1" applyAlignment="1" applyProtection="1">
      <alignment horizontal="center" vertical="top" wrapText="1"/>
      <protection hidden="1"/>
    </xf>
    <xf numFmtId="0" fontId="8" fillId="0" borderId="10" xfId="0" applyFont="1" applyBorder="1" applyAlignment="1" applyProtection="1">
      <alignment vertical="top" wrapText="1"/>
      <protection hidden="1"/>
    </xf>
    <xf numFmtId="0" fontId="8" fillId="5" borderId="10" xfId="0" applyFont="1" applyFill="1" applyBorder="1" applyAlignment="1" applyProtection="1">
      <alignment horizontal="left" vertical="top" wrapText="1" shrinkToFit="1"/>
      <protection hidden="1"/>
    </xf>
    <xf numFmtId="0" fontId="10" fillId="5" borderId="10" xfId="1" applyFont="1" applyFill="1" applyBorder="1" applyAlignment="1" applyProtection="1">
      <alignment horizontal="left" vertical="top" wrapText="1" shrinkToFit="1"/>
      <protection hidden="1"/>
    </xf>
    <xf numFmtId="0" fontId="10" fillId="0" borderId="10" xfId="1" applyFont="1" applyFill="1" applyBorder="1" applyAlignment="1" applyProtection="1">
      <alignment horizontal="left" vertical="top" wrapText="1"/>
      <protection hidden="1"/>
    </xf>
    <xf numFmtId="0" fontId="24" fillId="0" borderId="0" xfId="0" applyFont="1" applyAlignment="1" applyProtection="1">
      <alignment horizontal="left" vertical="top" wrapText="1"/>
      <protection hidden="1"/>
    </xf>
    <xf numFmtId="0" fontId="8" fillId="6" borderId="10" xfId="0" applyFont="1" applyFill="1" applyBorder="1" applyAlignment="1" applyProtection="1">
      <alignment horizontal="left" vertical="top" wrapText="1" shrinkToFit="1"/>
      <protection hidden="1"/>
    </xf>
    <xf numFmtId="49" fontId="8" fillId="0" borderId="0" xfId="0" applyNumberFormat="1" applyFont="1" applyAlignment="1" applyProtection="1">
      <alignment vertical="top"/>
      <protection locked="0"/>
    </xf>
    <xf numFmtId="0" fontId="8" fillId="4" borderId="0" xfId="0" applyFont="1" applyFill="1" applyAlignment="1" applyProtection="1">
      <alignment horizontal="center" vertical="top"/>
      <protection locked="0"/>
    </xf>
    <xf numFmtId="0" fontId="8" fillId="5" borderId="4" xfId="0" applyFont="1" applyFill="1" applyBorder="1" applyAlignment="1" applyProtection="1">
      <alignment vertical="top"/>
      <protection hidden="1"/>
    </xf>
    <xf numFmtId="0" fontId="8" fillId="5" borderId="0" xfId="0" applyFont="1" applyFill="1" applyAlignment="1" applyProtection="1">
      <alignment vertical="top"/>
      <protection hidden="1"/>
    </xf>
    <xf numFmtId="0" fontId="8" fillId="5" borderId="4" xfId="0" applyFont="1" applyFill="1" applyBorder="1" applyAlignment="1" applyProtection="1">
      <alignment horizontal="right" vertical="top"/>
      <protection hidden="1"/>
    </xf>
    <xf numFmtId="0" fontId="8" fillId="5" borderId="0" xfId="0" applyFont="1" applyFill="1" applyAlignment="1" applyProtection="1">
      <alignment horizontal="right"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2" fillId="11" borderId="8" xfId="0" applyFont="1" applyFill="1" applyBorder="1" applyAlignment="1" applyProtection="1">
      <alignment horizontal="center"/>
      <protection hidden="1"/>
    </xf>
    <xf numFmtId="0" fontId="8" fillId="0" borderId="18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8" fillId="0" borderId="17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9" fillId="0" borderId="24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34" fillId="0" borderId="0" xfId="0" applyFont="1" applyAlignment="1">
      <alignment wrapText="1"/>
    </xf>
    <xf numFmtId="0" fontId="8" fillId="0" borderId="28" xfId="0" applyFont="1" applyBorder="1" applyAlignment="1">
      <alignment vertical="top" wrapText="1"/>
    </xf>
    <xf numFmtId="0" fontId="10" fillId="3" borderId="15" xfId="1" applyFont="1" applyFill="1" applyBorder="1" applyAlignment="1" applyProtection="1">
      <alignment vertical="center" wrapText="1" shrinkToFit="1"/>
      <protection hidden="1"/>
    </xf>
    <xf numFmtId="0" fontId="8" fillId="3" borderId="15" xfId="0" applyFont="1" applyFill="1" applyBorder="1" applyAlignment="1" applyProtection="1">
      <alignment vertical="center" wrapText="1" shrinkToFit="1"/>
      <protection hidden="1"/>
    </xf>
    <xf numFmtId="0" fontId="36" fillId="0" borderId="0" xfId="0" applyFont="1" applyAlignment="1" applyProtection="1">
      <alignment vertical="top"/>
      <protection hidden="1"/>
    </xf>
    <xf numFmtId="0" fontId="36" fillId="0" borderId="5" xfId="0" applyFont="1" applyBorder="1" applyAlignment="1" applyProtection="1">
      <alignment vertical="top"/>
      <protection hidden="1"/>
    </xf>
    <xf numFmtId="0" fontId="11" fillId="5" borderId="0" xfId="0" applyFont="1" applyFill="1" applyAlignment="1" applyProtection="1">
      <alignment vertical="top"/>
      <protection hidden="1"/>
    </xf>
    <xf numFmtId="0" fontId="11" fillId="5" borderId="33" xfId="0" applyFont="1" applyFill="1" applyBorder="1" applyAlignment="1" applyProtection="1">
      <alignment vertical="top"/>
      <protection hidden="1"/>
    </xf>
    <xf numFmtId="0" fontId="11" fillId="3" borderId="33" xfId="0" applyFont="1" applyFill="1" applyBorder="1" applyAlignment="1" applyProtection="1">
      <alignment vertical="top"/>
      <protection hidden="1"/>
    </xf>
    <xf numFmtId="0" fontId="11" fillId="6" borderId="34" xfId="0" applyFont="1" applyFill="1" applyBorder="1" applyAlignment="1" applyProtection="1">
      <alignment horizontal="left" vertical="top"/>
      <protection hidden="1"/>
    </xf>
    <xf numFmtId="0" fontId="8" fillId="0" borderId="0" xfId="0" applyFont="1" applyProtection="1">
      <protection hidden="1"/>
    </xf>
    <xf numFmtId="0" fontId="10" fillId="5" borderId="10" xfId="1" applyFont="1" applyFill="1" applyBorder="1" applyAlignment="1" applyProtection="1">
      <alignment wrapText="1"/>
      <protection hidden="1"/>
    </xf>
    <xf numFmtId="0" fontId="8" fillId="5" borderId="10" xfId="0" applyFont="1" applyFill="1" applyBorder="1" applyAlignment="1" applyProtection="1">
      <alignment wrapText="1"/>
      <protection hidden="1"/>
    </xf>
    <xf numFmtId="0" fontId="8" fillId="3" borderId="10" xfId="0" applyFont="1" applyFill="1" applyBorder="1" applyAlignment="1" applyProtection="1">
      <alignment wrapText="1"/>
      <protection hidden="1"/>
    </xf>
    <xf numFmtId="0" fontId="10" fillId="3" borderId="10" xfId="1" applyFont="1" applyFill="1" applyBorder="1" applyAlignment="1" applyProtection="1">
      <alignment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1" fontId="9" fillId="12" borderId="32" xfId="0" applyNumberFormat="1" applyFont="1" applyFill="1" applyBorder="1" applyAlignment="1" applyProtection="1">
      <alignment vertical="top" shrinkToFit="1"/>
      <protection locked="0"/>
    </xf>
    <xf numFmtId="49" fontId="9" fillId="12" borderId="20" xfId="0" applyNumberFormat="1" applyFont="1" applyFill="1" applyBorder="1" applyAlignment="1" applyProtection="1">
      <alignment vertical="top" shrinkToFit="1"/>
      <protection locked="0"/>
    </xf>
    <xf numFmtId="165" fontId="9" fillId="12" borderId="20" xfId="0" applyNumberFormat="1" applyFont="1" applyFill="1" applyBorder="1" applyAlignment="1" applyProtection="1">
      <alignment vertical="top" shrinkToFit="1"/>
      <protection locked="0"/>
    </xf>
    <xf numFmtId="14" fontId="9" fillId="12" borderId="20" xfId="0" applyNumberFormat="1" applyFont="1" applyFill="1" applyBorder="1" applyAlignment="1" applyProtection="1">
      <alignment vertical="top" shrinkToFit="1"/>
      <protection locked="0"/>
    </xf>
    <xf numFmtId="166" fontId="9" fillId="12" borderId="20" xfId="0" applyNumberFormat="1" applyFont="1" applyFill="1" applyBorder="1" applyAlignment="1" applyProtection="1">
      <alignment vertical="top" shrinkToFit="1"/>
      <protection locked="0"/>
    </xf>
    <xf numFmtId="1" fontId="9" fillId="0" borderId="31" xfId="0" applyNumberFormat="1" applyFont="1" applyBorder="1" applyAlignment="1" applyProtection="1">
      <alignment vertical="top" shrinkToFit="1"/>
      <protection locked="0"/>
    </xf>
    <xf numFmtId="49" fontId="9" fillId="0" borderId="19" xfId="0" applyNumberFormat="1" applyFont="1" applyBorder="1" applyAlignment="1" applyProtection="1">
      <alignment vertical="top" shrinkToFit="1"/>
      <protection locked="0"/>
    </xf>
    <xf numFmtId="165" fontId="9" fillId="0" borderId="19" xfId="0" applyNumberFormat="1" applyFont="1" applyBorder="1" applyAlignment="1" applyProtection="1">
      <alignment vertical="top" shrinkToFit="1"/>
      <protection locked="0"/>
    </xf>
    <xf numFmtId="14" fontId="9" fillId="0" borderId="19" xfId="0" applyNumberFormat="1" applyFont="1" applyBorder="1" applyAlignment="1" applyProtection="1">
      <alignment vertical="top" shrinkToFit="1"/>
      <protection locked="0"/>
    </xf>
    <xf numFmtId="166" fontId="9" fillId="0" borderId="19" xfId="0" applyNumberFormat="1" applyFont="1" applyBorder="1" applyAlignment="1" applyProtection="1">
      <alignment vertical="top" shrinkToFit="1"/>
      <protection locked="0"/>
    </xf>
    <xf numFmtId="1" fontId="9" fillId="12" borderId="31" xfId="0" applyNumberFormat="1" applyFont="1" applyFill="1" applyBorder="1" applyAlignment="1" applyProtection="1">
      <alignment vertical="top" shrinkToFit="1"/>
      <protection locked="0"/>
    </xf>
    <xf numFmtId="49" fontId="9" fillId="12" borderId="19" xfId="0" applyNumberFormat="1" applyFont="1" applyFill="1" applyBorder="1" applyAlignment="1" applyProtection="1">
      <alignment vertical="top" shrinkToFit="1"/>
      <protection locked="0"/>
    </xf>
    <xf numFmtId="165" fontId="9" fillId="12" borderId="19" xfId="0" applyNumberFormat="1" applyFont="1" applyFill="1" applyBorder="1" applyAlignment="1" applyProtection="1">
      <alignment vertical="top" shrinkToFit="1"/>
      <protection locked="0"/>
    </xf>
    <xf numFmtId="14" fontId="9" fillId="12" borderId="19" xfId="0" applyNumberFormat="1" applyFont="1" applyFill="1" applyBorder="1" applyAlignment="1" applyProtection="1">
      <alignment vertical="top" shrinkToFit="1"/>
      <protection locked="0"/>
    </xf>
    <xf numFmtId="166" fontId="9" fillId="12" borderId="19" xfId="0" applyNumberFormat="1" applyFont="1" applyFill="1" applyBorder="1" applyAlignment="1" applyProtection="1">
      <alignment vertical="top" shrinkToFit="1"/>
      <protection locked="0"/>
    </xf>
    <xf numFmtId="1" fontId="8" fillId="0" borderId="31" xfId="0" applyNumberFormat="1" applyFont="1" applyBorder="1" applyAlignment="1" applyProtection="1">
      <alignment shrinkToFit="1"/>
      <protection locked="0"/>
    </xf>
    <xf numFmtId="49" fontId="8" fillId="0" borderId="19" xfId="0" applyNumberFormat="1" applyFont="1" applyBorder="1" applyAlignment="1" applyProtection="1">
      <alignment shrinkToFit="1"/>
      <protection locked="0"/>
    </xf>
    <xf numFmtId="165" fontId="8" fillId="0" borderId="19" xfId="0" applyNumberFormat="1" applyFont="1" applyBorder="1" applyAlignment="1" applyProtection="1">
      <alignment shrinkToFit="1"/>
      <protection locked="0"/>
    </xf>
    <xf numFmtId="49" fontId="8" fillId="0" borderId="19" xfId="0" applyNumberFormat="1" applyFont="1" applyBorder="1" applyProtection="1">
      <protection locked="0"/>
    </xf>
    <xf numFmtId="14" fontId="8" fillId="0" borderId="19" xfId="0" applyNumberFormat="1" applyFont="1" applyBorder="1" applyProtection="1">
      <protection locked="0"/>
    </xf>
    <xf numFmtId="166" fontId="8" fillId="0" borderId="19" xfId="0" applyNumberFormat="1" applyFont="1" applyBorder="1" applyProtection="1">
      <protection locked="0"/>
    </xf>
    <xf numFmtId="1" fontId="8" fillId="12" borderId="31" xfId="0" applyNumberFormat="1" applyFont="1" applyFill="1" applyBorder="1" applyAlignment="1" applyProtection="1">
      <alignment shrinkToFit="1"/>
      <protection locked="0"/>
    </xf>
    <xf numFmtId="49" fontId="8" fillId="12" borderId="19" xfId="0" applyNumberFormat="1" applyFont="1" applyFill="1" applyBorder="1" applyAlignment="1" applyProtection="1">
      <alignment shrinkToFit="1"/>
      <protection locked="0"/>
    </xf>
    <xf numFmtId="165" fontId="8" fillId="12" borderId="19" xfId="0" applyNumberFormat="1" applyFont="1" applyFill="1" applyBorder="1" applyAlignment="1" applyProtection="1">
      <alignment shrinkToFit="1"/>
      <protection locked="0"/>
    </xf>
    <xf numFmtId="49" fontId="8" fillId="12" borderId="19" xfId="0" applyNumberFormat="1" applyFont="1" applyFill="1" applyBorder="1" applyProtection="1">
      <protection locked="0"/>
    </xf>
    <xf numFmtId="14" fontId="8" fillId="12" borderId="19" xfId="0" applyNumberFormat="1" applyFont="1" applyFill="1" applyBorder="1" applyProtection="1">
      <protection locked="0"/>
    </xf>
    <xf numFmtId="166" fontId="8" fillId="12" borderId="19" xfId="0" applyNumberFormat="1" applyFont="1" applyFill="1" applyBorder="1" applyProtection="1">
      <protection locked="0"/>
    </xf>
    <xf numFmtId="0" fontId="3" fillId="0" borderId="4" xfId="0" applyFont="1" applyBorder="1" applyAlignment="1" applyProtection="1">
      <alignment vertical="top"/>
      <protection hidden="1"/>
    </xf>
    <xf numFmtId="0" fontId="3" fillId="0" borderId="5" xfId="0" applyFont="1" applyBorder="1" applyAlignment="1" applyProtection="1">
      <alignment vertical="top"/>
      <protection hidden="1"/>
    </xf>
    <xf numFmtId="0" fontId="14" fillId="0" borderId="4" xfId="2" applyFont="1" applyBorder="1" applyProtection="1">
      <protection hidden="1"/>
    </xf>
    <xf numFmtId="0" fontId="14" fillId="0" borderId="5" xfId="2" applyFont="1" applyBorder="1" applyProtection="1">
      <protection hidden="1"/>
    </xf>
    <xf numFmtId="49" fontId="14" fillId="0" borderId="4" xfId="2" applyNumberFormat="1" applyFont="1" applyBorder="1" applyProtection="1">
      <protection hidden="1"/>
    </xf>
    <xf numFmtId="49" fontId="2" fillId="0" borderId="4" xfId="0" applyNumberFormat="1" applyFont="1" applyBorder="1" applyProtection="1">
      <protection hidden="1"/>
    </xf>
    <xf numFmtId="49" fontId="3" fillId="0" borderId="6" xfId="0" applyNumberFormat="1" applyFont="1" applyBorder="1" applyProtection="1">
      <protection hidden="1"/>
    </xf>
    <xf numFmtId="0" fontId="2" fillId="11" borderId="7" xfId="0" applyFont="1" applyFill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5" xfId="0" quotePrefix="1" applyFont="1" applyBorder="1" applyAlignment="1" applyProtection="1">
      <alignment horizontal="left"/>
      <protection hidden="1"/>
    </xf>
    <xf numFmtId="0" fontId="2" fillId="11" borderId="7" xfId="0" applyFont="1" applyFill="1" applyBorder="1" applyAlignment="1" applyProtection="1">
      <alignment horizontal="left"/>
      <protection hidden="1"/>
    </xf>
    <xf numFmtId="0" fontId="2" fillId="11" borderId="8" xfId="0" quotePrefix="1" applyFont="1" applyFill="1" applyBorder="1" applyAlignment="1" applyProtection="1">
      <alignment horizontal="left"/>
      <protection hidden="1"/>
    </xf>
    <xf numFmtId="0" fontId="37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1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1" fillId="0" borderId="0" xfId="0" applyFont="1" applyProtection="1">
      <protection hidden="1"/>
    </xf>
    <xf numFmtId="0" fontId="21" fillId="0" borderId="7" xfId="0" applyFont="1" applyBorder="1" applyProtection="1">
      <protection hidden="1"/>
    </xf>
    <xf numFmtId="0" fontId="11" fillId="16" borderId="13" xfId="0" applyFont="1" applyFill="1" applyBorder="1" applyAlignment="1" applyProtection="1">
      <alignment horizontal="left" vertical="center"/>
      <protection hidden="1"/>
    </xf>
    <xf numFmtId="0" fontId="11" fillId="16" borderId="8" xfId="0" applyFont="1" applyFill="1" applyBorder="1" applyAlignment="1" applyProtection="1">
      <alignment horizontal="left" vertical="center"/>
      <protection hidden="1"/>
    </xf>
    <xf numFmtId="0" fontId="8" fillId="5" borderId="11" xfId="0" applyFont="1" applyFill="1" applyBorder="1" applyAlignment="1" applyProtection="1">
      <alignment horizontal="left" vertical="top"/>
      <protection hidden="1"/>
    </xf>
    <xf numFmtId="0" fontId="8" fillId="5" borderId="12" xfId="0" applyFont="1" applyFill="1" applyBorder="1" applyAlignment="1" applyProtection="1">
      <alignment horizontal="left" vertical="top"/>
      <protection hidden="1"/>
    </xf>
    <xf numFmtId="0" fontId="8" fillId="5" borderId="9" xfId="0" applyFont="1" applyFill="1" applyBorder="1" applyAlignment="1" applyProtection="1">
      <alignment horizontal="left" vertical="top"/>
      <protection hidden="1"/>
    </xf>
    <xf numFmtId="0" fontId="11" fillId="5" borderId="11" xfId="0" applyFont="1" applyFill="1" applyBorder="1" applyAlignment="1" applyProtection="1">
      <alignment horizontal="left" vertical="top"/>
      <protection hidden="1"/>
    </xf>
    <xf numFmtId="0" fontId="11" fillId="5" borderId="12" xfId="0" applyFont="1" applyFill="1" applyBorder="1" applyAlignment="1" applyProtection="1">
      <alignment horizontal="left" vertical="top"/>
      <protection hidden="1"/>
    </xf>
    <xf numFmtId="0" fontId="11" fillId="5" borderId="9" xfId="0" applyFont="1" applyFill="1" applyBorder="1" applyAlignment="1" applyProtection="1">
      <alignment horizontal="left" vertical="top"/>
      <protection hidden="1"/>
    </xf>
    <xf numFmtId="0" fontId="8" fillId="3" borderId="10" xfId="0" applyFont="1" applyFill="1" applyBorder="1" applyAlignment="1" applyProtection="1">
      <alignment horizontal="left" vertical="top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9" borderId="6" xfId="0" applyFont="1" applyFill="1" applyBorder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vertical="top"/>
      <protection locked="0"/>
    </xf>
    <xf numFmtId="0" fontId="8" fillId="4" borderId="0" xfId="0" applyFont="1" applyFill="1" applyAlignment="1" applyProtection="1">
      <alignment horizontal="center" vertical="top"/>
      <protection locked="0"/>
    </xf>
    <xf numFmtId="0" fontId="24" fillId="5" borderId="1" xfId="0" applyFont="1" applyFill="1" applyBorder="1" applyAlignment="1" applyProtection="1">
      <alignment vertical="top"/>
      <protection hidden="1"/>
    </xf>
    <xf numFmtId="0" fontId="24" fillId="5" borderId="2" xfId="0" applyFont="1" applyFill="1" applyBorder="1" applyAlignment="1" applyProtection="1">
      <alignment vertical="top"/>
      <protection hidden="1"/>
    </xf>
    <xf numFmtId="0" fontId="35" fillId="5" borderId="2" xfId="0" applyFont="1" applyFill="1" applyBorder="1" applyAlignment="1" applyProtection="1">
      <alignment horizontal="center" vertical="top"/>
      <protection hidden="1"/>
    </xf>
    <xf numFmtId="0" fontId="22" fillId="5" borderId="7" xfId="0" applyFont="1" applyFill="1" applyBorder="1" applyAlignment="1" applyProtection="1">
      <alignment horizontal="center" vertical="top"/>
      <protection hidden="1"/>
    </xf>
    <xf numFmtId="49" fontId="19" fillId="0" borderId="0" xfId="0" applyNumberFormat="1" applyFont="1" applyAlignment="1" applyProtection="1">
      <alignment vertical="top"/>
      <protection locked="0"/>
    </xf>
    <xf numFmtId="14" fontId="8" fillId="4" borderId="0" xfId="0" applyNumberFormat="1" applyFont="1" applyFill="1" applyAlignment="1" applyProtection="1">
      <alignment horizontal="center" vertical="top"/>
      <protection locked="0"/>
    </xf>
    <xf numFmtId="0" fontId="18" fillId="5" borderId="1" xfId="0" applyFont="1" applyFill="1" applyBorder="1" applyAlignment="1" applyProtection="1">
      <alignment vertical="top"/>
      <protection hidden="1"/>
    </xf>
    <xf numFmtId="0" fontId="18" fillId="5" borderId="2" xfId="0" applyFont="1" applyFill="1" applyBorder="1" applyAlignment="1" applyProtection="1">
      <alignment vertical="top"/>
      <protection hidden="1"/>
    </xf>
    <xf numFmtId="0" fontId="8" fillId="5" borderId="4" xfId="0" applyFont="1" applyFill="1" applyBorder="1" applyAlignment="1" applyProtection="1">
      <alignment horizontal="right" vertical="top"/>
      <protection hidden="1"/>
    </xf>
    <xf numFmtId="0" fontId="8" fillId="5" borderId="0" xfId="0" applyFont="1" applyFill="1" applyAlignment="1" applyProtection="1">
      <alignment horizontal="right" vertical="top"/>
      <protection hidden="1"/>
    </xf>
    <xf numFmtId="0" fontId="31" fillId="9" borderId="12" xfId="0" applyFont="1" applyFill="1" applyBorder="1" applyAlignment="1" applyProtection="1">
      <alignment vertical="top"/>
      <protection hidden="1"/>
    </xf>
    <xf numFmtId="164" fontId="9" fillId="5" borderId="14" xfId="0" applyNumberFormat="1" applyFont="1" applyFill="1" applyBorder="1" applyAlignment="1" applyProtection="1">
      <alignment horizontal="center" vertical="center"/>
      <protection hidden="1"/>
    </xf>
    <xf numFmtId="0" fontId="8" fillId="5" borderId="4" xfId="0" applyFont="1" applyFill="1" applyBorder="1" applyAlignment="1" applyProtection="1">
      <alignment vertical="top"/>
      <protection hidden="1"/>
    </xf>
    <xf numFmtId="0" fontId="8" fillId="5" borderId="0" xfId="0" applyFont="1" applyFill="1" applyAlignment="1" applyProtection="1">
      <alignment vertical="top"/>
      <protection hidden="1"/>
    </xf>
    <xf numFmtId="0" fontId="9" fillId="3" borderId="10" xfId="0" applyFont="1" applyFill="1" applyBorder="1" applyAlignment="1" applyProtection="1">
      <alignment horizontal="left" vertical="top"/>
      <protection hidden="1"/>
    </xf>
    <xf numFmtId="0" fontId="8" fillId="0" borderId="0" xfId="0" applyFont="1" applyAlignment="1" applyProtection="1">
      <alignment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20" fillId="2" borderId="6" xfId="0" applyFont="1" applyFill="1" applyBorder="1" applyAlignment="1" applyProtection="1">
      <alignment horizontal="center" vertical="top"/>
      <protection hidden="1"/>
    </xf>
    <xf numFmtId="0" fontId="20" fillId="2" borderId="7" xfId="0" applyFont="1" applyFill="1" applyBorder="1" applyAlignment="1" applyProtection="1">
      <alignment horizontal="center" vertical="top"/>
      <protection hidden="1"/>
    </xf>
    <xf numFmtId="0" fontId="11" fillId="15" borderId="1" xfId="0" applyFont="1" applyFill="1" applyBorder="1" applyAlignment="1" applyProtection="1">
      <alignment horizontal="left" vertical="top"/>
      <protection hidden="1"/>
    </xf>
    <xf numFmtId="0" fontId="11" fillId="15" borderId="2" xfId="0" applyFont="1" applyFill="1" applyBorder="1" applyAlignment="1" applyProtection="1">
      <alignment horizontal="left" vertical="top"/>
      <protection hidden="1"/>
    </xf>
    <xf numFmtId="0" fontId="11" fillId="15" borderId="3" xfId="0" applyFont="1" applyFill="1" applyBorder="1" applyAlignment="1" applyProtection="1">
      <alignment horizontal="left" vertical="top"/>
      <protection hidden="1"/>
    </xf>
    <xf numFmtId="0" fontId="6" fillId="0" borderId="0" xfId="0" applyFont="1" applyProtection="1">
      <protection hidden="1"/>
    </xf>
    <xf numFmtId="0" fontId="6" fillId="14" borderId="0" xfId="0" applyFont="1" applyFill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32" fillId="0" borderId="0" xfId="0" applyFont="1" applyProtection="1">
      <protection hidden="1"/>
    </xf>
    <xf numFmtId="0" fontId="2" fillId="11" borderId="7" xfId="0" applyFont="1" applyFill="1" applyBorder="1" applyAlignment="1" applyProtection="1">
      <alignment horizontal="center"/>
      <protection hidden="1"/>
    </xf>
    <xf numFmtId="0" fontId="2" fillId="11" borderId="8" xfId="0" applyFont="1" applyFill="1" applyBorder="1" applyAlignment="1" applyProtection="1">
      <alignment horizontal="center"/>
      <protection hidden="1"/>
    </xf>
    <xf numFmtId="0" fontId="8" fillId="3" borderId="13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9" fillId="3" borderId="14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center" vertical="center" wrapText="1"/>
      <protection hidden="1"/>
    </xf>
    <xf numFmtId="0" fontId="9" fillId="16" borderId="1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top"/>
      <protection hidden="1"/>
    </xf>
    <xf numFmtId="0" fontId="12" fillId="0" borderId="10" xfId="0" applyFont="1" applyBorder="1" applyAlignment="1" applyProtection="1">
      <alignment horizontal="center" vertical="center" textRotation="90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vertical="top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8" fillId="5" borderId="10" xfId="0" applyFont="1" applyFill="1" applyBorder="1" applyAlignment="1" applyProtection="1">
      <alignment horizontal="center" vertical="center" wrapText="1"/>
      <protection hidden="1"/>
    </xf>
    <xf numFmtId="0" fontId="8" fillId="5" borderId="13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9" fillId="5" borderId="15" xfId="0" applyFont="1" applyFill="1" applyBorder="1" applyAlignment="1" applyProtection="1">
      <alignment horizontal="center" vertical="center" wrapText="1"/>
      <protection hidden="1"/>
    </xf>
    <xf numFmtId="0" fontId="27" fillId="8" borderId="0" xfId="0" applyFont="1" applyFill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13" fillId="7" borderId="0" xfId="0" applyFont="1" applyFill="1" applyAlignment="1" applyProtection="1">
      <alignment vertical="top"/>
      <protection hidden="1"/>
    </xf>
  </cellXfs>
  <cellStyles count="5">
    <cellStyle name="Hyperlink" xfId="1" builtinId="8"/>
    <cellStyle name="Normal" xfId="0" builtinId="0"/>
    <cellStyle name="Normal 2" xfId="3" xr:uid="{00000000-0005-0000-0000-000002000000}"/>
    <cellStyle name="Normal_codes" xfId="2" xr:uid="{00000000-0005-0000-0000-000003000000}"/>
    <cellStyle name="Normal_codes_1" xfId="4" xr:uid="{1E50F3E5-D1D4-4F08-9A24-2DB9C0B62D9B}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7"/>
        </right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theme="7"/>
        </left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family val="2"/>
        <scheme val="minor"/>
      </font>
      <fill>
        <patternFill patternType="solid">
          <fgColor theme="7"/>
          <bgColor theme="7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6" formatCode="0.0000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6" formatCode="0.0000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7" formatCode="yyyy/mm/dd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7" formatCode="yyyy/mm/dd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65" formatCode="0.0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30" formatCode="@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theme="6"/>
        </left>
        <right/>
        <top style="thin">
          <color theme="6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1" formatCode="0"/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border diagonalUp="0" diagonalDown="0">
        <left/>
        <right/>
        <top style="thin">
          <color theme="6"/>
        </top>
        <bottom/>
        <vertical/>
        <horizontal/>
      </border>
      <protection locked="0" hidden="0"/>
    </dxf>
    <dxf>
      <border outline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theme="6" tint="0.79998168889431442"/>
          <bgColor theme="6" tint="0.79998168889431442"/>
        </patternFill>
      </fill>
      <alignment horizontal="general" vertical="top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top" textRotation="0" wrapText="0" indent="0" justifyLastLine="0" shrinkToFit="0" readingOrder="0"/>
      <protection locked="1" hidden="1"/>
    </dxf>
  </dxfs>
  <tableStyles count="0" defaultTableStyle="TableStyleMedium9" defaultPivotStyle="PivotStyleLight16"/>
  <colors>
    <mruColors>
      <color rgb="FFFFFF99"/>
      <color rgb="FF0000FF"/>
      <color rgb="FF00FFFF"/>
      <color rgb="FF00FFCC"/>
      <color rgb="FFFAB8B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5D6E1-A127-4485-A49F-31FC6AEE1CF4}" name="tblIUUVessels" displayName="tblIUUVessels" ref="A24:W51" totalsRowShown="0" headerRowDxfId="39" dataDxfId="38" tableBorderDxfId="37">
  <autoFilter ref="A24:W51" xr:uid="{E483B182-3F02-4239-A8F1-BBB9AF56B82D}"/>
  <tableColumns count="23">
    <tableColumn id="1" xr3:uid="{E60E4021-5D56-463F-934A-A1AF3E73BC05}" name="VessID" dataDxfId="36"/>
    <tableColumn id="2" xr3:uid="{47FF126B-8CFD-46F2-824C-FDAEED6A0A76}" name="VesselName" dataDxfId="35"/>
    <tableColumn id="3" xr3:uid="{CEE0C9E5-303C-4566-9BBA-398583A3CE6E}" name="FlagCd" dataDxfId="34"/>
    <tableColumn id="4" xr3:uid="{5A6AA89C-71EF-4E65-BB20-360972445021}" name="GearCd" dataDxfId="33"/>
    <tableColumn id="5" xr3:uid="{10B31D61-78C5-4A74-8418-A7357E9451C1}" name="IRCS" dataDxfId="32"/>
    <tableColumn id="6" xr3:uid="{315528CE-9581-48FE-9522-1B9AD7567C96}" name="IMONo" dataDxfId="31"/>
    <tableColumn id="7" xr3:uid="{056B4B76-AF9E-42EB-BBB3-B9EE11F87F74}" name="LOAm" dataDxfId="30"/>
    <tableColumn id="8" xr3:uid="{C20C5C7C-EDB7-4851-8220-99B7517F9349}" name="OwName" dataDxfId="29"/>
    <tableColumn id="9" xr3:uid="{8B1B616E-494B-4DAC-99B6-6FAB191609D2}" name="OwAddrs" dataDxfId="28"/>
    <tableColumn id="10" xr3:uid="{24334E1E-AF75-4790-88DF-BE3A05220F2C}" name="OwPlaceReg" dataDxfId="27"/>
    <tableColumn id="11" xr3:uid="{280CA42B-7348-47EE-B6DC-CDFEF7DE666D}" name="OpName" dataDxfId="26"/>
    <tableColumn id="12" xr3:uid="{ACE9AC0F-AAED-4CEA-961B-9F12F0851FE7}" name="OpAddrs" dataDxfId="25"/>
    <tableColumn id="13" xr3:uid="{B1C3A2FE-8ADB-451C-9390-C98510C75968}" name="DateRec" dataDxfId="24"/>
    <tableColumn id="14" xr3:uid="{9CF88711-4567-48EB-927D-18596CC97EA5}" name="ICCATReg" dataDxfId="23"/>
    <tableColumn id="15" xr3:uid="{4050B791-EEE1-4F9E-94C2-33ECCC3CD5AC}" name="InfrgmtCd" dataDxfId="22"/>
    <tableColumn id="16" xr3:uid="{1414A812-8F6C-44BD-B854-571388FFC5F9}" name="RepFlagCd" dataDxfId="21"/>
    <tableColumn id="17" xr3:uid="{1DF000F9-3922-4107-8725-72064A1C7EDC}" name="RepRFMOCd" dataDxfId="20"/>
    <tableColumn id="18" xr3:uid="{93696255-7E1A-45C9-9296-92A498C3A7E8}" name="AreaCd" dataDxfId="19"/>
    <tableColumn id="19" xr3:uid="{612BEA46-AE46-4032-940D-C46708C3D774}" name="ActvLat" dataDxfId="18"/>
    <tableColumn id="20" xr3:uid="{83C4AC7D-4F32-4874-BFBF-FB09CC554D15}" name="ActvLon" dataDxfId="17"/>
    <tableColumn id="21" xr3:uid="{5F35FC4E-C4C4-4B0E-98D0-3D8BC938169A}" name="ActvActions" dataDxfId="16"/>
    <tableColumn id="22" xr3:uid="{EB58F14C-4783-41D9-9FC7-BCB1719862FB}" name="ActvOutcome" dataDxfId="15"/>
    <tableColumn id="23" xr3:uid="{3BBD270E-6A96-48D0-813F-0D73B93B1DE1}" name="Remarks" dataDxfId="14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A2E82B-4209-4CBB-A536-9CB23CFAAE08}" name="tblTranslation" displayName="tblTranslation" ref="A4:L73" totalsRowShown="0" headerRowDxfId="13" dataDxfId="12">
  <autoFilter ref="A4:L73" xr:uid="{08D12D5F-A943-4947-98EE-CDCB7EB94A9D}"/>
  <tableColumns count="12">
    <tableColumn id="1" xr3:uid="{77D3968F-0284-4774-AAB5-186CD59E3A19}" name="FieldID" dataDxfId="11"/>
    <tableColumn id="2" xr3:uid="{96059F0C-5B8D-44E0-B2FA-B158CD0A2598}" name="Order" dataDxfId="10"/>
    <tableColumn id="3" xr3:uid="{61244B33-12A1-49C1-91AC-28DA48920AD9}" name="Subform" dataDxfId="9"/>
    <tableColumn id="4" xr3:uid="{E0ABDD25-067B-4477-B630-A416C6752E3A}" name="Section" dataDxfId="8"/>
    <tableColumn id="5" xr3:uid="{BA66E381-7E18-4FF2-983D-0943AC5E5272}" name="Item" dataDxfId="7"/>
    <tableColumn id="6" xr3:uid="{3E5CA979-E5B8-44EE-BB1F-5B963F59111D}" name="FieldType" dataDxfId="6"/>
    <tableColumn id="7" xr3:uid="{1503E0F2-BC1A-4175-963C-B2521C62D005}" name="FldNameEN" dataDxfId="5"/>
    <tableColumn id="8" xr3:uid="{9F87F528-68E3-422E-BC8F-3FA0A180728D}" name="FldNameFR" dataDxfId="4"/>
    <tableColumn id="9" xr3:uid="{97C0F078-BC17-429D-915A-BB265E0A8252}" name="FldNameES" dataDxfId="3"/>
    <tableColumn id="10" xr3:uid="{A6AB7EC2-ED0C-45D2-84A3-83EA36EB5054}" name="fldDescEN" dataDxfId="2"/>
    <tableColumn id="11" xr3:uid="{BBA7622A-E1EB-4A2C-87CE-EC35B00EF8CD}" name="fldDescFR" dataDxfId="1"/>
    <tableColumn id="12" xr3:uid="{9E5252CE-1BCE-4478-96F9-D67D8C078204}" name="fldDescE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W52"/>
  <sheetViews>
    <sheetView tabSelected="1" zoomScaleNormal="100" workbookViewId="0">
      <selection activeCell="H14" sqref="H14"/>
    </sheetView>
  </sheetViews>
  <sheetFormatPr defaultColWidth="8.6640625" defaultRowHeight="12" x14ac:dyDescent="0.3"/>
  <cols>
    <col min="1" max="1" width="18.33203125" style="3" bestFit="1" customWidth="1"/>
    <col min="2" max="2" width="24.109375" style="3" bestFit="1" customWidth="1"/>
    <col min="3" max="3" width="12.109375" style="3" customWidth="1"/>
    <col min="4" max="5" width="10" style="3" bestFit="1" customWidth="1"/>
    <col min="6" max="6" width="10.88671875" style="3" bestFit="1" customWidth="1"/>
    <col min="7" max="7" width="8.33203125" style="3" bestFit="1" customWidth="1"/>
    <col min="8" max="8" width="24.109375" style="3" bestFit="1" customWidth="1"/>
    <col min="9" max="9" width="19.44140625" style="3" bestFit="1" customWidth="1"/>
    <col min="10" max="10" width="20" style="3" bestFit="1" customWidth="1"/>
    <col min="11" max="12" width="19.44140625" style="3" bestFit="1" customWidth="1"/>
    <col min="13" max="13" width="9.6640625" style="3" customWidth="1"/>
    <col min="14" max="14" width="11.33203125" style="3" customWidth="1"/>
    <col min="15" max="15" width="11" style="3" customWidth="1"/>
    <col min="16" max="16" width="11.88671875" style="3" customWidth="1"/>
    <col min="17" max="17" width="13.33203125" style="3" customWidth="1"/>
    <col min="18" max="18" width="11.88671875" style="3" customWidth="1"/>
    <col min="19" max="20" width="11.88671875" style="2" customWidth="1"/>
    <col min="21" max="22" width="19.44140625" style="2" bestFit="1" customWidth="1"/>
    <col min="23" max="23" width="25.33203125" style="3" customWidth="1"/>
    <col min="24" max="16384" width="8.6640625" style="3"/>
  </cols>
  <sheetData>
    <row r="1" spans="1:20" s="4" customFormat="1" ht="21" x14ac:dyDescent="0.3">
      <c r="A1" s="192" t="str">
        <f>VLOOKUP("T00",tblTranslation[],LangFieldID,FALSE)</f>
        <v>CP11-IUULst</v>
      </c>
      <c r="B1" s="198" t="str">
        <f>VLOOKUP("T00",tblTranslation[],LangNameID,FALSE)</f>
        <v>AVAILABLE INFORMATION ON VESSELS PRESUMED TO BE CARRYING OUT ILLEGAL, UNREPORTED AND UNREGULATED FISHING ACTIVITIES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9" t="str">
        <f>VLOOKUP("tVersion",tblTranslation[],LangFieldID,FALSE)</f>
        <v>Version</v>
      </c>
      <c r="O1" s="10" t="str">
        <f>VLOOKUP("tLang",tblTranslation[],LangFieldID,FALSE)</f>
        <v>Language</v>
      </c>
    </row>
    <row r="2" spans="1:20" s="4" customFormat="1" x14ac:dyDescent="0.3">
      <c r="A2" s="193"/>
      <c r="B2" s="199" t="str">
        <f>VLOOKUP("T02",tblTranslation[],LangFieldID,FALSE)&amp;": "&amp; VLOOKUP("T02",tblTranslation[],LangNameID,FALSE)</f>
        <v>ICCAT: INTERNATIONAL COMMISSION FOR THE CONSERVATION OF ATLANTIC TUNAS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1" t="s">
        <v>1083</v>
      </c>
      <c r="O2" s="1" t="s">
        <v>647</v>
      </c>
    </row>
    <row r="3" spans="1:20" s="7" customFormat="1" ht="10.199999999999999" x14ac:dyDescent="0.3">
      <c r="C3" s="36"/>
      <c r="D3" s="36"/>
      <c r="E3" s="36"/>
      <c r="F3" s="36"/>
      <c r="G3" s="36"/>
      <c r="H3" s="36"/>
      <c r="I3" s="36"/>
    </row>
    <row r="4" spans="1:20" s="7" customFormat="1" ht="10.199999999999999" x14ac:dyDescent="0.3">
      <c r="A4" s="196" t="str">
        <f>VLOOKUP("H10",tblTranslation[],LangFieldID,FALSE)</f>
        <v>Flag Correspondent</v>
      </c>
      <c r="B4" s="197"/>
      <c r="C4" s="197"/>
      <c r="D4" s="197"/>
      <c r="E4" s="197"/>
      <c r="F4" s="197"/>
      <c r="G4" s="197"/>
      <c r="H4" s="197"/>
      <c r="I4" s="16" t="str">
        <f>IF(AND(B5&gt;0,B6&gt;0,B7&gt;0,G5&gt;0,G6&gt;0), "ok", "inc")</f>
        <v>inc</v>
      </c>
      <c r="J4" s="202" t="str">
        <f>VLOOKUP("H20",tblTranslation[],LangFieldID,FALSE)</f>
        <v>Secretariat use only</v>
      </c>
      <c r="K4" s="203"/>
      <c r="L4" s="203"/>
      <c r="M4" s="203"/>
      <c r="N4" s="203"/>
      <c r="O4" s="44" t="s">
        <v>557</v>
      </c>
    </row>
    <row r="5" spans="1:20" s="7" customFormat="1" ht="10.199999999999999" x14ac:dyDescent="0.3">
      <c r="A5" s="109" t="str">
        <f>VLOOKUP("hPerson",tblTranslation[],LangFieldID,FALSE)</f>
        <v>Name</v>
      </c>
      <c r="B5" s="194"/>
      <c r="C5" s="194"/>
      <c r="D5" s="194"/>
      <c r="E5" s="21"/>
      <c r="F5" s="110" t="str">
        <f>VLOOKUP("hEmail",tblTranslation[],LangFieldID,FALSE)</f>
        <v>Email</v>
      </c>
      <c r="G5" s="200"/>
      <c r="H5" s="200"/>
      <c r="I5" s="20"/>
      <c r="J5" s="204" t="str">
        <f>VLOOKUP("hDateRep",tblTranslation[],LangFieldID,FALSE)</f>
        <v>Date reported</v>
      </c>
      <c r="K5" s="205"/>
      <c r="L5" s="201"/>
      <c r="M5" s="201"/>
      <c r="N5" s="108"/>
      <c r="O5" s="207" t="s">
        <v>573</v>
      </c>
      <c r="T5" s="83"/>
    </row>
    <row r="6" spans="1:20" s="7" customFormat="1" ht="10.199999999999999" x14ac:dyDescent="0.3">
      <c r="A6" s="109" t="str">
        <f>VLOOKUP("hAgency",tblTranslation[],LangFieldID,FALSE)</f>
        <v>Reporting Agency</v>
      </c>
      <c r="B6" s="194"/>
      <c r="C6" s="194"/>
      <c r="D6" s="194"/>
      <c r="E6" s="194"/>
      <c r="F6" s="110" t="str">
        <f>VLOOKUP("hPhone",tblTranslation[],LangFieldID,FALSE)</f>
        <v>Phone</v>
      </c>
      <c r="G6" s="105"/>
      <c r="H6" s="21"/>
      <c r="I6" s="20"/>
      <c r="J6" s="204" t="str">
        <f>VLOOKUP("hRef",tblTranslation[],LangFieldID,FALSE)</f>
        <v>Reference Nº</v>
      </c>
      <c r="K6" s="205"/>
      <c r="L6" s="195"/>
      <c r="M6" s="195"/>
      <c r="N6" s="37"/>
      <c r="O6" s="207"/>
      <c r="T6" s="83"/>
    </row>
    <row r="7" spans="1:20" s="7" customFormat="1" ht="10.199999999999999" x14ac:dyDescent="0.3">
      <c r="A7" s="109" t="str">
        <f>VLOOKUP("hAddress",tblTranslation[],LangFieldID,FALSE)</f>
        <v>Address</v>
      </c>
      <c r="B7" s="194"/>
      <c r="C7" s="194"/>
      <c r="D7" s="194"/>
      <c r="E7" s="194"/>
      <c r="F7" s="108"/>
      <c r="G7" s="108"/>
      <c r="H7" s="108"/>
      <c r="I7" s="20"/>
      <c r="J7" s="48"/>
      <c r="K7" s="49" t="s">
        <v>672</v>
      </c>
      <c r="L7" s="106"/>
      <c r="M7" s="14"/>
      <c r="N7" s="37"/>
      <c r="O7" s="207"/>
    </row>
    <row r="8" spans="1:20" s="7" customFormat="1" ht="10.199999999999999" x14ac:dyDescent="0.3">
      <c r="A8" s="109"/>
      <c r="B8" s="108"/>
      <c r="C8" s="108"/>
      <c r="D8" s="108"/>
      <c r="E8" s="108"/>
      <c r="F8" s="108"/>
      <c r="G8" s="108"/>
      <c r="H8" s="108"/>
      <c r="I8" s="20"/>
      <c r="J8" s="208" t="str">
        <f>VLOOKUP("hFname",tblTranslation[],LangFieldID,FALSE)&amp;":"</f>
        <v>File name (proposed):</v>
      </c>
      <c r="K8" s="209"/>
      <c r="L8" s="209"/>
      <c r="M8" s="14"/>
      <c r="N8" s="37"/>
      <c r="O8" s="47"/>
    </row>
    <row r="9" spans="1:20" s="7" customFormat="1" ht="10.199999999999999" x14ac:dyDescent="0.3">
      <c r="A9" s="8"/>
      <c r="B9" s="13"/>
      <c r="C9" s="13"/>
      <c r="D9" s="13"/>
      <c r="E9" s="13"/>
      <c r="F9" s="13"/>
      <c r="G9" s="13"/>
      <c r="H9" s="13"/>
      <c r="I9" s="22"/>
      <c r="J9" s="213" t="str">
        <f>IF(AND(I4="ok",I10="ok"),"CP11_"&amp;D11&amp;IF(AND(L5&gt;0,L6&gt;0),"#"&amp;L6&amp;".xlsx","#[suffix].xlsx"),"")</f>
        <v/>
      </c>
      <c r="K9" s="214"/>
      <c r="L9" s="214"/>
      <c r="M9" s="214"/>
      <c r="N9" s="214"/>
      <c r="O9" s="38"/>
    </row>
    <row r="10" spans="1:20" s="7" customFormat="1" ht="10.199999999999999" x14ac:dyDescent="0.3">
      <c r="A10" s="202" t="str">
        <f>VLOOKUP("H30",tblTranslation[],LangFieldID,FALSE)</f>
        <v>Data set characteristics</v>
      </c>
      <c r="B10" s="203"/>
      <c r="C10" s="203"/>
      <c r="D10" s="203"/>
      <c r="E10" s="203"/>
      <c r="F10" s="108"/>
      <c r="G10" s="108"/>
      <c r="H10" s="108"/>
      <c r="I10" s="19" t="str">
        <f>IF(AND(B11&gt;0), "ok", "inc")</f>
        <v>inc</v>
      </c>
      <c r="J10" s="17" t="str">
        <f>VLOOKUP("hNotes",tblTranslation[],LangFieldID,FALSE)</f>
        <v>Notes</v>
      </c>
      <c r="K10" s="17"/>
      <c r="L10" s="17"/>
      <c r="M10" s="108"/>
      <c r="N10" s="108"/>
      <c r="O10" s="18"/>
    </row>
    <row r="11" spans="1:20" s="7" customFormat="1" ht="10.199999999999999" x14ac:dyDescent="0.3">
      <c r="A11" s="45" t="str">
        <f>VLOOKUP("hFlagRep",tblTranslation[],LangFieldID,FALSE)</f>
        <v>Reporting Flag</v>
      </c>
      <c r="B11" s="194"/>
      <c r="C11" s="194"/>
      <c r="D11" s="108" t="str">
        <f>IF(B11&gt;0,VLOOKUP(B11,Codes!A4:B168,2,FALSE),"")</f>
        <v/>
      </c>
      <c r="E11" s="108"/>
      <c r="F11" s="17"/>
      <c r="G11" s="17"/>
      <c r="H11" s="108"/>
      <c r="I11" s="17"/>
      <c r="J11" s="211"/>
      <c r="K11" s="211"/>
      <c r="L11" s="211"/>
      <c r="M11" s="211"/>
      <c r="N11" s="211"/>
      <c r="O11" s="212"/>
    </row>
    <row r="12" spans="1:20" s="7" customFormat="1" ht="10.199999999999999" x14ac:dyDescent="0.3">
      <c r="A12" s="107"/>
      <c r="B12" s="108"/>
      <c r="C12" s="108"/>
      <c r="D12" s="108"/>
      <c r="E12" s="108"/>
      <c r="F12" s="17"/>
      <c r="G12" s="17"/>
      <c r="H12" s="108"/>
      <c r="I12" s="108"/>
      <c r="J12" s="211"/>
      <c r="K12" s="211"/>
      <c r="L12" s="211"/>
      <c r="M12" s="211"/>
      <c r="N12" s="211"/>
      <c r="O12" s="212"/>
    </row>
    <row r="13" spans="1:20" s="7" customFormat="1" ht="10.199999999999999" x14ac:dyDescent="0.3">
      <c r="A13" s="45"/>
      <c r="B13" s="108"/>
      <c r="C13" s="108"/>
      <c r="D13" s="108"/>
      <c r="E13" s="108"/>
      <c r="F13" s="17"/>
      <c r="G13" s="17"/>
      <c r="H13" s="108"/>
      <c r="I13" s="17"/>
      <c r="J13" s="211"/>
      <c r="K13" s="211"/>
      <c r="L13" s="211"/>
      <c r="M13" s="211"/>
      <c r="N13" s="211"/>
      <c r="O13" s="212"/>
    </row>
    <row r="14" spans="1:20" s="7" customFormat="1" ht="10.199999999999999" x14ac:dyDescent="0.3">
      <c r="A14" s="107"/>
      <c r="B14" s="108"/>
      <c r="C14" s="108"/>
      <c r="D14" s="108"/>
      <c r="E14" s="108"/>
      <c r="F14" s="17"/>
      <c r="G14" s="17"/>
      <c r="H14" s="108"/>
      <c r="I14" s="17"/>
      <c r="J14" s="211"/>
      <c r="K14" s="211"/>
      <c r="L14" s="211"/>
      <c r="M14" s="211"/>
      <c r="N14" s="211"/>
      <c r="O14" s="212"/>
    </row>
    <row r="15" spans="1:20" s="7" customFormat="1" ht="10.199999999999999" x14ac:dyDescent="0.3">
      <c r="A15" s="93"/>
      <c r="B15" s="17"/>
      <c r="C15" s="17"/>
      <c r="D15" s="17"/>
      <c r="E15" s="108"/>
      <c r="F15" s="17"/>
      <c r="G15" s="17"/>
      <c r="H15" s="108"/>
      <c r="I15" s="17"/>
      <c r="J15" s="211"/>
      <c r="K15" s="211"/>
      <c r="L15" s="211"/>
      <c r="M15" s="211"/>
      <c r="N15" s="211"/>
      <c r="O15" s="212"/>
    </row>
    <row r="16" spans="1:20" s="7" customFormat="1" ht="10.199999999999999" x14ac:dyDescent="0.3">
      <c r="A16" s="93"/>
      <c r="B16" s="17"/>
      <c r="C16" s="17"/>
      <c r="D16" s="17"/>
      <c r="E16" s="108"/>
      <c r="F16" s="17"/>
      <c r="G16" s="17"/>
      <c r="H16" s="108"/>
      <c r="I16" s="17"/>
      <c r="J16" s="211"/>
      <c r="K16" s="211"/>
      <c r="L16" s="211"/>
      <c r="M16" s="211"/>
      <c r="N16" s="211"/>
      <c r="O16" s="212"/>
    </row>
    <row r="17" spans="1:23" s="7" customFormat="1" ht="10.199999999999999" x14ac:dyDescent="0.3">
      <c r="A17" s="93"/>
      <c r="B17" s="17"/>
      <c r="C17" s="17"/>
      <c r="D17" s="17"/>
      <c r="E17" s="108"/>
      <c r="F17" s="17"/>
      <c r="G17" s="17"/>
      <c r="H17" s="108"/>
      <c r="I17" s="17"/>
      <c r="J17" s="211"/>
      <c r="K17" s="211"/>
      <c r="L17" s="211"/>
      <c r="M17" s="211"/>
      <c r="N17" s="211"/>
      <c r="O17" s="212"/>
    </row>
    <row r="18" spans="1:23" s="7" customFormat="1" ht="10.199999999999999" x14ac:dyDescent="0.3">
      <c r="A18" s="2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2"/>
    </row>
    <row r="19" spans="1:23" s="7" customFormat="1" ht="13.8" x14ac:dyDescent="0.3">
      <c r="A19" s="206" t="str">
        <f>VLOOKUP("T03",tblTranslation[],LangFieldID,FALSE) &amp;": "&amp; VLOOKUP("T03",tblTranslation[],LangNameID,FALSE)</f>
        <v>CP11: IUU vessel registration details (including historical data)</v>
      </c>
      <c r="B19" s="206"/>
      <c r="C19" s="206"/>
      <c r="D19" s="206"/>
      <c r="E19" s="27"/>
    </row>
    <row r="20" spans="1:23" s="7" customFormat="1" ht="10.199999999999999" x14ac:dyDescent="0.3">
      <c r="A20" s="188" t="str">
        <f>VLOOKUP("D10",tblTranslation[],LangFieldID,FALSE)</f>
        <v>IUU vessel information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90"/>
      <c r="M20" s="215" t="str">
        <f>VLOOKUP("D20",tblTranslation[],LangFieldID,FALSE)</f>
        <v>IUU activities information</v>
      </c>
      <c r="N20" s="216"/>
      <c r="O20" s="216"/>
      <c r="P20" s="216"/>
      <c r="Q20" s="216"/>
      <c r="R20" s="216"/>
      <c r="S20" s="216"/>
      <c r="T20" s="216"/>
      <c r="U20" s="216"/>
      <c r="V20" s="217"/>
      <c r="W20" s="183" t="str">
        <f>VLOOKUP("D30",tblTranslation[],LangFieldID,FALSE)</f>
        <v>Additional information</v>
      </c>
    </row>
    <row r="21" spans="1:23" s="7" customFormat="1" ht="10.199999999999999" x14ac:dyDescent="0.3">
      <c r="A21" s="185" t="str">
        <f>VLOOKUP("D11",tblTranslation[],LangFieldID,FALSE)</f>
        <v xml:space="preserve">Characteristics </v>
      </c>
      <c r="B21" s="186"/>
      <c r="C21" s="186"/>
      <c r="D21" s="186"/>
      <c r="E21" s="186"/>
      <c r="F21" s="186"/>
      <c r="G21" s="186"/>
      <c r="H21" s="185" t="str">
        <f>VLOOKUP("D12",tblTranslation[],LangFieldID,FALSE)</f>
        <v>Ownership</v>
      </c>
      <c r="I21" s="186"/>
      <c r="J21" s="186"/>
      <c r="K21" s="186"/>
      <c r="L21" s="187"/>
      <c r="M21" s="210" t="str">
        <f>VLOOKUP("D21",tblTranslation[],LangFieldID,FALSE)</f>
        <v>Details (infringement)</v>
      </c>
      <c r="N21" s="210"/>
      <c r="O21" s="210"/>
      <c r="P21" s="210"/>
      <c r="Q21" s="210"/>
      <c r="R21" s="210" t="str">
        <f>VLOOKUP("D22",tblTranslation[],LangFieldID,FALSE)</f>
        <v>Position of alleged IUU fishing activities</v>
      </c>
      <c r="S21" s="210"/>
      <c r="T21" s="210"/>
      <c r="U21" s="191" t="str">
        <f>VLOOKUP("D23",tblTranslation[],LangFieldID,FALSE)</f>
        <v>Actions taken/outcome</v>
      </c>
      <c r="V21" s="191"/>
      <c r="W21" s="184"/>
    </row>
    <row r="22" spans="1:23" s="26" customFormat="1" ht="20.7" customHeight="1" x14ac:dyDescent="0.3">
      <c r="A22" s="82" t="str">
        <f>VLOOKUP(A$24,tblTranslation[],LangFieldID,FALSE)</f>
        <v>Vessel ID</v>
      </c>
      <c r="B22" s="82" t="str">
        <f>VLOOKUP(B$24,tblTranslation[],LangFieldID,FALSE)</f>
        <v>Vessel name (Latin)</v>
      </c>
      <c r="C22" s="91" t="str">
        <f>VLOOKUP(C$24,tblTranslation[],LangFieldID,FALSE)</f>
        <v>Flag of vessel (cod)</v>
      </c>
      <c r="D22" s="91" t="str">
        <f>VLOOKUP(D$24,tblTranslation[],LangFieldID,FALSE)</f>
        <v>Gear (cod)</v>
      </c>
      <c r="E22" s="82" t="str">
        <f>VLOOKUP(E$24,tblTranslation[],LangFieldID,FALSE)</f>
        <v>Internat. RCS</v>
      </c>
      <c r="F22" s="82" t="str">
        <f>VLOOKUP(F$24,tblTranslation[],LangFieldID,FALSE)</f>
        <v>IMO Number</v>
      </c>
      <c r="G22" s="82" t="str">
        <f>VLOOKUP(G$24,tblTranslation[],LangFieldID,FALSE)</f>
        <v>LOA (m)</v>
      </c>
      <c r="H22" s="82" t="str">
        <f>VLOOKUP(H$24,tblTranslation[],LangFieldID,FALSE)</f>
        <v>Owner name</v>
      </c>
      <c r="I22" s="82" t="str">
        <f>VLOOKUP(I$24,tblTranslation[],LangFieldID,FALSE)</f>
        <v>Owner address</v>
      </c>
      <c r="J22" s="82" t="str">
        <f>VLOOKUP(J$24,tblTranslation[],LangFieldID,FALSE)</f>
        <v>Owner place of registration</v>
      </c>
      <c r="K22" s="82" t="str">
        <f>VLOOKUP(K$24,tblTranslation[],LangFieldID,FALSE)</f>
        <v>Operator name</v>
      </c>
      <c r="L22" s="82" t="str">
        <f>VLOOKUP(L$24,tblTranslation[],LangFieldID,FALSE)</f>
        <v>Operator address</v>
      </c>
      <c r="M22" s="124" t="str">
        <f>VLOOKUP(M$24,tblTranslation[],LangFieldID,FALSE)</f>
        <v>Date recorded</v>
      </c>
      <c r="N22" s="124" t="str">
        <f>VLOOKUP(N$24,tblTranslation[],LangFieldID,FALSE)</f>
        <v>Registered in ICCAT</v>
      </c>
      <c r="O22" s="123" t="str">
        <f>VLOOKUP(O$24,tblTranslation[],LangFieldID,FALSE)</f>
        <v>Infringement (cod)</v>
      </c>
      <c r="P22" s="123" t="str">
        <f>VLOOKUP(P$24,tblTranslation[],LangFieldID,FALSE)</f>
        <v>Reporting flag (cod)</v>
      </c>
      <c r="Q22" s="123" t="str">
        <f>VLOOKUP(Q$24,tblTranslation[],LangFieldID,FALSE)</f>
        <v>Reporting RFMO (cod)</v>
      </c>
      <c r="R22" s="123" t="str">
        <f>VLOOKUP(R$24,tblTranslation[],LangFieldID,FALSE)</f>
        <v>Fishing area (cod)</v>
      </c>
      <c r="S22" s="123" t="str">
        <f>VLOOKUP(S$24,tblTranslation[],LangFieldID,FALSE)</f>
        <v>Latitude (±dd.dddd)</v>
      </c>
      <c r="T22" s="123" t="str">
        <f>VLOOKUP(T$24,tblTranslation[],LangFieldID,FALSE)</f>
        <v>Longitude (±dd.dddd)</v>
      </c>
      <c r="U22" s="124" t="str">
        <f>VLOOKUP(U$24,tblTranslation[],LangFieldID,FALSE)</f>
        <v>Actions in response</v>
      </c>
      <c r="V22" s="124" t="str">
        <f>VLOOKUP(V$24,tblTranslation[],LangFieldID,FALSE)</f>
        <v>Outcome of actions</v>
      </c>
      <c r="W22" s="92" t="str">
        <f>VLOOKUP(W$24,tblTranslation[],LangFieldID,FALSE)</f>
        <v>Remarks</v>
      </c>
    </row>
    <row r="23" spans="1:23" s="125" customFormat="1" ht="10.199999999999999" x14ac:dyDescent="0.3">
      <c r="A23" s="125" t="str">
        <f>REPT("+",19)</f>
        <v>+++++++++++++++++++</v>
      </c>
      <c r="B23" s="125" t="str">
        <f>REPT("+",25)</f>
        <v>+++++++++++++++++++++++++</v>
      </c>
      <c r="C23" s="125" t="str">
        <f>REPT("+",12)</f>
        <v>++++++++++++</v>
      </c>
      <c r="D23" s="125" t="str">
        <f>REPT("+",10)</f>
        <v>++++++++++</v>
      </c>
      <c r="E23" s="125" t="str">
        <f>REPT("+",10)</f>
        <v>++++++++++</v>
      </c>
      <c r="F23" s="125" t="str">
        <f>REPT("+",11)</f>
        <v>+++++++++++</v>
      </c>
      <c r="G23" s="125" t="str">
        <f>REPT("+",8)</f>
        <v>++++++++</v>
      </c>
      <c r="H23" s="125" t="str">
        <f>REPT("+",25)</f>
        <v>+++++++++++++++++++++++++</v>
      </c>
      <c r="I23" s="125" t="str">
        <f>REPT("+",20)</f>
        <v>++++++++++++++++++++</v>
      </c>
      <c r="J23" s="125" t="str">
        <f>REPT("+",20)</f>
        <v>++++++++++++++++++++</v>
      </c>
      <c r="K23" s="125" t="str">
        <f>REPT("+",20)</f>
        <v>++++++++++++++++++++</v>
      </c>
      <c r="L23" s="125" t="str">
        <f>REPT("+",20)</f>
        <v>++++++++++++++++++++</v>
      </c>
      <c r="M23" s="125" t="str">
        <f>REPT("+",10)</f>
        <v>++++++++++</v>
      </c>
      <c r="N23" s="125" t="str">
        <f>REPT("+",9)</f>
        <v>+++++++++</v>
      </c>
      <c r="O23" s="125" t="str">
        <f>REPT("+",9)</f>
        <v>+++++++++</v>
      </c>
      <c r="P23" s="125" t="str">
        <f>REPT("+",12)</f>
        <v>++++++++++++</v>
      </c>
      <c r="Q23" s="125" t="str">
        <f>REPT("+",12)</f>
        <v>++++++++++++</v>
      </c>
      <c r="R23" s="125" t="str">
        <f>REPT("+",12)</f>
        <v>++++++++++++</v>
      </c>
      <c r="S23" s="125" t="str">
        <f>REPT("+",12)</f>
        <v>++++++++++++</v>
      </c>
      <c r="T23" s="126" t="str">
        <f>REPT("+",12)</f>
        <v>++++++++++++</v>
      </c>
      <c r="U23" s="125" t="str">
        <f>REPT("+",20)</f>
        <v>++++++++++++++++++++</v>
      </c>
      <c r="V23" s="125" t="str">
        <f>REPT("+",20)</f>
        <v>++++++++++++++++++++</v>
      </c>
      <c r="W23" s="125" t="str">
        <f>REPT("+",25)</f>
        <v>+++++++++++++++++++++++++</v>
      </c>
    </row>
    <row r="24" spans="1:23" s="6" customFormat="1" ht="10.8" thickBot="1" x14ac:dyDescent="0.35">
      <c r="A24" s="127" t="s">
        <v>864</v>
      </c>
      <c r="B24" s="128" t="s">
        <v>723</v>
      </c>
      <c r="C24" s="128" t="s">
        <v>724</v>
      </c>
      <c r="D24" s="128" t="s">
        <v>725</v>
      </c>
      <c r="E24" s="128" t="s">
        <v>379</v>
      </c>
      <c r="F24" s="128" t="s">
        <v>726</v>
      </c>
      <c r="G24" s="128" t="s">
        <v>727</v>
      </c>
      <c r="H24" s="128" t="s">
        <v>732</v>
      </c>
      <c r="I24" s="128" t="s">
        <v>733</v>
      </c>
      <c r="J24" s="128" t="s">
        <v>734</v>
      </c>
      <c r="K24" s="128" t="s">
        <v>735</v>
      </c>
      <c r="L24" s="128" t="s">
        <v>736</v>
      </c>
      <c r="M24" s="129" t="s">
        <v>869</v>
      </c>
      <c r="N24" s="129" t="s">
        <v>875</v>
      </c>
      <c r="O24" s="129" t="s">
        <v>871</v>
      </c>
      <c r="P24" s="129" t="s">
        <v>759</v>
      </c>
      <c r="Q24" s="129" t="s">
        <v>760</v>
      </c>
      <c r="R24" s="129" t="s">
        <v>758</v>
      </c>
      <c r="S24" s="129" t="s">
        <v>761</v>
      </c>
      <c r="T24" s="129" t="s">
        <v>762</v>
      </c>
      <c r="U24" s="129" t="s">
        <v>763</v>
      </c>
      <c r="V24" s="129" t="s">
        <v>797</v>
      </c>
      <c r="W24" s="130" t="s">
        <v>873</v>
      </c>
    </row>
    <row r="25" spans="1:23" s="24" customFormat="1" ht="10.199999999999999" x14ac:dyDescent="0.3">
      <c r="A25" s="137"/>
      <c r="B25" s="138"/>
      <c r="C25" s="138"/>
      <c r="D25" s="138"/>
      <c r="E25" s="138"/>
      <c r="F25" s="138"/>
      <c r="G25" s="139"/>
      <c r="H25" s="138"/>
      <c r="I25" s="138"/>
      <c r="J25" s="138"/>
      <c r="K25" s="138"/>
      <c r="L25" s="138"/>
      <c r="M25" s="140"/>
      <c r="N25" s="140"/>
      <c r="O25" s="138"/>
      <c r="P25" s="138"/>
      <c r="Q25" s="138"/>
      <c r="R25" s="138"/>
      <c r="S25" s="141"/>
      <c r="T25" s="141"/>
      <c r="U25" s="138"/>
      <c r="V25" s="138"/>
      <c r="W25" s="138"/>
    </row>
    <row r="26" spans="1:23" s="24" customFormat="1" ht="10.199999999999999" x14ac:dyDescent="0.3">
      <c r="A26" s="142"/>
      <c r="B26" s="143"/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5"/>
      <c r="N26" s="145"/>
      <c r="O26" s="143"/>
      <c r="P26" s="143"/>
      <c r="Q26" s="143"/>
      <c r="R26" s="143"/>
      <c r="S26" s="146"/>
      <c r="T26" s="146"/>
      <c r="U26" s="143"/>
      <c r="V26" s="143"/>
      <c r="W26" s="143"/>
    </row>
    <row r="27" spans="1:23" s="24" customFormat="1" ht="10.199999999999999" x14ac:dyDescent="0.3">
      <c r="A27" s="147"/>
      <c r="B27" s="148"/>
      <c r="C27" s="148"/>
      <c r="D27" s="148"/>
      <c r="E27" s="148"/>
      <c r="F27" s="148"/>
      <c r="G27" s="149"/>
      <c r="H27" s="148"/>
      <c r="I27" s="148"/>
      <c r="J27" s="148"/>
      <c r="K27" s="148"/>
      <c r="L27" s="148"/>
      <c r="M27" s="150"/>
      <c r="N27" s="150"/>
      <c r="O27" s="148"/>
      <c r="P27" s="148"/>
      <c r="Q27" s="148"/>
      <c r="R27" s="148"/>
      <c r="S27" s="151"/>
      <c r="T27" s="151"/>
      <c r="U27" s="148"/>
      <c r="V27" s="148"/>
      <c r="W27" s="148"/>
    </row>
    <row r="28" spans="1:23" s="24" customFormat="1" ht="10.199999999999999" x14ac:dyDescent="0.3">
      <c r="A28" s="142"/>
      <c r="B28" s="143"/>
      <c r="C28" s="143"/>
      <c r="D28" s="143"/>
      <c r="E28" s="143"/>
      <c r="F28" s="143"/>
      <c r="G28" s="144"/>
      <c r="H28" s="143"/>
      <c r="I28" s="143"/>
      <c r="J28" s="143"/>
      <c r="K28" s="143"/>
      <c r="L28" s="143"/>
      <c r="M28" s="145"/>
      <c r="N28" s="145"/>
      <c r="O28" s="143"/>
      <c r="P28" s="143"/>
      <c r="Q28" s="143"/>
      <c r="R28" s="143"/>
      <c r="S28" s="146"/>
      <c r="T28" s="146"/>
      <c r="U28" s="143"/>
      <c r="V28" s="143"/>
      <c r="W28" s="143"/>
    </row>
    <row r="29" spans="1:23" s="24" customFormat="1" ht="10.199999999999999" x14ac:dyDescent="0.3">
      <c r="A29" s="147"/>
      <c r="B29" s="148"/>
      <c r="C29" s="148"/>
      <c r="D29" s="148"/>
      <c r="E29" s="148"/>
      <c r="F29" s="148"/>
      <c r="G29" s="149"/>
      <c r="H29" s="148"/>
      <c r="I29" s="148"/>
      <c r="J29" s="148"/>
      <c r="K29" s="148"/>
      <c r="L29" s="148"/>
      <c r="M29" s="150"/>
      <c r="N29" s="150"/>
      <c r="O29" s="148"/>
      <c r="P29" s="148"/>
      <c r="Q29" s="148"/>
      <c r="R29" s="148"/>
      <c r="S29" s="151"/>
      <c r="T29" s="151"/>
      <c r="U29" s="148"/>
      <c r="V29" s="148"/>
      <c r="W29" s="148"/>
    </row>
    <row r="30" spans="1:23" s="24" customFormat="1" ht="10.199999999999999" x14ac:dyDescent="0.3">
      <c r="A30" s="142"/>
      <c r="B30" s="143"/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5"/>
      <c r="N30" s="145"/>
      <c r="O30" s="143"/>
      <c r="P30" s="143"/>
      <c r="Q30" s="143"/>
      <c r="R30" s="143"/>
      <c r="S30" s="146"/>
      <c r="T30" s="146"/>
      <c r="U30" s="143"/>
      <c r="V30" s="143"/>
      <c r="W30" s="143"/>
    </row>
    <row r="31" spans="1:23" s="24" customFormat="1" ht="10.199999999999999" x14ac:dyDescent="0.3">
      <c r="A31" s="147"/>
      <c r="B31" s="148"/>
      <c r="C31" s="148"/>
      <c r="D31" s="148"/>
      <c r="E31" s="148"/>
      <c r="F31" s="148"/>
      <c r="G31" s="149"/>
      <c r="H31" s="148"/>
      <c r="I31" s="148"/>
      <c r="J31" s="148"/>
      <c r="K31" s="148"/>
      <c r="L31" s="148"/>
      <c r="M31" s="150"/>
      <c r="N31" s="150"/>
      <c r="O31" s="148"/>
      <c r="P31" s="148"/>
      <c r="Q31" s="148"/>
      <c r="R31" s="148"/>
      <c r="S31" s="151"/>
      <c r="T31" s="151"/>
      <c r="U31" s="148"/>
      <c r="V31" s="148"/>
      <c r="W31" s="148"/>
    </row>
    <row r="32" spans="1:23" s="24" customFormat="1" ht="10.199999999999999" x14ac:dyDescent="0.3">
      <c r="A32" s="142"/>
      <c r="B32" s="143"/>
      <c r="C32" s="143"/>
      <c r="D32" s="143"/>
      <c r="E32" s="143"/>
      <c r="F32" s="143"/>
      <c r="G32" s="144"/>
      <c r="H32" s="143"/>
      <c r="I32" s="143"/>
      <c r="J32" s="143"/>
      <c r="K32" s="143"/>
      <c r="L32" s="143"/>
      <c r="M32" s="145"/>
      <c r="N32" s="145"/>
      <c r="O32" s="143"/>
      <c r="P32" s="143"/>
      <c r="Q32" s="143"/>
      <c r="R32" s="143"/>
      <c r="S32" s="146"/>
      <c r="T32" s="146"/>
      <c r="U32" s="143"/>
      <c r="V32" s="143"/>
      <c r="W32" s="143"/>
    </row>
    <row r="33" spans="1:23" s="24" customFormat="1" ht="10.199999999999999" x14ac:dyDescent="0.3">
      <c r="A33" s="147"/>
      <c r="B33" s="148"/>
      <c r="C33" s="148"/>
      <c r="D33" s="148"/>
      <c r="E33" s="148"/>
      <c r="F33" s="148"/>
      <c r="G33" s="149"/>
      <c r="H33" s="148"/>
      <c r="I33" s="148"/>
      <c r="J33" s="148"/>
      <c r="K33" s="148"/>
      <c r="L33" s="148"/>
      <c r="M33" s="150"/>
      <c r="N33" s="150"/>
      <c r="O33" s="148"/>
      <c r="P33" s="148"/>
      <c r="Q33" s="148"/>
      <c r="R33" s="148"/>
      <c r="S33" s="151"/>
      <c r="T33" s="151"/>
      <c r="U33" s="148"/>
      <c r="V33" s="148"/>
      <c r="W33" s="148"/>
    </row>
    <row r="34" spans="1:23" s="25" customFormat="1" ht="10.199999999999999" x14ac:dyDescent="0.3">
      <c r="A34" s="142"/>
      <c r="B34" s="143"/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5"/>
      <c r="N34" s="145"/>
      <c r="O34" s="143"/>
      <c r="P34" s="143"/>
      <c r="Q34" s="143"/>
      <c r="R34" s="143"/>
      <c r="S34" s="146"/>
      <c r="T34" s="146"/>
      <c r="U34" s="143"/>
      <c r="V34" s="143"/>
      <c r="W34" s="143"/>
    </row>
    <row r="35" spans="1:23" s="25" customFormat="1" ht="10.199999999999999" x14ac:dyDescent="0.3">
      <c r="A35" s="147"/>
      <c r="B35" s="148"/>
      <c r="C35" s="148"/>
      <c r="D35" s="148"/>
      <c r="E35" s="148"/>
      <c r="F35" s="148"/>
      <c r="G35" s="149"/>
      <c r="H35" s="148"/>
      <c r="I35" s="148"/>
      <c r="J35" s="148"/>
      <c r="K35" s="148"/>
      <c r="L35" s="148"/>
      <c r="M35" s="150"/>
      <c r="N35" s="150"/>
      <c r="O35" s="148"/>
      <c r="P35" s="148"/>
      <c r="Q35" s="148"/>
      <c r="R35" s="148"/>
      <c r="S35" s="151"/>
      <c r="T35" s="151"/>
      <c r="U35" s="148"/>
      <c r="V35" s="148"/>
      <c r="W35" s="148"/>
    </row>
    <row r="36" spans="1:23" s="25" customFormat="1" ht="10.199999999999999" x14ac:dyDescent="0.3">
      <c r="A36" s="142"/>
      <c r="B36" s="143"/>
      <c r="C36" s="143"/>
      <c r="D36" s="143"/>
      <c r="E36" s="143"/>
      <c r="F36" s="143"/>
      <c r="G36" s="144"/>
      <c r="H36" s="143"/>
      <c r="I36" s="143"/>
      <c r="J36" s="143"/>
      <c r="K36" s="143"/>
      <c r="L36" s="143"/>
      <c r="M36" s="145"/>
      <c r="N36" s="145"/>
      <c r="O36" s="143"/>
      <c r="P36" s="143"/>
      <c r="Q36" s="143"/>
      <c r="R36" s="143"/>
      <c r="S36" s="146"/>
      <c r="T36" s="146"/>
      <c r="U36" s="143"/>
      <c r="V36" s="143"/>
      <c r="W36" s="143"/>
    </row>
    <row r="37" spans="1:23" s="25" customFormat="1" ht="10.199999999999999" x14ac:dyDescent="0.3">
      <c r="A37" s="147"/>
      <c r="B37" s="148"/>
      <c r="C37" s="148"/>
      <c r="D37" s="148"/>
      <c r="E37" s="148"/>
      <c r="F37" s="148"/>
      <c r="G37" s="149"/>
      <c r="H37" s="148"/>
      <c r="I37" s="148"/>
      <c r="J37" s="148"/>
      <c r="K37" s="148"/>
      <c r="L37" s="148"/>
      <c r="M37" s="150"/>
      <c r="N37" s="150"/>
      <c r="O37" s="148"/>
      <c r="P37" s="148"/>
      <c r="Q37" s="148"/>
      <c r="R37" s="148"/>
      <c r="S37" s="151"/>
      <c r="T37" s="151"/>
      <c r="U37" s="148"/>
      <c r="V37" s="148"/>
      <c r="W37" s="148"/>
    </row>
    <row r="38" spans="1:23" s="25" customFormat="1" ht="10.199999999999999" x14ac:dyDescent="0.3">
      <c r="A38" s="142"/>
      <c r="B38" s="143"/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5"/>
      <c r="N38" s="145"/>
      <c r="O38" s="143"/>
      <c r="P38" s="143"/>
      <c r="Q38" s="143"/>
      <c r="R38" s="143"/>
      <c r="S38" s="146"/>
      <c r="T38" s="146"/>
      <c r="U38" s="143"/>
      <c r="V38" s="143"/>
      <c r="W38" s="143"/>
    </row>
    <row r="39" spans="1:23" s="25" customFormat="1" ht="10.199999999999999" x14ac:dyDescent="0.3">
      <c r="A39" s="147"/>
      <c r="B39" s="148"/>
      <c r="C39" s="148"/>
      <c r="D39" s="148"/>
      <c r="E39" s="148"/>
      <c r="F39" s="148"/>
      <c r="G39" s="149"/>
      <c r="H39" s="148"/>
      <c r="I39" s="148"/>
      <c r="J39" s="148"/>
      <c r="K39" s="148"/>
      <c r="L39" s="148"/>
      <c r="M39" s="150"/>
      <c r="N39" s="150"/>
      <c r="O39" s="148"/>
      <c r="P39" s="148"/>
      <c r="Q39" s="148"/>
      <c r="R39" s="148"/>
      <c r="S39" s="151"/>
      <c r="T39" s="151"/>
      <c r="U39" s="148"/>
      <c r="V39" s="148"/>
      <c r="W39" s="148"/>
    </row>
    <row r="40" spans="1:23" s="25" customFormat="1" ht="10.199999999999999" x14ac:dyDescent="0.3">
      <c r="A40" s="142"/>
      <c r="B40" s="14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5"/>
      <c r="N40" s="145"/>
      <c r="O40" s="143"/>
      <c r="P40" s="143"/>
      <c r="Q40" s="143"/>
      <c r="R40" s="143"/>
      <c r="S40" s="146"/>
      <c r="T40" s="146"/>
      <c r="U40" s="143"/>
      <c r="V40" s="143"/>
      <c r="W40" s="143"/>
    </row>
    <row r="41" spans="1:23" s="25" customFormat="1" ht="10.199999999999999" x14ac:dyDescent="0.3">
      <c r="A41" s="147"/>
      <c r="B41" s="148"/>
      <c r="C41" s="148"/>
      <c r="D41" s="148"/>
      <c r="E41" s="148"/>
      <c r="F41" s="148"/>
      <c r="G41" s="149"/>
      <c r="H41" s="148"/>
      <c r="I41" s="148"/>
      <c r="J41" s="148"/>
      <c r="K41" s="148"/>
      <c r="L41" s="148"/>
      <c r="M41" s="150"/>
      <c r="N41" s="150"/>
      <c r="O41" s="148"/>
      <c r="P41" s="148"/>
      <c r="Q41" s="148"/>
      <c r="R41" s="148"/>
      <c r="S41" s="151"/>
      <c r="T41" s="151"/>
      <c r="U41" s="148"/>
      <c r="V41" s="148"/>
      <c r="W41" s="148"/>
    </row>
    <row r="42" spans="1:23" s="5" customFormat="1" ht="10.199999999999999" x14ac:dyDescent="0.2">
      <c r="A42" s="152"/>
      <c r="B42" s="143"/>
      <c r="C42" s="153"/>
      <c r="D42" s="153"/>
      <c r="E42" s="153"/>
      <c r="F42" s="153"/>
      <c r="G42" s="154"/>
      <c r="H42" s="153"/>
      <c r="I42" s="153"/>
      <c r="J42" s="153"/>
      <c r="K42" s="153"/>
      <c r="L42" s="155"/>
      <c r="M42" s="156"/>
      <c r="N42" s="156"/>
      <c r="O42" s="155"/>
      <c r="P42" s="155"/>
      <c r="Q42" s="155"/>
      <c r="R42" s="155"/>
      <c r="S42" s="157"/>
      <c r="T42" s="157"/>
      <c r="U42" s="155"/>
      <c r="V42" s="155"/>
      <c r="W42" s="155"/>
    </row>
    <row r="43" spans="1:23" s="5" customFormat="1" ht="10.199999999999999" x14ac:dyDescent="0.2">
      <c r="A43" s="158"/>
      <c r="B43" s="148"/>
      <c r="C43" s="159"/>
      <c r="D43" s="159"/>
      <c r="E43" s="159"/>
      <c r="F43" s="159"/>
      <c r="G43" s="160"/>
      <c r="H43" s="159"/>
      <c r="I43" s="159"/>
      <c r="J43" s="159"/>
      <c r="K43" s="159"/>
      <c r="L43" s="161"/>
      <c r="M43" s="162"/>
      <c r="N43" s="162"/>
      <c r="O43" s="161"/>
      <c r="P43" s="161"/>
      <c r="Q43" s="161"/>
      <c r="R43" s="161"/>
      <c r="S43" s="163"/>
      <c r="T43" s="163"/>
      <c r="U43" s="161"/>
      <c r="V43" s="161"/>
      <c r="W43" s="161"/>
    </row>
    <row r="44" spans="1:23" s="25" customFormat="1" ht="10.199999999999999" x14ac:dyDescent="0.3">
      <c r="A44" s="142"/>
      <c r="B44" s="143"/>
      <c r="C44" s="143"/>
      <c r="D44" s="143"/>
      <c r="E44" s="143"/>
      <c r="F44" s="143"/>
      <c r="G44" s="144"/>
      <c r="H44" s="143"/>
      <c r="I44" s="143"/>
      <c r="J44" s="143"/>
      <c r="K44" s="143"/>
      <c r="L44" s="143"/>
      <c r="M44" s="145"/>
      <c r="N44" s="145"/>
      <c r="O44" s="143"/>
      <c r="P44" s="143"/>
      <c r="Q44" s="143"/>
      <c r="R44" s="143"/>
      <c r="S44" s="146"/>
      <c r="T44" s="146"/>
      <c r="U44" s="143"/>
      <c r="V44" s="143"/>
      <c r="W44" s="143"/>
    </row>
    <row r="45" spans="1:23" s="25" customFormat="1" ht="10.199999999999999" x14ac:dyDescent="0.3">
      <c r="A45" s="147"/>
      <c r="B45" s="148"/>
      <c r="C45" s="148"/>
      <c r="D45" s="148"/>
      <c r="E45" s="148"/>
      <c r="F45" s="148"/>
      <c r="G45" s="149"/>
      <c r="H45" s="148"/>
      <c r="I45" s="148"/>
      <c r="J45" s="148"/>
      <c r="K45" s="148"/>
      <c r="L45" s="148"/>
      <c r="M45" s="150"/>
      <c r="N45" s="150"/>
      <c r="O45" s="148"/>
      <c r="P45" s="148"/>
      <c r="Q45" s="148"/>
      <c r="R45" s="148"/>
      <c r="S45" s="151"/>
      <c r="T45" s="151"/>
      <c r="U45" s="148"/>
      <c r="V45" s="148"/>
      <c r="W45" s="148"/>
    </row>
    <row r="46" spans="1:23" s="25" customFormat="1" ht="10.199999999999999" x14ac:dyDescent="0.3">
      <c r="A46" s="142"/>
      <c r="B46" s="143"/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5"/>
      <c r="N46" s="145"/>
      <c r="O46" s="143"/>
      <c r="P46" s="143"/>
      <c r="Q46" s="143"/>
      <c r="R46" s="143"/>
      <c r="S46" s="146"/>
      <c r="T46" s="146"/>
      <c r="U46" s="143"/>
      <c r="V46" s="143"/>
      <c r="W46" s="143"/>
    </row>
    <row r="47" spans="1:23" s="25" customFormat="1" ht="10.199999999999999" x14ac:dyDescent="0.3">
      <c r="A47" s="147"/>
      <c r="B47" s="148"/>
      <c r="C47" s="148"/>
      <c r="D47" s="148"/>
      <c r="E47" s="148"/>
      <c r="F47" s="148"/>
      <c r="G47" s="149"/>
      <c r="H47" s="148"/>
      <c r="I47" s="148"/>
      <c r="J47" s="148"/>
      <c r="K47" s="148"/>
      <c r="L47" s="148"/>
      <c r="M47" s="150"/>
      <c r="N47" s="150"/>
      <c r="O47" s="148"/>
      <c r="P47" s="148"/>
      <c r="Q47" s="148"/>
      <c r="R47" s="148"/>
      <c r="S47" s="151"/>
      <c r="T47" s="151"/>
      <c r="U47" s="148"/>
      <c r="V47" s="148"/>
      <c r="W47" s="148"/>
    </row>
    <row r="48" spans="1:23" s="25" customFormat="1" ht="10.199999999999999" x14ac:dyDescent="0.3">
      <c r="A48" s="142"/>
      <c r="B48" s="143"/>
      <c r="C48" s="143"/>
      <c r="D48" s="143"/>
      <c r="E48" s="143"/>
      <c r="F48" s="143"/>
      <c r="G48" s="144"/>
      <c r="H48" s="143"/>
      <c r="I48" s="143"/>
      <c r="J48" s="143"/>
      <c r="K48" s="143"/>
      <c r="L48" s="143"/>
      <c r="M48" s="145"/>
      <c r="N48" s="145"/>
      <c r="O48" s="143"/>
      <c r="P48" s="143"/>
      <c r="Q48" s="143"/>
      <c r="R48" s="143"/>
      <c r="S48" s="146"/>
      <c r="T48" s="146"/>
      <c r="U48" s="143"/>
      <c r="V48" s="143"/>
      <c r="W48" s="143"/>
    </row>
    <row r="49" spans="1:23" s="25" customFormat="1" ht="10.199999999999999" x14ac:dyDescent="0.3">
      <c r="A49" s="147"/>
      <c r="B49" s="148"/>
      <c r="C49" s="148"/>
      <c r="D49" s="148"/>
      <c r="E49" s="148"/>
      <c r="F49" s="148"/>
      <c r="G49" s="149"/>
      <c r="H49" s="148"/>
      <c r="I49" s="148"/>
      <c r="J49" s="148"/>
      <c r="K49" s="148"/>
      <c r="L49" s="148"/>
      <c r="M49" s="150"/>
      <c r="N49" s="150"/>
      <c r="O49" s="148"/>
      <c r="P49" s="148"/>
      <c r="Q49" s="148"/>
      <c r="R49" s="148"/>
      <c r="S49" s="151"/>
      <c r="T49" s="151"/>
      <c r="U49" s="148"/>
      <c r="V49" s="148"/>
      <c r="W49" s="148"/>
    </row>
    <row r="50" spans="1:23" s="25" customFormat="1" ht="10.199999999999999" x14ac:dyDescent="0.3">
      <c r="A50" s="142"/>
      <c r="B50" s="143"/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5"/>
      <c r="N50" s="145"/>
      <c r="O50" s="143"/>
      <c r="P50" s="143"/>
      <c r="Q50" s="143"/>
      <c r="R50" s="143"/>
      <c r="S50" s="146"/>
      <c r="T50" s="146"/>
      <c r="U50" s="143"/>
      <c r="V50" s="143"/>
      <c r="W50" s="143"/>
    </row>
    <row r="51" spans="1:23" s="25" customFormat="1" ht="10.199999999999999" x14ac:dyDescent="0.3">
      <c r="A51" s="147"/>
      <c r="B51" s="148"/>
      <c r="C51" s="148"/>
      <c r="D51" s="148"/>
      <c r="E51" s="148"/>
      <c r="F51" s="148"/>
      <c r="G51" s="149"/>
      <c r="H51" s="148"/>
      <c r="I51" s="148"/>
      <c r="J51" s="148"/>
      <c r="K51" s="148"/>
      <c r="L51" s="148"/>
      <c r="M51" s="150"/>
      <c r="N51" s="150"/>
      <c r="O51" s="148"/>
      <c r="P51" s="148"/>
      <c r="Q51" s="148"/>
      <c r="R51" s="148"/>
      <c r="S51" s="151"/>
      <c r="T51" s="151"/>
      <c r="U51" s="148"/>
      <c r="V51" s="148"/>
      <c r="W51" s="148"/>
    </row>
    <row r="52" spans="1:23" s="25" customFormat="1" ht="10.199999999999999" x14ac:dyDescent="0.3">
      <c r="S52" s="24"/>
      <c r="T52" s="24"/>
      <c r="U52" s="24"/>
      <c r="V52" s="24"/>
    </row>
  </sheetData>
  <sheetProtection algorithmName="SHA-512" hashValue="9t6eDJyhhPvzTNjZMu/YOpXhOpoXAWNXM8gQggybyjAPBKAOtrVKeJBg5Bh172KlXhXlG7U0hBhFs8hDtSbr9w==" saltValue="vKcbtRCTCidiqVkkeglNEQ==" spinCount="100000" sheet="1" scenarios="1" formatCells="0" formatRows="0" insertRows="0" deleteRows="0" autoFilter="0"/>
  <dataConsolidate link="1"/>
  <mergeCells count="28">
    <mergeCell ref="A19:D19"/>
    <mergeCell ref="O5:O7"/>
    <mergeCell ref="J8:L8"/>
    <mergeCell ref="M21:Q21"/>
    <mergeCell ref="R21:T21"/>
    <mergeCell ref="A10:E10"/>
    <mergeCell ref="J11:O17"/>
    <mergeCell ref="B11:C11"/>
    <mergeCell ref="J9:N9"/>
    <mergeCell ref="M20:V20"/>
    <mergeCell ref="A1:A2"/>
    <mergeCell ref="B6:E6"/>
    <mergeCell ref="B7:E7"/>
    <mergeCell ref="L6:M6"/>
    <mergeCell ref="A4:H4"/>
    <mergeCell ref="B5:D5"/>
    <mergeCell ref="B1:M1"/>
    <mergeCell ref="B2:M2"/>
    <mergeCell ref="G5:H5"/>
    <mergeCell ref="L5:M5"/>
    <mergeCell ref="J4:N4"/>
    <mergeCell ref="J5:K5"/>
    <mergeCell ref="J6:K6"/>
    <mergeCell ref="W20:W21"/>
    <mergeCell ref="A21:G21"/>
    <mergeCell ref="H21:L21"/>
    <mergeCell ref="A20:L20"/>
    <mergeCell ref="U21:V21"/>
  </mergeCells>
  <dataValidations count="14">
    <dataValidation type="list" allowBlank="1" showInputMessage="1" showErrorMessage="1" sqref="O2" xr:uid="{00000000-0002-0000-0000-000000000000}">
      <formula1>"ENG,FRA,ESP"</formula1>
    </dataValidation>
    <dataValidation type="list" allowBlank="1" showInputMessage="1" showErrorMessage="1" sqref="B11:C11" xr:uid="{00000000-0002-0000-0000-000001000000}">
      <formula1>FlagName</formula1>
    </dataValidation>
    <dataValidation type="whole" operator="greaterThan" allowBlank="1" showInputMessage="1" showErrorMessage="1" sqref="A25:A51" xr:uid="{12E1ED19-5E48-4FF7-9A8A-87E1199CAF7F}">
      <formula1>0</formula1>
    </dataValidation>
    <dataValidation type="list" allowBlank="1" showInputMessage="1" showErrorMessage="1" sqref="C25:C51 P25:P51" xr:uid="{2725D618-879D-4525-B81E-3AEDE006B04A}">
      <formula1>FlagCod</formula1>
    </dataValidation>
    <dataValidation type="list" allowBlank="1" showInputMessage="1" showErrorMessage="1" sqref="D25:D51" xr:uid="{78022321-5470-4CE4-A1D7-D395388A777C}">
      <formula1>GearCode</formula1>
    </dataValidation>
    <dataValidation type="decimal" allowBlank="1" showInputMessage="1" showErrorMessage="1" sqref="G25:G51" xr:uid="{88F42F15-EA92-4831-A490-6D03FB7E4487}">
      <formula1>0</formula1>
      <formula2>400</formula2>
    </dataValidation>
    <dataValidation type="list" allowBlank="1" showInputMessage="1" showErrorMessage="1" sqref="O25:O51" xr:uid="{13A21847-3502-4CA1-B356-772D6E69DB05}">
      <formula1>InfringementCode</formula1>
    </dataValidation>
    <dataValidation type="list" allowBlank="1" showInputMessage="1" showErrorMessage="1" sqref="Q25:Q51" xr:uid="{B3E46E44-89A8-42FA-82CB-2AA7DC2B0C96}">
      <formula1>RFMOCode</formula1>
    </dataValidation>
    <dataValidation type="list" allowBlank="1" showInputMessage="1" showErrorMessage="1" sqref="R25:R51" xr:uid="{C6787A25-D16A-4E17-8931-E6F530BB95CF}">
      <formula1>AreaCode</formula1>
    </dataValidation>
    <dataValidation type="textLength" operator="lessThanOrEqual" allowBlank="1" showInputMessage="1" showErrorMessage="1" sqref="H25:H51 J25:K51" xr:uid="{3601C8DE-53D4-41FE-AFFC-916B16C2D387}">
      <formula1>100</formula1>
    </dataValidation>
    <dataValidation type="textLength" operator="lessThanOrEqual" allowBlank="1" showInputMessage="1" showErrorMessage="1" sqref="I25:I51 L25:L51" xr:uid="{F132EA61-F3BE-4657-B70B-A1A7F8C3EEB3}">
      <formula1>150</formula1>
    </dataValidation>
    <dataValidation type="decimal" allowBlank="1" showInputMessage="1" showErrorMessage="1" sqref="S25:S51" xr:uid="{C3AEC394-467D-44D8-963C-F7809FEBB4F5}">
      <formula1>-90</formula1>
      <formula2>90</formula2>
    </dataValidation>
    <dataValidation type="decimal" allowBlank="1" showInputMessage="1" showErrorMessage="1" sqref="T25:T51" xr:uid="{0F1E51C0-E37A-4184-AB0D-BFBA52216C2D}">
      <formula1>-180</formula1>
      <formula2>180</formula2>
    </dataValidation>
    <dataValidation type="list" allowBlank="1" showInputMessage="1" showErrorMessage="1" sqref="N25:N51" xr:uid="{FD90FE0B-4CF2-46E1-9D03-D530A91B19C6}">
      <formula1>"Yes,No"</formula1>
    </dataValidation>
  </dataValidations>
  <hyperlinks>
    <hyperlink ref="A11" location="FlagName" display="FlagName" xr:uid="{00000000-0004-0000-0000-00000C000000}"/>
    <hyperlink ref="C22" location="FlagCod" display="FlagCod" xr:uid="{EDFA1955-418B-4709-B805-31BD303399FF}"/>
    <hyperlink ref="D22" location="GearCode" display="GearCode" xr:uid="{CA676E5B-2A3E-4E10-9F21-EFC598F9C030}"/>
    <hyperlink ref="O22" location="InfringementCode" display="InfringementCode" xr:uid="{13BFF5A3-1DA1-47E8-98AF-A2B75BC7773F}"/>
    <hyperlink ref="P22" location="FlagCod" display="FlagCod" xr:uid="{846694DF-164F-4482-B7A7-370F40690AF3}"/>
    <hyperlink ref="Q22" location="RFMOCode" display="RFMOCode" xr:uid="{2DF08607-5536-49BD-B874-10F339D034B1}"/>
    <hyperlink ref="R22" location="AreaCode" display="AreaCode" xr:uid="{693013BF-7A19-43F1-9122-741262F003E8}"/>
    <hyperlink ref="S22" location="fmtLatitude" display="fmtLatitude" xr:uid="{F538E868-2875-4DC7-B755-446AF1FC5CCA}"/>
    <hyperlink ref="T22" location="fmtLongitude" display="fmtLongitude" xr:uid="{FCF462C9-FFB5-417E-962D-34F3ECF320AB}"/>
  </hyperlinks>
  <pageMargins left="0.19685039370078741" right="0.19685039370078741" top="0.74803149606299213" bottom="0.74803149606299213" header="0.31496062992125984" footer="0.31496062992125984"/>
  <pageSetup paperSize="9" scale="90" fitToWidth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179"/>
  <sheetViews>
    <sheetView zoomScale="90" zoomScaleNormal="90" workbookViewId="0">
      <selection activeCell="A3" sqref="A3:A178"/>
    </sheetView>
  </sheetViews>
  <sheetFormatPr defaultColWidth="7.33203125" defaultRowHeight="12" x14ac:dyDescent="0.25"/>
  <cols>
    <col min="1" max="1" width="24.44140625" style="15" bestFit="1" customWidth="1"/>
    <col min="2" max="2" width="8.5546875" style="15" bestFit="1" customWidth="1"/>
    <col min="3" max="3" width="6.33203125" style="15" bestFit="1" customWidth="1"/>
    <col min="4" max="4" width="10.109375" style="15" bestFit="1" customWidth="1"/>
    <col min="5" max="5" width="4" style="15" customWidth="1"/>
    <col min="6" max="6" width="10.6640625" style="15" bestFit="1" customWidth="1"/>
    <col min="7" max="7" width="61.109375" style="15" customWidth="1"/>
    <col min="8" max="8" width="10.33203125" style="15" bestFit="1" customWidth="1"/>
    <col min="9" max="9" width="3.88671875" style="15" customWidth="1"/>
    <col min="10" max="10" width="8" style="15" bestFit="1" customWidth="1"/>
    <col min="11" max="11" width="105.33203125" style="15" bestFit="1" customWidth="1"/>
    <col min="12" max="12" width="4" style="15" customWidth="1"/>
    <col min="13" max="13" width="14.44140625" style="15" bestFit="1" customWidth="1"/>
    <col min="14" max="14" width="6.33203125" style="15" bestFit="1" customWidth="1"/>
    <col min="15" max="15" width="9.6640625" style="15" bestFit="1" customWidth="1"/>
    <col min="16" max="16" width="88.6640625" style="15" bestFit="1" customWidth="1"/>
    <col min="17" max="16384" width="7.33203125" style="15"/>
  </cols>
  <sheetData>
    <row r="1" spans="1:16" x14ac:dyDescent="0.25">
      <c r="A1" s="218" t="s">
        <v>577</v>
      </c>
      <c r="B1" s="218"/>
      <c r="C1" s="218"/>
      <c r="D1" s="218"/>
      <c r="F1" s="220" t="s">
        <v>673</v>
      </c>
      <c r="G1" s="220"/>
      <c r="H1" s="111"/>
      <c r="J1" s="220" t="s">
        <v>874</v>
      </c>
      <c r="K1" s="220"/>
      <c r="M1" s="219" t="s">
        <v>773</v>
      </c>
      <c r="N1" s="219"/>
      <c r="O1" s="219"/>
    </row>
    <row r="2" spans="1:16" x14ac:dyDescent="0.25">
      <c r="A2" s="50" t="s">
        <v>15</v>
      </c>
      <c r="B2" s="51" t="s">
        <v>578</v>
      </c>
      <c r="C2" s="51" t="s">
        <v>387</v>
      </c>
      <c r="D2" s="52" t="s">
        <v>16</v>
      </c>
      <c r="F2" s="50" t="s">
        <v>387</v>
      </c>
      <c r="G2" s="52" t="s">
        <v>430</v>
      </c>
      <c r="H2" s="86"/>
      <c r="J2" s="50" t="s">
        <v>799</v>
      </c>
      <c r="K2" s="52" t="s">
        <v>800</v>
      </c>
    </row>
    <row r="3" spans="1:16" x14ac:dyDescent="0.25">
      <c r="A3" s="53" t="s">
        <v>985</v>
      </c>
      <c r="B3" s="15" t="s">
        <v>986</v>
      </c>
      <c r="C3" s="172" t="s">
        <v>390</v>
      </c>
      <c r="D3" s="173" t="s">
        <v>989</v>
      </c>
      <c r="F3" s="53" t="s">
        <v>388</v>
      </c>
      <c r="G3" s="54" t="s">
        <v>674</v>
      </c>
      <c r="J3" s="168">
        <v>0</v>
      </c>
      <c r="K3" s="167" t="s">
        <v>983</v>
      </c>
      <c r="M3" s="76" t="s">
        <v>774</v>
      </c>
      <c r="N3" s="77" t="s">
        <v>775</v>
      </c>
      <c r="O3" s="77" t="s">
        <v>776</v>
      </c>
      <c r="P3" s="78" t="s">
        <v>430</v>
      </c>
    </row>
    <row r="4" spans="1:16" x14ac:dyDescent="0.25">
      <c r="A4" s="53" t="s">
        <v>153</v>
      </c>
      <c r="B4" s="15" t="s">
        <v>152</v>
      </c>
      <c r="C4" s="176" t="s">
        <v>388</v>
      </c>
      <c r="D4" s="54" t="s">
        <v>154</v>
      </c>
      <c r="F4" s="53" t="s">
        <v>389</v>
      </c>
      <c r="G4" s="54" t="s">
        <v>675</v>
      </c>
      <c r="J4" s="169" t="s">
        <v>699</v>
      </c>
      <c r="K4" s="84" t="s">
        <v>877</v>
      </c>
      <c r="M4" s="79" t="s">
        <v>777</v>
      </c>
      <c r="N4" s="80" t="s">
        <v>542</v>
      </c>
      <c r="O4" s="81">
        <v>15.342779999999999</v>
      </c>
      <c r="P4" s="56" t="s">
        <v>778</v>
      </c>
    </row>
    <row r="5" spans="1:16" ht="24" x14ac:dyDescent="0.25">
      <c r="A5" s="53" t="s">
        <v>114</v>
      </c>
      <c r="B5" s="15" t="s">
        <v>113</v>
      </c>
      <c r="C5" s="176" t="s">
        <v>388</v>
      </c>
      <c r="D5" s="54" t="s">
        <v>115</v>
      </c>
      <c r="F5" s="55" t="s">
        <v>390</v>
      </c>
      <c r="G5" s="56" t="s">
        <v>676</v>
      </c>
      <c r="J5" s="169" t="s">
        <v>700</v>
      </c>
      <c r="K5" s="84" t="s">
        <v>701</v>
      </c>
    </row>
    <row r="6" spans="1:16" x14ac:dyDescent="0.25">
      <c r="A6" s="53" t="s">
        <v>43</v>
      </c>
      <c r="B6" s="15" t="s">
        <v>42</v>
      </c>
      <c r="C6" s="176" t="s">
        <v>388</v>
      </c>
      <c r="D6" s="54" t="s">
        <v>44</v>
      </c>
      <c r="J6" s="169" t="s">
        <v>702</v>
      </c>
      <c r="K6" s="84" t="s">
        <v>703</v>
      </c>
      <c r="M6" s="76" t="s">
        <v>779</v>
      </c>
      <c r="N6" s="77" t="s">
        <v>775</v>
      </c>
      <c r="O6" s="77" t="s">
        <v>776</v>
      </c>
      <c r="P6" s="78" t="s">
        <v>430</v>
      </c>
    </row>
    <row r="7" spans="1:16" x14ac:dyDescent="0.25">
      <c r="A7" s="53" t="s">
        <v>108</v>
      </c>
      <c r="B7" s="15" t="s">
        <v>107</v>
      </c>
      <c r="C7" s="176" t="s">
        <v>388</v>
      </c>
      <c r="D7" s="54" t="s">
        <v>109</v>
      </c>
      <c r="J7" s="169" t="s">
        <v>704</v>
      </c>
      <c r="K7" s="84" t="s">
        <v>705</v>
      </c>
      <c r="M7" s="79" t="s">
        <v>780</v>
      </c>
      <c r="N7" s="80" t="s">
        <v>542</v>
      </c>
      <c r="O7" s="81">
        <v>-65.504170000000002</v>
      </c>
      <c r="P7" s="56" t="s">
        <v>781</v>
      </c>
    </row>
    <row r="8" spans="1:16" x14ac:dyDescent="0.25">
      <c r="A8" s="53" t="s">
        <v>143</v>
      </c>
      <c r="B8" s="15" t="s">
        <v>142</v>
      </c>
      <c r="C8" s="176" t="s">
        <v>388</v>
      </c>
      <c r="D8" s="54" t="s">
        <v>144</v>
      </c>
      <c r="F8" s="221" t="s">
        <v>827</v>
      </c>
      <c r="G8" s="221"/>
      <c r="H8" s="221"/>
      <c r="J8" s="169" t="s">
        <v>706</v>
      </c>
      <c r="K8" s="84" t="s">
        <v>707</v>
      </c>
    </row>
    <row r="9" spans="1:16" x14ac:dyDescent="0.25">
      <c r="A9" s="53" t="s">
        <v>33</v>
      </c>
      <c r="B9" s="15" t="s">
        <v>32</v>
      </c>
      <c r="C9" s="176" t="s">
        <v>388</v>
      </c>
      <c r="D9" s="54" t="s">
        <v>34</v>
      </c>
      <c r="F9" s="88" t="s">
        <v>828</v>
      </c>
      <c r="G9" s="89" t="s">
        <v>829</v>
      </c>
      <c r="H9" s="90" t="s">
        <v>830</v>
      </c>
      <c r="J9" s="169" t="s">
        <v>708</v>
      </c>
      <c r="K9" s="84" t="s">
        <v>709</v>
      </c>
    </row>
    <row r="10" spans="1:16" x14ac:dyDescent="0.25">
      <c r="A10" s="53" t="s">
        <v>29</v>
      </c>
      <c r="B10" s="15" t="s">
        <v>28</v>
      </c>
      <c r="C10" s="176" t="s">
        <v>388</v>
      </c>
      <c r="D10" s="54" t="s">
        <v>30</v>
      </c>
      <c r="F10" s="164" t="s">
        <v>979</v>
      </c>
      <c r="G10" s="40" t="s">
        <v>980</v>
      </c>
      <c r="H10" s="165" t="s">
        <v>981</v>
      </c>
      <c r="J10" s="169" t="s">
        <v>710</v>
      </c>
      <c r="K10" s="84" t="s">
        <v>711</v>
      </c>
    </row>
    <row r="11" spans="1:16" ht="36" x14ac:dyDescent="0.25">
      <c r="A11" s="53" t="s">
        <v>52</v>
      </c>
      <c r="B11" s="15" t="s">
        <v>51</v>
      </c>
      <c r="C11" s="176" t="s">
        <v>388</v>
      </c>
      <c r="D11" s="54" t="s">
        <v>53</v>
      </c>
      <c r="F11" s="53" t="s">
        <v>844</v>
      </c>
      <c r="G11" s="15" t="s">
        <v>845</v>
      </c>
      <c r="H11" s="54" t="s">
        <v>8</v>
      </c>
      <c r="J11" s="169" t="s">
        <v>712</v>
      </c>
      <c r="K11" s="84" t="s">
        <v>713</v>
      </c>
    </row>
    <row r="12" spans="1:16" x14ac:dyDescent="0.25">
      <c r="A12" s="53" t="s">
        <v>391</v>
      </c>
      <c r="B12" s="15" t="s">
        <v>74</v>
      </c>
      <c r="C12" s="176" t="s">
        <v>388</v>
      </c>
      <c r="D12" s="54" t="s">
        <v>75</v>
      </c>
      <c r="F12" s="53" t="s">
        <v>831</v>
      </c>
      <c r="G12" s="15" t="s">
        <v>832</v>
      </c>
      <c r="H12" s="54" t="s">
        <v>66</v>
      </c>
      <c r="J12" s="169" t="s">
        <v>714</v>
      </c>
      <c r="K12" s="84" t="s">
        <v>715</v>
      </c>
    </row>
    <row r="13" spans="1:16" x14ac:dyDescent="0.25">
      <c r="A13" s="53" t="s">
        <v>171</v>
      </c>
      <c r="B13" s="15" t="s">
        <v>170</v>
      </c>
      <c r="C13" s="176" t="s">
        <v>388</v>
      </c>
      <c r="D13" s="54" t="s">
        <v>172</v>
      </c>
      <c r="F13" s="53" t="s">
        <v>846</v>
      </c>
      <c r="G13" s="15" t="s">
        <v>833</v>
      </c>
      <c r="H13" s="54" t="s">
        <v>682</v>
      </c>
      <c r="J13" s="169" t="s">
        <v>716</v>
      </c>
      <c r="K13" s="84" t="s">
        <v>717</v>
      </c>
    </row>
    <row r="14" spans="1:16" x14ac:dyDescent="0.25">
      <c r="A14" s="53" t="s">
        <v>163</v>
      </c>
      <c r="B14" s="15" t="s">
        <v>406</v>
      </c>
      <c r="C14" s="176" t="s">
        <v>388</v>
      </c>
      <c r="D14" s="54" t="s">
        <v>407</v>
      </c>
      <c r="F14" s="53" t="s">
        <v>847</v>
      </c>
      <c r="G14" s="15" t="s">
        <v>834</v>
      </c>
      <c r="H14" s="54" t="s">
        <v>14</v>
      </c>
      <c r="J14" s="170" t="s">
        <v>685</v>
      </c>
      <c r="K14" s="112" t="s">
        <v>686</v>
      </c>
    </row>
    <row r="15" spans="1:16" x14ac:dyDescent="0.25">
      <c r="A15" s="53" t="s">
        <v>238</v>
      </c>
      <c r="B15" s="15" t="s">
        <v>237</v>
      </c>
      <c r="C15" s="176" t="s">
        <v>388</v>
      </c>
      <c r="D15" s="54" t="s">
        <v>239</v>
      </c>
      <c r="F15" s="53" t="s">
        <v>848</v>
      </c>
      <c r="G15" s="15" t="s">
        <v>835</v>
      </c>
      <c r="H15" s="54" t="s">
        <v>97</v>
      </c>
    </row>
    <row r="16" spans="1:16" x14ac:dyDescent="0.25">
      <c r="A16" s="53" t="s">
        <v>431</v>
      </c>
      <c r="B16" s="15" t="s">
        <v>40</v>
      </c>
      <c r="C16" s="176" t="s">
        <v>388</v>
      </c>
      <c r="D16" s="54" t="s">
        <v>41</v>
      </c>
      <c r="F16" s="53" t="s">
        <v>836</v>
      </c>
      <c r="G16" s="15" t="s">
        <v>837</v>
      </c>
      <c r="H16" s="54" t="s">
        <v>11</v>
      </c>
    </row>
    <row r="17" spans="1:8" x14ac:dyDescent="0.25">
      <c r="A17" s="53" t="s">
        <v>990</v>
      </c>
      <c r="B17" s="15" t="s">
        <v>991</v>
      </c>
      <c r="C17" s="176" t="s">
        <v>388</v>
      </c>
      <c r="D17" s="54" t="s">
        <v>991</v>
      </c>
      <c r="F17" s="53" t="s">
        <v>849</v>
      </c>
      <c r="G17" s="15" t="s">
        <v>679</v>
      </c>
      <c r="H17" s="54" t="s">
        <v>678</v>
      </c>
    </row>
    <row r="18" spans="1:8" x14ac:dyDescent="0.25">
      <c r="A18" s="53" t="s">
        <v>992</v>
      </c>
      <c r="B18" s="15" t="s">
        <v>993</v>
      </c>
      <c r="C18" s="176" t="s">
        <v>388</v>
      </c>
      <c r="D18" s="54" t="s">
        <v>651</v>
      </c>
      <c r="F18" s="53" t="s">
        <v>838</v>
      </c>
      <c r="G18" s="15" t="s">
        <v>683</v>
      </c>
      <c r="H18" s="54" t="s">
        <v>684</v>
      </c>
    </row>
    <row r="19" spans="1:8" x14ac:dyDescent="0.25">
      <c r="A19" s="53" t="s">
        <v>994</v>
      </c>
      <c r="B19" s="15" t="s">
        <v>995</v>
      </c>
      <c r="C19" s="176" t="s">
        <v>388</v>
      </c>
      <c r="D19" s="54" t="s">
        <v>92</v>
      </c>
      <c r="F19" s="53" t="s">
        <v>839</v>
      </c>
      <c r="G19" s="15" t="s">
        <v>840</v>
      </c>
      <c r="H19" s="54" t="s">
        <v>126</v>
      </c>
    </row>
    <row r="20" spans="1:8" x14ac:dyDescent="0.25">
      <c r="A20" s="53" t="s">
        <v>996</v>
      </c>
      <c r="B20" s="15" t="s">
        <v>997</v>
      </c>
      <c r="C20" s="176" t="s">
        <v>388</v>
      </c>
      <c r="D20" s="54" t="s">
        <v>85</v>
      </c>
      <c r="F20" s="53" t="s">
        <v>850</v>
      </c>
      <c r="G20" s="15" t="s">
        <v>841</v>
      </c>
      <c r="H20" s="54" t="s">
        <v>109</v>
      </c>
    </row>
    <row r="21" spans="1:8" x14ac:dyDescent="0.25">
      <c r="A21" s="53" t="s">
        <v>998</v>
      </c>
      <c r="B21" s="15" t="s">
        <v>999</v>
      </c>
      <c r="C21" s="176" t="s">
        <v>388</v>
      </c>
      <c r="D21" s="54" t="s">
        <v>76</v>
      </c>
      <c r="F21" s="53" t="s">
        <v>851</v>
      </c>
      <c r="G21" s="15" t="s">
        <v>842</v>
      </c>
      <c r="H21" s="54" t="s">
        <v>677</v>
      </c>
    </row>
    <row r="22" spans="1:8" x14ac:dyDescent="0.25">
      <c r="A22" s="53" t="s">
        <v>1000</v>
      </c>
      <c r="B22" s="15" t="s">
        <v>1001</v>
      </c>
      <c r="C22" s="176" t="s">
        <v>388</v>
      </c>
      <c r="D22" s="54" t="s">
        <v>86</v>
      </c>
      <c r="F22" s="53" t="s">
        <v>843</v>
      </c>
      <c r="G22" s="15" t="s">
        <v>680</v>
      </c>
      <c r="H22" s="54" t="s">
        <v>681</v>
      </c>
    </row>
    <row r="23" spans="1:8" x14ac:dyDescent="0.25">
      <c r="A23" s="53" t="s">
        <v>1002</v>
      </c>
      <c r="B23" s="15" t="s">
        <v>1003</v>
      </c>
      <c r="C23" s="176" t="s">
        <v>388</v>
      </c>
      <c r="D23" s="54" t="s">
        <v>655</v>
      </c>
      <c r="F23" s="57" t="s">
        <v>685</v>
      </c>
      <c r="G23" s="222" t="s">
        <v>686</v>
      </c>
      <c r="H23" s="223"/>
    </row>
    <row r="24" spans="1:8" x14ac:dyDescent="0.25">
      <c r="A24" s="53" t="s">
        <v>1004</v>
      </c>
      <c r="B24" s="15" t="s">
        <v>1005</v>
      </c>
      <c r="C24" s="176" t="s">
        <v>388</v>
      </c>
      <c r="D24" s="54" t="s">
        <v>77</v>
      </c>
    </row>
    <row r="25" spans="1:8" x14ac:dyDescent="0.25">
      <c r="A25" s="53" t="s">
        <v>1006</v>
      </c>
      <c r="B25" s="15" t="s">
        <v>1007</v>
      </c>
      <c r="C25" s="176" t="s">
        <v>388</v>
      </c>
      <c r="D25" s="54" t="s">
        <v>83</v>
      </c>
    </row>
    <row r="26" spans="1:8" x14ac:dyDescent="0.25">
      <c r="A26" s="53" t="s">
        <v>1008</v>
      </c>
      <c r="B26" s="15" t="s">
        <v>1009</v>
      </c>
      <c r="C26" s="176" t="s">
        <v>388</v>
      </c>
      <c r="D26" s="54" t="s">
        <v>90</v>
      </c>
      <c r="F26" s="221" t="s">
        <v>801</v>
      </c>
      <c r="G26" s="221"/>
      <c r="H26" s="85"/>
    </row>
    <row r="27" spans="1:8" x14ac:dyDescent="0.25">
      <c r="A27" s="53" t="s">
        <v>1010</v>
      </c>
      <c r="B27" s="15" t="s">
        <v>1011</v>
      </c>
      <c r="C27" s="176" t="s">
        <v>388</v>
      </c>
      <c r="D27" s="54" t="s">
        <v>656</v>
      </c>
      <c r="F27" s="50" t="s">
        <v>825</v>
      </c>
      <c r="G27" s="52" t="s">
        <v>430</v>
      </c>
      <c r="H27" s="86"/>
    </row>
    <row r="28" spans="1:8" x14ac:dyDescent="0.25">
      <c r="A28" s="53" t="s">
        <v>1012</v>
      </c>
      <c r="B28" s="15" t="s">
        <v>1013</v>
      </c>
      <c r="C28" s="176" t="s">
        <v>388</v>
      </c>
      <c r="D28" s="54" t="s">
        <v>78</v>
      </c>
      <c r="F28" s="166" t="s">
        <v>982</v>
      </c>
      <c r="G28" s="167" t="s">
        <v>983</v>
      </c>
    </row>
    <row r="29" spans="1:8" x14ac:dyDescent="0.25">
      <c r="A29" s="53" t="s">
        <v>1014</v>
      </c>
      <c r="B29" s="15" t="s">
        <v>1015</v>
      </c>
      <c r="C29" s="176" t="s">
        <v>388</v>
      </c>
      <c r="D29" s="54" t="s">
        <v>79</v>
      </c>
      <c r="F29" s="53" t="s">
        <v>690</v>
      </c>
      <c r="G29" s="54" t="s">
        <v>806</v>
      </c>
    </row>
    <row r="30" spans="1:8" x14ac:dyDescent="0.25">
      <c r="A30" s="53" t="s">
        <v>1016</v>
      </c>
      <c r="B30" s="15" t="s">
        <v>1017</v>
      </c>
      <c r="C30" s="176" t="s">
        <v>388</v>
      </c>
      <c r="D30" s="54" t="s">
        <v>80</v>
      </c>
      <c r="F30" s="53" t="s">
        <v>691</v>
      </c>
      <c r="G30" s="54" t="s">
        <v>802</v>
      </c>
    </row>
    <row r="31" spans="1:8" x14ac:dyDescent="0.25">
      <c r="A31" s="53" t="s">
        <v>1018</v>
      </c>
      <c r="B31" s="15" t="s">
        <v>1019</v>
      </c>
      <c r="C31" s="176" t="s">
        <v>388</v>
      </c>
      <c r="D31" s="54" t="s">
        <v>94</v>
      </c>
      <c r="F31" s="53" t="s">
        <v>692</v>
      </c>
      <c r="G31" s="54" t="s">
        <v>807</v>
      </c>
    </row>
    <row r="32" spans="1:8" x14ac:dyDescent="0.25">
      <c r="A32" s="53" t="s">
        <v>1020</v>
      </c>
      <c r="B32" s="15" t="s">
        <v>1021</v>
      </c>
      <c r="C32" s="176" t="s">
        <v>388</v>
      </c>
      <c r="D32" s="54" t="s">
        <v>87</v>
      </c>
      <c r="F32" s="53" t="s">
        <v>693</v>
      </c>
      <c r="G32" s="54" t="s">
        <v>803</v>
      </c>
    </row>
    <row r="33" spans="1:8" x14ac:dyDescent="0.25">
      <c r="A33" s="53" t="s">
        <v>1022</v>
      </c>
      <c r="B33" s="15" t="s">
        <v>1023</v>
      </c>
      <c r="C33" s="176" t="s">
        <v>388</v>
      </c>
      <c r="D33" s="54" t="s">
        <v>81</v>
      </c>
      <c r="F33" s="53" t="s">
        <v>694</v>
      </c>
      <c r="G33" s="54" t="s">
        <v>804</v>
      </c>
    </row>
    <row r="34" spans="1:8" x14ac:dyDescent="0.25">
      <c r="A34" s="53" t="s">
        <v>1024</v>
      </c>
      <c r="B34" s="15" t="s">
        <v>1025</v>
      </c>
      <c r="C34" s="176" t="s">
        <v>388</v>
      </c>
      <c r="D34" s="54" t="s">
        <v>91</v>
      </c>
      <c r="F34" s="53" t="s">
        <v>695</v>
      </c>
      <c r="G34" s="54" t="s">
        <v>808</v>
      </c>
    </row>
    <row r="35" spans="1:8" x14ac:dyDescent="0.25">
      <c r="A35" s="53" t="s">
        <v>1026</v>
      </c>
      <c r="B35" s="15" t="s">
        <v>1027</v>
      </c>
      <c r="C35" s="176" t="s">
        <v>388</v>
      </c>
      <c r="D35" s="54" t="s">
        <v>9</v>
      </c>
      <c r="F35" s="53" t="s">
        <v>696</v>
      </c>
      <c r="G35" s="54" t="s">
        <v>809</v>
      </c>
    </row>
    <row r="36" spans="1:8" x14ac:dyDescent="0.25">
      <c r="A36" s="53" t="s">
        <v>1028</v>
      </c>
      <c r="B36" s="15" t="s">
        <v>1029</v>
      </c>
      <c r="C36" s="176" t="s">
        <v>388</v>
      </c>
      <c r="D36" s="54" t="s">
        <v>657</v>
      </c>
      <c r="F36" s="53" t="s">
        <v>697</v>
      </c>
      <c r="G36" s="54" t="s">
        <v>810</v>
      </c>
    </row>
    <row r="37" spans="1:8" x14ac:dyDescent="0.25">
      <c r="A37" s="53" t="s">
        <v>1030</v>
      </c>
      <c r="B37" s="15" t="s">
        <v>1031</v>
      </c>
      <c r="C37" s="176" t="s">
        <v>388</v>
      </c>
      <c r="D37" s="54" t="s">
        <v>82</v>
      </c>
      <c r="F37" s="53" t="s">
        <v>698</v>
      </c>
      <c r="G37" s="54" t="s">
        <v>805</v>
      </c>
      <c r="H37" s="87"/>
    </row>
    <row r="38" spans="1:8" x14ac:dyDescent="0.25">
      <c r="A38" s="53" t="s">
        <v>1032</v>
      </c>
      <c r="B38" s="15" t="s">
        <v>1033</v>
      </c>
      <c r="C38" s="176" t="s">
        <v>388</v>
      </c>
      <c r="D38" s="54" t="s">
        <v>88</v>
      </c>
      <c r="F38" s="57" t="s">
        <v>685</v>
      </c>
      <c r="G38" s="112" t="s">
        <v>686</v>
      </c>
    </row>
    <row r="39" spans="1:8" x14ac:dyDescent="0.25">
      <c r="A39" s="53" t="s">
        <v>1034</v>
      </c>
      <c r="B39" s="15" t="s">
        <v>1035</v>
      </c>
      <c r="C39" s="176" t="s">
        <v>388</v>
      </c>
      <c r="D39" s="54" t="s">
        <v>1036</v>
      </c>
    </row>
    <row r="40" spans="1:8" x14ac:dyDescent="0.25">
      <c r="A40" s="53" t="s">
        <v>1037</v>
      </c>
      <c r="B40" s="15" t="s">
        <v>1038</v>
      </c>
      <c r="C40" s="176" t="s">
        <v>388</v>
      </c>
      <c r="D40" s="54" t="s">
        <v>1039</v>
      </c>
      <c r="H40" s="85"/>
    </row>
    <row r="41" spans="1:8" x14ac:dyDescent="0.25">
      <c r="A41" s="53" t="s">
        <v>1040</v>
      </c>
      <c r="B41" s="15" t="s">
        <v>1041</v>
      </c>
      <c r="C41" s="176" t="s">
        <v>388</v>
      </c>
      <c r="D41" s="54" t="s">
        <v>1042</v>
      </c>
      <c r="F41" s="221" t="s">
        <v>826</v>
      </c>
      <c r="G41" s="221"/>
      <c r="H41" s="86"/>
    </row>
    <row r="42" spans="1:8" x14ac:dyDescent="0.25">
      <c r="A42" s="53" t="s">
        <v>1043</v>
      </c>
      <c r="B42" s="15" t="s">
        <v>1044</v>
      </c>
      <c r="C42" s="176" t="s">
        <v>388</v>
      </c>
      <c r="D42" s="54" t="s">
        <v>1045</v>
      </c>
      <c r="F42" s="50" t="s">
        <v>718</v>
      </c>
      <c r="G42" s="52" t="s">
        <v>430</v>
      </c>
    </row>
    <row r="43" spans="1:8" x14ac:dyDescent="0.25">
      <c r="A43" s="53" t="s">
        <v>1046</v>
      </c>
      <c r="B43" s="15" t="s">
        <v>1047</v>
      </c>
      <c r="C43" s="176" t="s">
        <v>388</v>
      </c>
      <c r="D43" s="54" t="s">
        <v>93</v>
      </c>
      <c r="F43" s="166" t="s">
        <v>982</v>
      </c>
      <c r="G43" s="167" t="s">
        <v>984</v>
      </c>
    </row>
    <row r="44" spans="1:8" x14ac:dyDescent="0.25">
      <c r="A44" s="53" t="s">
        <v>1048</v>
      </c>
      <c r="B44" s="15" t="s">
        <v>1049</v>
      </c>
      <c r="C44" s="176" t="s">
        <v>388</v>
      </c>
      <c r="D44" s="54" t="s">
        <v>84</v>
      </c>
      <c r="F44" s="53" t="s">
        <v>651</v>
      </c>
      <c r="G44" s="54" t="s">
        <v>811</v>
      </c>
    </row>
    <row r="45" spans="1:8" x14ac:dyDescent="0.25">
      <c r="A45" s="53" t="s">
        <v>150</v>
      </c>
      <c r="B45" s="15" t="s">
        <v>149</v>
      </c>
      <c r="C45" s="176" t="s">
        <v>388</v>
      </c>
      <c r="D45" s="54" t="s">
        <v>151</v>
      </c>
      <c r="F45" s="53" t="s">
        <v>852</v>
      </c>
      <c r="G45" s="54" t="s">
        <v>812</v>
      </c>
    </row>
    <row r="46" spans="1:8" x14ac:dyDescent="0.25">
      <c r="A46" s="53" t="s">
        <v>269</v>
      </c>
      <c r="B46" s="15" t="s">
        <v>268</v>
      </c>
      <c r="C46" s="176" t="s">
        <v>388</v>
      </c>
      <c r="D46" s="54" t="s">
        <v>13</v>
      </c>
      <c r="F46" s="53" t="s">
        <v>853</v>
      </c>
      <c r="G46" s="54" t="s">
        <v>813</v>
      </c>
    </row>
    <row r="47" spans="1:8" x14ac:dyDescent="0.25">
      <c r="A47" s="53" t="s">
        <v>1050</v>
      </c>
      <c r="B47" s="15" t="s">
        <v>1051</v>
      </c>
      <c r="C47" s="176" t="s">
        <v>388</v>
      </c>
      <c r="D47" s="54" t="s">
        <v>89</v>
      </c>
      <c r="F47" s="53" t="s">
        <v>854</v>
      </c>
      <c r="G47" s="54" t="s">
        <v>814</v>
      </c>
    </row>
    <row r="48" spans="1:8" x14ac:dyDescent="0.25">
      <c r="A48" s="53" t="s">
        <v>1052</v>
      </c>
      <c r="B48" s="15" t="s">
        <v>1053</v>
      </c>
      <c r="C48" s="176" t="s">
        <v>388</v>
      </c>
      <c r="D48" s="54" t="s">
        <v>31</v>
      </c>
      <c r="F48" s="53" t="s">
        <v>855</v>
      </c>
      <c r="G48" s="54" t="s">
        <v>815</v>
      </c>
    </row>
    <row r="49" spans="1:8" x14ac:dyDescent="0.25">
      <c r="A49" s="53" t="s">
        <v>49</v>
      </c>
      <c r="B49" s="15" t="s">
        <v>48</v>
      </c>
      <c r="C49" s="176" t="s">
        <v>388</v>
      </c>
      <c r="D49" s="54" t="s">
        <v>50</v>
      </c>
      <c r="F49" s="53" t="s">
        <v>720</v>
      </c>
      <c r="G49" s="54" t="s">
        <v>687</v>
      </c>
    </row>
    <row r="50" spans="1:8" x14ac:dyDescent="0.25">
      <c r="A50" s="53" t="s">
        <v>244</v>
      </c>
      <c r="B50" s="15" t="s">
        <v>243</v>
      </c>
      <c r="C50" s="176" t="s">
        <v>388</v>
      </c>
      <c r="D50" s="54" t="s">
        <v>245</v>
      </c>
      <c r="F50" s="53" t="s">
        <v>262</v>
      </c>
      <c r="G50" s="54" t="s">
        <v>688</v>
      </c>
    </row>
    <row r="51" spans="1:8" x14ac:dyDescent="0.25">
      <c r="A51" s="53" t="s">
        <v>26</v>
      </c>
      <c r="B51" s="15" t="s">
        <v>25</v>
      </c>
      <c r="C51" s="176" t="s">
        <v>388</v>
      </c>
      <c r="D51" s="54" t="s">
        <v>27</v>
      </c>
      <c r="F51" s="53" t="s">
        <v>856</v>
      </c>
      <c r="G51" s="54" t="s">
        <v>816</v>
      </c>
    </row>
    <row r="52" spans="1:8" x14ac:dyDescent="0.25">
      <c r="A52" s="53" t="s">
        <v>1054</v>
      </c>
      <c r="B52" s="15" t="s">
        <v>1055</v>
      </c>
      <c r="C52" s="176" t="s">
        <v>388</v>
      </c>
      <c r="D52" s="54" t="s">
        <v>89</v>
      </c>
      <c r="F52" s="53" t="s">
        <v>857</v>
      </c>
      <c r="G52" s="54" t="s">
        <v>817</v>
      </c>
    </row>
    <row r="53" spans="1:8" x14ac:dyDescent="0.25">
      <c r="A53" s="53" t="s">
        <v>137</v>
      </c>
      <c r="B53" s="15" t="s">
        <v>136</v>
      </c>
      <c r="C53" s="176" t="s">
        <v>388</v>
      </c>
      <c r="D53" s="54" t="s">
        <v>138</v>
      </c>
      <c r="F53" s="53" t="s">
        <v>858</v>
      </c>
      <c r="G53" s="54" t="s">
        <v>818</v>
      </c>
    </row>
    <row r="54" spans="1:8" x14ac:dyDescent="0.25">
      <c r="A54" s="53" t="s">
        <v>63</v>
      </c>
      <c r="B54" s="15" t="s">
        <v>62</v>
      </c>
      <c r="C54" s="176" t="s">
        <v>388</v>
      </c>
      <c r="D54" s="54" t="s">
        <v>64</v>
      </c>
      <c r="F54" s="53" t="s">
        <v>859</v>
      </c>
      <c r="G54" s="54" t="s">
        <v>819</v>
      </c>
    </row>
    <row r="55" spans="1:8" x14ac:dyDescent="0.25">
      <c r="A55" s="53" t="s">
        <v>1056</v>
      </c>
      <c r="B55" s="15" t="s">
        <v>65</v>
      </c>
      <c r="C55" s="176" t="s">
        <v>388</v>
      </c>
      <c r="D55" s="54" t="s">
        <v>66</v>
      </c>
      <c r="F55" s="53" t="s">
        <v>100</v>
      </c>
      <c r="G55" s="54" t="s">
        <v>689</v>
      </c>
    </row>
    <row r="56" spans="1:8" x14ac:dyDescent="0.25">
      <c r="A56" s="53" t="s">
        <v>111</v>
      </c>
      <c r="B56" s="15" t="s">
        <v>110</v>
      </c>
      <c r="C56" s="176" t="s">
        <v>388</v>
      </c>
      <c r="D56" s="54" t="s">
        <v>112</v>
      </c>
      <c r="F56" s="53" t="s">
        <v>860</v>
      </c>
      <c r="G56" s="54" t="s">
        <v>820</v>
      </c>
    </row>
    <row r="57" spans="1:8" x14ac:dyDescent="0.25">
      <c r="A57" s="53" t="s">
        <v>123</v>
      </c>
      <c r="B57" s="15" t="s">
        <v>122</v>
      </c>
      <c r="C57" s="176" t="s">
        <v>388</v>
      </c>
      <c r="D57" s="54" t="s">
        <v>124</v>
      </c>
      <c r="F57" s="53" t="s">
        <v>861</v>
      </c>
      <c r="G57" s="54" t="s">
        <v>821</v>
      </c>
    </row>
    <row r="58" spans="1:8" x14ac:dyDescent="0.25">
      <c r="A58" s="53" t="s">
        <v>20</v>
      </c>
      <c r="B58" s="15" t="s">
        <v>19</v>
      </c>
      <c r="C58" s="176" t="s">
        <v>388</v>
      </c>
      <c r="D58" s="54" t="s">
        <v>21</v>
      </c>
      <c r="F58" s="53" t="s">
        <v>862</v>
      </c>
      <c r="G58" s="54" t="s">
        <v>822</v>
      </c>
    </row>
    <row r="59" spans="1:8" x14ac:dyDescent="0.25">
      <c r="A59" s="53" t="s">
        <v>1057</v>
      </c>
      <c r="B59" s="15" t="s">
        <v>38</v>
      </c>
      <c r="C59" s="176" t="s">
        <v>388</v>
      </c>
      <c r="D59" s="54" t="s">
        <v>39</v>
      </c>
      <c r="F59" s="53" t="s">
        <v>863</v>
      </c>
      <c r="G59" s="54" t="s">
        <v>823</v>
      </c>
      <c r="H59" s="87"/>
    </row>
    <row r="60" spans="1:8" x14ac:dyDescent="0.25">
      <c r="A60" s="53" t="s">
        <v>188</v>
      </c>
      <c r="B60" s="15" t="s">
        <v>187</v>
      </c>
      <c r="C60" s="176" t="s">
        <v>388</v>
      </c>
      <c r="D60" s="54" t="s">
        <v>189</v>
      </c>
      <c r="F60" s="53" t="s">
        <v>719</v>
      </c>
      <c r="G60" s="54" t="s">
        <v>824</v>
      </c>
    </row>
    <row r="61" spans="1:8" x14ac:dyDescent="0.25">
      <c r="A61" s="53" t="s">
        <v>72</v>
      </c>
      <c r="B61" s="15" t="s">
        <v>71</v>
      </c>
      <c r="C61" s="176" t="s">
        <v>388</v>
      </c>
      <c r="D61" s="54" t="s">
        <v>73</v>
      </c>
      <c r="F61" s="57" t="s">
        <v>685</v>
      </c>
      <c r="G61" s="112" t="s">
        <v>686</v>
      </c>
    </row>
    <row r="62" spans="1:8" x14ac:dyDescent="0.25">
      <c r="A62" s="53" t="s">
        <v>36</v>
      </c>
      <c r="B62" s="15" t="s">
        <v>35</v>
      </c>
      <c r="C62" s="176" t="s">
        <v>388</v>
      </c>
      <c r="D62" s="54" t="s">
        <v>37</v>
      </c>
    </row>
    <row r="63" spans="1:8" x14ac:dyDescent="0.25">
      <c r="A63" s="53" t="s">
        <v>211</v>
      </c>
      <c r="B63" s="15" t="s">
        <v>210</v>
      </c>
      <c r="C63" s="176" t="s">
        <v>388</v>
      </c>
      <c r="D63" s="54" t="s">
        <v>212</v>
      </c>
    </row>
    <row r="64" spans="1:8" x14ac:dyDescent="0.25">
      <c r="A64" s="53" t="s">
        <v>117</v>
      </c>
      <c r="B64" s="15" t="s">
        <v>116</v>
      </c>
      <c r="C64" s="176" t="s">
        <v>388</v>
      </c>
      <c r="D64" s="54" t="s">
        <v>118</v>
      </c>
    </row>
    <row r="65" spans="1:4" x14ac:dyDescent="0.25">
      <c r="A65" s="53" t="s">
        <v>105</v>
      </c>
      <c r="B65" s="15" t="s">
        <v>104</v>
      </c>
      <c r="C65" s="176" t="s">
        <v>388</v>
      </c>
      <c r="D65" s="54" t="s">
        <v>106</v>
      </c>
    </row>
    <row r="66" spans="1:4" x14ac:dyDescent="0.25">
      <c r="A66" s="53" t="s">
        <v>134</v>
      </c>
      <c r="B66" s="15" t="s">
        <v>133</v>
      </c>
      <c r="C66" s="176" t="s">
        <v>388</v>
      </c>
      <c r="D66" s="54" t="s">
        <v>135</v>
      </c>
    </row>
    <row r="67" spans="1:4" x14ac:dyDescent="0.25">
      <c r="A67" s="53" t="s">
        <v>217</v>
      </c>
      <c r="B67" s="15" t="s">
        <v>216</v>
      </c>
      <c r="C67" s="176" t="s">
        <v>388</v>
      </c>
      <c r="D67" s="54" t="s">
        <v>218</v>
      </c>
    </row>
    <row r="68" spans="1:4" x14ac:dyDescent="0.25">
      <c r="A68" s="53" t="s">
        <v>1058</v>
      </c>
      <c r="B68" s="15" t="s">
        <v>1059</v>
      </c>
      <c r="C68" s="176" t="s">
        <v>388</v>
      </c>
      <c r="D68" s="54" t="s">
        <v>89</v>
      </c>
    </row>
    <row r="69" spans="1:4" x14ac:dyDescent="0.25">
      <c r="A69" s="53" t="s">
        <v>131</v>
      </c>
      <c r="B69" s="15" t="s">
        <v>130</v>
      </c>
      <c r="C69" s="176" t="s">
        <v>388</v>
      </c>
      <c r="D69" s="54" t="s">
        <v>132</v>
      </c>
    </row>
    <row r="70" spans="1:4" x14ac:dyDescent="0.25">
      <c r="A70" s="53" t="s">
        <v>99</v>
      </c>
      <c r="B70" s="15" t="s">
        <v>98</v>
      </c>
      <c r="C70" s="176" t="s">
        <v>388</v>
      </c>
      <c r="D70" s="54" t="s">
        <v>100</v>
      </c>
    </row>
    <row r="71" spans="1:4" x14ac:dyDescent="0.25">
      <c r="A71" s="53" t="s">
        <v>128</v>
      </c>
      <c r="B71" s="15" t="s">
        <v>127</v>
      </c>
      <c r="C71" s="176" t="s">
        <v>388</v>
      </c>
      <c r="D71" s="54" t="s">
        <v>129</v>
      </c>
    </row>
    <row r="72" spans="1:4" x14ac:dyDescent="0.25">
      <c r="A72" s="53" t="s">
        <v>46</v>
      </c>
      <c r="B72" s="15" t="s">
        <v>45</v>
      </c>
      <c r="C72" s="176" t="s">
        <v>388</v>
      </c>
      <c r="D72" s="54" t="s">
        <v>47</v>
      </c>
    </row>
    <row r="73" spans="1:4" x14ac:dyDescent="0.25">
      <c r="A73" s="53" t="s">
        <v>1060</v>
      </c>
      <c r="B73" s="15" t="s">
        <v>57</v>
      </c>
      <c r="C73" s="176" t="s">
        <v>388</v>
      </c>
      <c r="D73" s="54" t="s">
        <v>58</v>
      </c>
    </row>
    <row r="74" spans="1:4" x14ac:dyDescent="0.25">
      <c r="A74" s="53" t="s">
        <v>1061</v>
      </c>
      <c r="B74" s="15" t="s">
        <v>1062</v>
      </c>
      <c r="C74" s="176" t="s">
        <v>388</v>
      </c>
      <c r="D74" s="54" t="s">
        <v>89</v>
      </c>
    </row>
    <row r="75" spans="1:4" x14ac:dyDescent="0.25">
      <c r="A75" s="53" t="s">
        <v>140</v>
      </c>
      <c r="B75" s="15" t="s">
        <v>139</v>
      </c>
      <c r="C75" s="176" t="s">
        <v>388</v>
      </c>
      <c r="D75" s="54" t="s">
        <v>141</v>
      </c>
    </row>
    <row r="76" spans="1:4" x14ac:dyDescent="0.25">
      <c r="A76" s="53" t="s">
        <v>156</v>
      </c>
      <c r="B76" s="15" t="s">
        <v>155</v>
      </c>
      <c r="C76" s="176" t="s">
        <v>388</v>
      </c>
      <c r="D76" s="54" t="s">
        <v>157</v>
      </c>
    </row>
    <row r="77" spans="1:4" x14ac:dyDescent="0.25">
      <c r="A77" s="53" t="s">
        <v>23</v>
      </c>
      <c r="B77" s="15" t="s">
        <v>22</v>
      </c>
      <c r="C77" s="176" t="s">
        <v>388</v>
      </c>
      <c r="D77" s="54" t="s">
        <v>24</v>
      </c>
    </row>
    <row r="78" spans="1:4" x14ac:dyDescent="0.25">
      <c r="A78" s="53" t="s">
        <v>1063</v>
      </c>
      <c r="B78" s="15" t="s">
        <v>147</v>
      </c>
      <c r="C78" s="176" t="s">
        <v>388</v>
      </c>
      <c r="D78" s="54" t="s">
        <v>148</v>
      </c>
    </row>
    <row r="79" spans="1:4" x14ac:dyDescent="0.25">
      <c r="A79" s="53" t="s">
        <v>411</v>
      </c>
      <c r="B79" s="15" t="s">
        <v>145</v>
      </c>
      <c r="C79" s="176" t="s">
        <v>388</v>
      </c>
      <c r="D79" s="54" t="s">
        <v>146</v>
      </c>
    </row>
    <row r="80" spans="1:4" x14ac:dyDescent="0.25">
      <c r="A80" s="53" t="s">
        <v>102</v>
      </c>
      <c r="B80" s="15" t="s">
        <v>101</v>
      </c>
      <c r="C80" s="176" t="s">
        <v>388</v>
      </c>
      <c r="D80" s="54" t="s">
        <v>103</v>
      </c>
    </row>
    <row r="81" spans="1:4" x14ac:dyDescent="0.25">
      <c r="A81" s="53" t="s">
        <v>96</v>
      </c>
      <c r="B81" s="15" t="s">
        <v>95</v>
      </c>
      <c r="C81" s="176" t="s">
        <v>388</v>
      </c>
      <c r="D81" s="54" t="s">
        <v>97</v>
      </c>
    </row>
    <row r="82" spans="1:4" x14ac:dyDescent="0.25">
      <c r="A82" s="53" t="s">
        <v>1064</v>
      </c>
      <c r="B82" s="15" t="s">
        <v>125</v>
      </c>
      <c r="C82" s="176" t="s">
        <v>388</v>
      </c>
      <c r="D82" s="54" t="s">
        <v>126</v>
      </c>
    </row>
    <row r="83" spans="1:4" x14ac:dyDescent="0.25">
      <c r="A83" s="53" t="s">
        <v>1065</v>
      </c>
      <c r="B83" s="15" t="s">
        <v>1066</v>
      </c>
      <c r="C83" s="176" t="s">
        <v>388</v>
      </c>
      <c r="D83" s="54" t="s">
        <v>68</v>
      </c>
    </row>
    <row r="84" spans="1:4" x14ac:dyDescent="0.25">
      <c r="A84" s="53" t="s">
        <v>1067</v>
      </c>
      <c r="B84" s="15" t="s">
        <v>1068</v>
      </c>
      <c r="C84" s="176" t="s">
        <v>388</v>
      </c>
      <c r="D84" s="54" t="s">
        <v>70</v>
      </c>
    </row>
    <row r="85" spans="1:4" x14ac:dyDescent="0.25">
      <c r="A85" s="53" t="s">
        <v>1069</v>
      </c>
      <c r="B85" s="15" t="s">
        <v>1070</v>
      </c>
      <c r="C85" s="176" t="s">
        <v>388</v>
      </c>
      <c r="D85" s="54" t="s">
        <v>67</v>
      </c>
    </row>
    <row r="86" spans="1:4" x14ac:dyDescent="0.25">
      <c r="A86" s="53" t="s">
        <v>1071</v>
      </c>
      <c r="B86" s="15" t="s">
        <v>1072</v>
      </c>
      <c r="C86" s="176" t="s">
        <v>388</v>
      </c>
      <c r="D86" s="54" t="s">
        <v>69</v>
      </c>
    </row>
    <row r="87" spans="1:4" x14ac:dyDescent="0.25">
      <c r="A87" s="53" t="s">
        <v>17</v>
      </c>
      <c r="B87" s="15" t="s">
        <v>17</v>
      </c>
      <c r="C87" s="176" t="s">
        <v>388</v>
      </c>
      <c r="D87" s="54" t="s">
        <v>18</v>
      </c>
    </row>
    <row r="88" spans="1:4" x14ac:dyDescent="0.25">
      <c r="A88" s="53" t="s">
        <v>55</v>
      </c>
      <c r="B88" s="15" t="s">
        <v>54</v>
      </c>
      <c r="C88" s="176" t="s">
        <v>388</v>
      </c>
      <c r="D88" s="54" t="s">
        <v>56</v>
      </c>
    </row>
    <row r="89" spans="1:4" x14ac:dyDescent="0.25">
      <c r="A89" s="53" t="s">
        <v>60</v>
      </c>
      <c r="B89" s="15" t="s">
        <v>59</v>
      </c>
      <c r="C89" s="176" t="s">
        <v>388</v>
      </c>
      <c r="D89" s="54" t="s">
        <v>61</v>
      </c>
    </row>
    <row r="90" spans="1:4" x14ac:dyDescent="0.25">
      <c r="A90" s="53" t="s">
        <v>1073</v>
      </c>
      <c r="B90" s="15" t="s">
        <v>1074</v>
      </c>
      <c r="C90" s="176" t="s">
        <v>388</v>
      </c>
      <c r="D90" s="54" t="s">
        <v>89</v>
      </c>
    </row>
    <row r="91" spans="1:4" x14ac:dyDescent="0.25">
      <c r="A91" s="177" t="s">
        <v>329</v>
      </c>
      <c r="B91" s="178" t="s">
        <v>328</v>
      </c>
      <c r="C91" s="179" t="s">
        <v>389</v>
      </c>
      <c r="D91" s="180" t="s">
        <v>330</v>
      </c>
    </row>
    <row r="92" spans="1:4" x14ac:dyDescent="0.25">
      <c r="A92" s="53" t="s">
        <v>159</v>
      </c>
      <c r="B92" s="15" t="s">
        <v>158</v>
      </c>
      <c r="C92" s="181" t="s">
        <v>389</v>
      </c>
      <c r="D92" s="54" t="s">
        <v>11</v>
      </c>
    </row>
    <row r="93" spans="1:4" x14ac:dyDescent="0.25">
      <c r="A93" s="53" t="s">
        <v>194</v>
      </c>
      <c r="B93" s="15" t="s">
        <v>193</v>
      </c>
      <c r="C93" s="181" t="s">
        <v>389</v>
      </c>
      <c r="D93" s="54" t="s">
        <v>195</v>
      </c>
    </row>
    <row r="94" spans="1:4" x14ac:dyDescent="0.25">
      <c r="A94" s="53" t="s">
        <v>161</v>
      </c>
      <c r="B94" s="15" t="s">
        <v>160</v>
      </c>
      <c r="C94" s="181" t="s">
        <v>389</v>
      </c>
      <c r="D94" s="54" t="s">
        <v>162</v>
      </c>
    </row>
    <row r="95" spans="1:4" x14ac:dyDescent="0.25">
      <c r="A95" s="55" t="s">
        <v>283</v>
      </c>
      <c r="B95" s="80" t="s">
        <v>282</v>
      </c>
      <c r="C95" s="182" t="s">
        <v>389</v>
      </c>
      <c r="D95" s="56" t="s">
        <v>284</v>
      </c>
    </row>
    <row r="96" spans="1:4" x14ac:dyDescent="0.25">
      <c r="A96" s="53" t="s">
        <v>433</v>
      </c>
      <c r="B96" s="15" t="s">
        <v>432</v>
      </c>
      <c r="C96" s="15" t="s">
        <v>390</v>
      </c>
      <c r="D96" s="54" t="s">
        <v>434</v>
      </c>
    </row>
    <row r="97" spans="1:4" x14ac:dyDescent="0.25">
      <c r="A97" s="53" t="s">
        <v>271</v>
      </c>
      <c r="B97" s="15" t="s">
        <v>270</v>
      </c>
      <c r="C97" s="15" t="s">
        <v>390</v>
      </c>
      <c r="D97" s="54" t="s">
        <v>272</v>
      </c>
    </row>
    <row r="98" spans="1:4" x14ac:dyDescent="0.25">
      <c r="A98" s="53" t="s">
        <v>229</v>
      </c>
      <c r="B98" s="15" t="s">
        <v>228</v>
      </c>
      <c r="C98" s="15" t="s">
        <v>390</v>
      </c>
      <c r="D98" s="54" t="s">
        <v>230</v>
      </c>
    </row>
    <row r="99" spans="1:4" x14ac:dyDescent="0.25">
      <c r="A99" s="53" t="s">
        <v>168</v>
      </c>
      <c r="B99" s="15" t="s">
        <v>167</v>
      </c>
      <c r="C99" s="15" t="s">
        <v>390</v>
      </c>
      <c r="D99" s="54" t="s">
        <v>169</v>
      </c>
    </row>
    <row r="100" spans="1:4" x14ac:dyDescent="0.25">
      <c r="A100" s="53" t="s">
        <v>220</v>
      </c>
      <c r="B100" s="15" t="s">
        <v>219</v>
      </c>
      <c r="C100" s="15" t="s">
        <v>390</v>
      </c>
      <c r="D100" s="54" t="s">
        <v>221</v>
      </c>
    </row>
    <row r="101" spans="1:4" x14ac:dyDescent="0.25">
      <c r="A101" s="53" t="s">
        <v>289</v>
      </c>
      <c r="B101" s="15" t="s">
        <v>288</v>
      </c>
      <c r="C101" s="15" t="s">
        <v>390</v>
      </c>
      <c r="D101" s="54" t="s">
        <v>12</v>
      </c>
    </row>
    <row r="102" spans="1:4" x14ac:dyDescent="0.25">
      <c r="A102" s="53" t="s">
        <v>280</v>
      </c>
      <c r="B102" s="15" t="s">
        <v>279</v>
      </c>
      <c r="C102" s="15" t="s">
        <v>390</v>
      </c>
      <c r="D102" s="54" t="s">
        <v>281</v>
      </c>
    </row>
    <row r="103" spans="1:4" x14ac:dyDescent="0.25">
      <c r="A103" s="53" t="s">
        <v>247</v>
      </c>
      <c r="B103" s="15" t="s">
        <v>246</v>
      </c>
      <c r="C103" s="15" t="s">
        <v>390</v>
      </c>
      <c r="D103" s="54" t="s">
        <v>248</v>
      </c>
    </row>
    <row r="104" spans="1:4" x14ac:dyDescent="0.25">
      <c r="A104" s="53" t="s">
        <v>197</v>
      </c>
      <c r="B104" s="15" t="s">
        <v>196</v>
      </c>
      <c r="C104" s="15" t="s">
        <v>390</v>
      </c>
      <c r="D104" s="54" t="s">
        <v>198</v>
      </c>
    </row>
    <row r="105" spans="1:4" x14ac:dyDescent="0.25">
      <c r="A105" s="53" t="s">
        <v>658</v>
      </c>
      <c r="B105" s="15" t="s">
        <v>659</v>
      </c>
      <c r="C105" s="15" t="s">
        <v>390</v>
      </c>
      <c r="D105" s="54" t="s">
        <v>660</v>
      </c>
    </row>
    <row r="106" spans="1:4" x14ac:dyDescent="0.25">
      <c r="A106" s="53" t="s">
        <v>428</v>
      </c>
      <c r="B106" s="15" t="s">
        <v>427</v>
      </c>
      <c r="C106" s="15" t="s">
        <v>390</v>
      </c>
      <c r="D106" s="54" t="s">
        <v>429</v>
      </c>
    </row>
    <row r="107" spans="1:4" x14ac:dyDescent="0.25">
      <c r="A107" s="53" t="s">
        <v>550</v>
      </c>
      <c r="B107" s="15" t="s">
        <v>549</v>
      </c>
      <c r="C107" s="15" t="s">
        <v>390</v>
      </c>
      <c r="D107" s="54" t="s">
        <v>551</v>
      </c>
    </row>
    <row r="108" spans="1:4" x14ac:dyDescent="0.25">
      <c r="A108" s="53" t="s">
        <v>252</v>
      </c>
      <c r="B108" s="15" t="s">
        <v>251</v>
      </c>
      <c r="C108" s="15" t="s">
        <v>390</v>
      </c>
      <c r="D108" s="54" t="s">
        <v>253</v>
      </c>
    </row>
    <row r="109" spans="1:4" x14ac:dyDescent="0.25">
      <c r="A109" s="53" t="s">
        <v>214</v>
      </c>
      <c r="B109" s="15" t="s">
        <v>213</v>
      </c>
      <c r="C109" s="15" t="s">
        <v>390</v>
      </c>
      <c r="D109" s="54" t="s">
        <v>215</v>
      </c>
    </row>
    <row r="110" spans="1:4" x14ac:dyDescent="0.25">
      <c r="A110" s="53" t="s">
        <v>206</v>
      </c>
      <c r="B110" s="15" t="s">
        <v>205</v>
      </c>
      <c r="C110" s="15" t="s">
        <v>390</v>
      </c>
      <c r="D110" s="54" t="s">
        <v>207</v>
      </c>
    </row>
    <row r="111" spans="1:4" x14ac:dyDescent="0.25">
      <c r="A111" s="53" t="s">
        <v>277</v>
      </c>
      <c r="B111" s="15" t="s">
        <v>276</v>
      </c>
      <c r="C111" s="15" t="s">
        <v>390</v>
      </c>
      <c r="D111" s="54" t="s">
        <v>278</v>
      </c>
    </row>
    <row r="112" spans="1:4" x14ac:dyDescent="0.25">
      <c r="A112" s="53" t="s">
        <v>200</v>
      </c>
      <c r="B112" s="15" t="s">
        <v>199</v>
      </c>
      <c r="C112" s="15" t="s">
        <v>390</v>
      </c>
      <c r="D112" s="54" t="s">
        <v>201</v>
      </c>
    </row>
    <row r="113" spans="1:4" x14ac:dyDescent="0.25">
      <c r="A113" s="53" t="s">
        <v>326</v>
      </c>
      <c r="B113" s="15" t="s">
        <v>325</v>
      </c>
      <c r="C113" s="15" t="s">
        <v>390</v>
      </c>
      <c r="D113" s="54" t="s">
        <v>327</v>
      </c>
    </row>
    <row r="114" spans="1:4" x14ac:dyDescent="0.25">
      <c r="A114" s="53" t="s">
        <v>652</v>
      </c>
      <c r="B114" s="15" t="s">
        <v>653</v>
      </c>
      <c r="C114" s="15" t="s">
        <v>390</v>
      </c>
      <c r="D114" s="54" t="s">
        <v>654</v>
      </c>
    </row>
    <row r="115" spans="1:4" x14ac:dyDescent="0.25">
      <c r="A115" s="53" t="s">
        <v>235</v>
      </c>
      <c r="B115" s="15" t="s">
        <v>234</v>
      </c>
      <c r="C115" s="15" t="s">
        <v>390</v>
      </c>
      <c r="D115" s="54" t="s">
        <v>236</v>
      </c>
    </row>
    <row r="116" spans="1:4" x14ac:dyDescent="0.25">
      <c r="A116" s="53" t="s">
        <v>177</v>
      </c>
      <c r="B116" s="15" t="s">
        <v>176</v>
      </c>
      <c r="C116" s="15" t="s">
        <v>390</v>
      </c>
      <c r="D116" s="54" t="s">
        <v>7</v>
      </c>
    </row>
    <row r="117" spans="1:4" x14ac:dyDescent="0.25">
      <c r="A117" s="53" t="s">
        <v>286</v>
      </c>
      <c r="B117" s="15" t="s">
        <v>285</v>
      </c>
      <c r="C117" s="15" t="s">
        <v>390</v>
      </c>
      <c r="D117" s="54" t="s">
        <v>287</v>
      </c>
    </row>
    <row r="118" spans="1:4" x14ac:dyDescent="0.25">
      <c r="A118" s="53" t="s">
        <v>409</v>
      </c>
      <c r="B118" s="15" t="s">
        <v>408</v>
      </c>
      <c r="C118" s="15" t="s">
        <v>390</v>
      </c>
      <c r="D118" s="54" t="s">
        <v>410</v>
      </c>
    </row>
    <row r="119" spans="1:4" x14ac:dyDescent="0.25">
      <c r="A119" s="53" t="s">
        <v>250</v>
      </c>
      <c r="B119" s="15" t="s">
        <v>249</v>
      </c>
      <c r="C119" s="15" t="s">
        <v>390</v>
      </c>
      <c r="D119" s="54" t="s">
        <v>10</v>
      </c>
    </row>
    <row r="120" spans="1:4" x14ac:dyDescent="0.25">
      <c r="A120" s="53" t="s">
        <v>291</v>
      </c>
      <c r="B120" s="15" t="s">
        <v>290</v>
      </c>
      <c r="C120" s="15" t="s">
        <v>390</v>
      </c>
      <c r="D120" s="54" t="s">
        <v>292</v>
      </c>
    </row>
    <row r="121" spans="1:4" x14ac:dyDescent="0.25">
      <c r="A121" s="53" t="s">
        <v>241</v>
      </c>
      <c r="B121" s="15" t="s">
        <v>240</v>
      </c>
      <c r="C121" s="15" t="s">
        <v>390</v>
      </c>
      <c r="D121" s="54" t="s">
        <v>242</v>
      </c>
    </row>
    <row r="122" spans="1:4" x14ac:dyDescent="0.25">
      <c r="A122" s="53" t="s">
        <v>1075</v>
      </c>
      <c r="B122" s="15" t="s">
        <v>1076</v>
      </c>
      <c r="C122" s="15" t="s">
        <v>390</v>
      </c>
      <c r="D122" s="54" t="s">
        <v>1077</v>
      </c>
    </row>
    <row r="123" spans="1:4" x14ac:dyDescent="0.25">
      <c r="A123" s="53" t="s">
        <v>174</v>
      </c>
      <c r="B123" s="15" t="s">
        <v>173</v>
      </c>
      <c r="C123" s="15" t="s">
        <v>390</v>
      </c>
      <c r="D123" s="54" t="s">
        <v>175</v>
      </c>
    </row>
    <row r="124" spans="1:4" x14ac:dyDescent="0.25">
      <c r="A124" s="53" t="s">
        <v>294</v>
      </c>
      <c r="B124" s="15" t="s">
        <v>293</v>
      </c>
      <c r="C124" s="15" t="s">
        <v>390</v>
      </c>
      <c r="D124" s="54" t="s">
        <v>295</v>
      </c>
    </row>
    <row r="125" spans="1:4" x14ac:dyDescent="0.25">
      <c r="A125" s="53" t="s">
        <v>223</v>
      </c>
      <c r="B125" s="15" t="s">
        <v>222</v>
      </c>
      <c r="C125" s="15" t="s">
        <v>390</v>
      </c>
      <c r="D125" s="54" t="s">
        <v>224</v>
      </c>
    </row>
    <row r="126" spans="1:4" x14ac:dyDescent="0.25">
      <c r="A126" s="53" t="s">
        <v>354</v>
      </c>
      <c r="B126" s="15" t="s">
        <v>353</v>
      </c>
      <c r="C126" s="15" t="s">
        <v>390</v>
      </c>
      <c r="D126" s="54" t="s">
        <v>355</v>
      </c>
    </row>
    <row r="127" spans="1:4" x14ac:dyDescent="0.25">
      <c r="A127" s="53" t="s">
        <v>261</v>
      </c>
      <c r="B127" s="15" t="s">
        <v>260</v>
      </c>
      <c r="C127" s="15" t="s">
        <v>390</v>
      </c>
      <c r="D127" s="54" t="s">
        <v>262</v>
      </c>
    </row>
    <row r="128" spans="1:4" x14ac:dyDescent="0.25">
      <c r="A128" s="53" t="s">
        <v>297</v>
      </c>
      <c r="B128" s="15" t="s">
        <v>296</v>
      </c>
      <c r="C128" s="15" t="s">
        <v>390</v>
      </c>
      <c r="D128" s="54" t="s">
        <v>298</v>
      </c>
    </row>
    <row r="129" spans="1:4" x14ac:dyDescent="0.25">
      <c r="A129" s="53" t="s">
        <v>392</v>
      </c>
      <c r="B129" s="15" t="s">
        <v>263</v>
      </c>
      <c r="C129" s="15" t="s">
        <v>390</v>
      </c>
      <c r="D129" s="54" t="s">
        <v>264</v>
      </c>
    </row>
    <row r="130" spans="1:4" x14ac:dyDescent="0.25">
      <c r="A130" s="53" t="s">
        <v>661</v>
      </c>
      <c r="B130" s="15" t="s">
        <v>662</v>
      </c>
      <c r="C130" s="15" t="s">
        <v>390</v>
      </c>
      <c r="D130" s="54" t="s">
        <v>663</v>
      </c>
    </row>
    <row r="131" spans="1:4" x14ac:dyDescent="0.25">
      <c r="A131" s="53" t="s">
        <v>179</v>
      </c>
      <c r="B131" s="15" t="s">
        <v>178</v>
      </c>
      <c r="C131" s="15" t="s">
        <v>390</v>
      </c>
      <c r="D131" s="54" t="s">
        <v>180</v>
      </c>
    </row>
    <row r="132" spans="1:4" x14ac:dyDescent="0.25">
      <c r="A132" s="53" t="s">
        <v>232</v>
      </c>
      <c r="B132" s="15" t="s">
        <v>231</v>
      </c>
      <c r="C132" s="15" t="s">
        <v>390</v>
      </c>
      <c r="D132" s="54" t="s">
        <v>233</v>
      </c>
    </row>
    <row r="133" spans="1:4" x14ac:dyDescent="0.25">
      <c r="A133" s="53" t="s">
        <v>337</v>
      </c>
      <c r="B133" s="15" t="s">
        <v>336</v>
      </c>
      <c r="C133" s="15" t="s">
        <v>390</v>
      </c>
      <c r="D133" s="54" t="s">
        <v>338</v>
      </c>
    </row>
    <row r="134" spans="1:4" x14ac:dyDescent="0.25">
      <c r="A134" s="53" t="s">
        <v>300</v>
      </c>
      <c r="B134" s="15" t="s">
        <v>299</v>
      </c>
      <c r="C134" s="15" t="s">
        <v>390</v>
      </c>
      <c r="D134" s="54" t="s">
        <v>301</v>
      </c>
    </row>
    <row r="135" spans="1:4" x14ac:dyDescent="0.25">
      <c r="A135" s="53" t="s">
        <v>366</v>
      </c>
      <c r="B135" s="15" t="s">
        <v>365</v>
      </c>
      <c r="C135" s="15" t="s">
        <v>390</v>
      </c>
      <c r="D135" s="54" t="s">
        <v>367</v>
      </c>
    </row>
    <row r="136" spans="1:4" x14ac:dyDescent="0.25">
      <c r="A136" s="53" t="s">
        <v>182</v>
      </c>
      <c r="B136" s="15" t="s">
        <v>181</v>
      </c>
      <c r="C136" s="15" t="s">
        <v>390</v>
      </c>
      <c r="D136" s="54" t="s">
        <v>183</v>
      </c>
    </row>
    <row r="137" spans="1:4" x14ac:dyDescent="0.25">
      <c r="A137" s="53" t="s">
        <v>357</v>
      </c>
      <c r="B137" s="15" t="s">
        <v>356</v>
      </c>
      <c r="C137" s="15" t="s">
        <v>390</v>
      </c>
      <c r="D137" s="54" t="s">
        <v>358</v>
      </c>
    </row>
    <row r="138" spans="1:4" x14ac:dyDescent="0.25">
      <c r="A138" s="53" t="s">
        <v>266</v>
      </c>
      <c r="B138" s="15" t="s">
        <v>265</v>
      </c>
      <c r="C138" s="15" t="s">
        <v>390</v>
      </c>
      <c r="D138" s="54" t="s">
        <v>267</v>
      </c>
    </row>
    <row r="139" spans="1:4" x14ac:dyDescent="0.25">
      <c r="A139" s="53" t="s">
        <v>303</v>
      </c>
      <c r="B139" s="15" t="s">
        <v>302</v>
      </c>
      <c r="C139" s="15" t="s">
        <v>390</v>
      </c>
      <c r="D139" s="54" t="s">
        <v>304</v>
      </c>
    </row>
    <row r="140" spans="1:4" x14ac:dyDescent="0.25">
      <c r="A140" s="53" t="s">
        <v>369</v>
      </c>
      <c r="B140" s="15" t="s">
        <v>368</v>
      </c>
      <c r="C140" s="15" t="s">
        <v>390</v>
      </c>
      <c r="D140" s="54" t="s">
        <v>370</v>
      </c>
    </row>
    <row r="141" spans="1:4" x14ac:dyDescent="0.25">
      <c r="A141" s="53" t="s">
        <v>258</v>
      </c>
      <c r="B141" s="15" t="s">
        <v>257</v>
      </c>
      <c r="C141" s="15" t="s">
        <v>390</v>
      </c>
      <c r="D141" s="54" t="s">
        <v>259</v>
      </c>
    </row>
    <row r="142" spans="1:4" x14ac:dyDescent="0.25">
      <c r="A142" s="53" t="s">
        <v>323</v>
      </c>
      <c r="B142" s="15" t="s">
        <v>322</v>
      </c>
      <c r="C142" s="15" t="s">
        <v>390</v>
      </c>
      <c r="D142" s="54" t="s">
        <v>324</v>
      </c>
    </row>
    <row r="143" spans="1:4" x14ac:dyDescent="0.25">
      <c r="A143" s="53" t="s">
        <v>664</v>
      </c>
      <c r="B143" s="15" t="s">
        <v>665</v>
      </c>
      <c r="C143" s="15" t="s">
        <v>390</v>
      </c>
      <c r="D143" s="54" t="s">
        <v>666</v>
      </c>
    </row>
    <row r="144" spans="1:4" x14ac:dyDescent="0.25">
      <c r="A144" s="53" t="s">
        <v>413</v>
      </c>
      <c r="B144" s="15" t="s">
        <v>412</v>
      </c>
      <c r="C144" s="15" t="s">
        <v>390</v>
      </c>
      <c r="D144" s="54" t="s">
        <v>414</v>
      </c>
    </row>
    <row r="145" spans="1:4" x14ac:dyDescent="0.25">
      <c r="A145" s="53" t="s">
        <v>360</v>
      </c>
      <c r="B145" s="15" t="s">
        <v>359</v>
      </c>
      <c r="C145" s="15" t="s">
        <v>390</v>
      </c>
      <c r="D145" s="54" t="s">
        <v>361</v>
      </c>
    </row>
    <row r="146" spans="1:4" x14ac:dyDescent="0.25">
      <c r="A146" s="53" t="s">
        <v>436</v>
      </c>
      <c r="B146" s="15" t="s">
        <v>435</v>
      </c>
      <c r="C146" s="15" t="s">
        <v>390</v>
      </c>
      <c r="D146" s="54" t="s">
        <v>437</v>
      </c>
    </row>
    <row r="147" spans="1:4" x14ac:dyDescent="0.25">
      <c r="A147" s="53" t="s">
        <v>320</v>
      </c>
      <c r="B147" s="15" t="s">
        <v>319</v>
      </c>
      <c r="C147" s="15" t="s">
        <v>390</v>
      </c>
      <c r="D147" s="54" t="s">
        <v>321</v>
      </c>
    </row>
    <row r="148" spans="1:4" x14ac:dyDescent="0.25">
      <c r="A148" s="53" t="s">
        <v>1078</v>
      </c>
      <c r="B148" s="15" t="s">
        <v>667</v>
      </c>
      <c r="C148" s="15" t="s">
        <v>390</v>
      </c>
      <c r="D148" s="54" t="s">
        <v>668</v>
      </c>
    </row>
    <row r="149" spans="1:4" x14ac:dyDescent="0.25">
      <c r="A149" s="53" t="s">
        <v>317</v>
      </c>
      <c r="B149" s="15" t="s">
        <v>316</v>
      </c>
      <c r="C149" s="15" t="s">
        <v>390</v>
      </c>
      <c r="D149" s="54" t="s">
        <v>318</v>
      </c>
    </row>
    <row r="150" spans="1:4" x14ac:dyDescent="0.25">
      <c r="A150" s="53" t="s">
        <v>332</v>
      </c>
      <c r="B150" s="15" t="s">
        <v>331</v>
      </c>
      <c r="C150" s="15" t="s">
        <v>390</v>
      </c>
      <c r="D150" s="54" t="s">
        <v>333</v>
      </c>
    </row>
    <row r="151" spans="1:4" x14ac:dyDescent="0.25">
      <c r="A151" s="53" t="s">
        <v>416</v>
      </c>
      <c r="B151" s="15" t="s">
        <v>415</v>
      </c>
      <c r="C151" s="15" t="s">
        <v>390</v>
      </c>
      <c r="D151" s="54" t="s">
        <v>14</v>
      </c>
    </row>
    <row r="152" spans="1:4" x14ac:dyDescent="0.25">
      <c r="A152" s="53" t="s">
        <v>306</v>
      </c>
      <c r="B152" s="15" t="s">
        <v>305</v>
      </c>
      <c r="C152" s="15" t="s">
        <v>390</v>
      </c>
      <c r="D152" s="54" t="s">
        <v>307</v>
      </c>
    </row>
    <row r="153" spans="1:4" x14ac:dyDescent="0.25">
      <c r="A153" s="53" t="s">
        <v>417</v>
      </c>
      <c r="B153" s="15" t="s">
        <v>342</v>
      </c>
      <c r="C153" s="15" t="s">
        <v>390</v>
      </c>
      <c r="D153" s="54" t="s">
        <v>343</v>
      </c>
    </row>
    <row r="154" spans="1:4" x14ac:dyDescent="0.25">
      <c r="A154" s="53" t="s">
        <v>340</v>
      </c>
      <c r="B154" s="15" t="s">
        <v>339</v>
      </c>
      <c r="C154" s="15" t="s">
        <v>390</v>
      </c>
      <c r="D154" s="54" t="s">
        <v>341</v>
      </c>
    </row>
    <row r="155" spans="1:4" x14ac:dyDescent="0.25">
      <c r="A155" s="53" t="s">
        <v>191</v>
      </c>
      <c r="B155" s="15" t="s">
        <v>190</v>
      </c>
      <c r="C155" s="15" t="s">
        <v>390</v>
      </c>
      <c r="D155" s="54" t="s">
        <v>192</v>
      </c>
    </row>
    <row r="156" spans="1:4" x14ac:dyDescent="0.25">
      <c r="A156" s="53" t="s">
        <v>669</v>
      </c>
      <c r="B156" s="15" t="s">
        <v>670</v>
      </c>
      <c r="C156" s="15" t="s">
        <v>390</v>
      </c>
      <c r="D156" s="54" t="s">
        <v>671</v>
      </c>
    </row>
    <row r="157" spans="1:4" x14ac:dyDescent="0.25">
      <c r="A157" s="53" t="s">
        <v>165</v>
      </c>
      <c r="B157" s="15" t="s">
        <v>164</v>
      </c>
      <c r="C157" s="15" t="s">
        <v>390</v>
      </c>
      <c r="D157" s="54" t="s">
        <v>166</v>
      </c>
    </row>
    <row r="158" spans="1:4" x14ac:dyDescent="0.25">
      <c r="A158" s="53" t="s">
        <v>419</v>
      </c>
      <c r="B158" s="15" t="s">
        <v>418</v>
      </c>
      <c r="C158" s="15" t="s">
        <v>390</v>
      </c>
      <c r="D158" s="54" t="s">
        <v>420</v>
      </c>
    </row>
    <row r="159" spans="1:4" x14ac:dyDescent="0.25">
      <c r="A159" s="53" t="s">
        <v>1079</v>
      </c>
      <c r="B159" s="15" t="s">
        <v>1080</v>
      </c>
      <c r="C159" s="15" t="s">
        <v>390</v>
      </c>
      <c r="D159" s="54" t="s">
        <v>1081</v>
      </c>
    </row>
    <row r="160" spans="1:4" x14ac:dyDescent="0.25">
      <c r="A160" s="53" t="s">
        <v>439</v>
      </c>
      <c r="B160" s="15" t="s">
        <v>438</v>
      </c>
      <c r="C160" s="15" t="s">
        <v>390</v>
      </c>
      <c r="D160" s="54" t="s">
        <v>440</v>
      </c>
    </row>
    <row r="161" spans="1:4" x14ac:dyDescent="0.25">
      <c r="A161" s="53" t="s">
        <v>422</v>
      </c>
      <c r="B161" s="15" t="s">
        <v>421</v>
      </c>
      <c r="C161" s="15" t="s">
        <v>390</v>
      </c>
      <c r="D161" s="54" t="s">
        <v>423</v>
      </c>
    </row>
    <row r="162" spans="1:4" x14ac:dyDescent="0.25">
      <c r="A162" s="53" t="s">
        <v>255</v>
      </c>
      <c r="B162" s="15" t="s">
        <v>254</v>
      </c>
      <c r="C162" s="15" t="s">
        <v>390</v>
      </c>
      <c r="D162" s="54" t="s">
        <v>256</v>
      </c>
    </row>
    <row r="163" spans="1:4" x14ac:dyDescent="0.25">
      <c r="A163" s="53" t="s">
        <v>314</v>
      </c>
      <c r="B163" s="15" t="s">
        <v>313</v>
      </c>
      <c r="C163" s="15" t="s">
        <v>390</v>
      </c>
      <c r="D163" s="54" t="s">
        <v>315</v>
      </c>
    </row>
    <row r="164" spans="1:4" x14ac:dyDescent="0.25">
      <c r="A164" s="53" t="s">
        <v>363</v>
      </c>
      <c r="B164" s="15" t="s">
        <v>362</v>
      </c>
      <c r="C164" s="15" t="s">
        <v>390</v>
      </c>
      <c r="D164" s="54" t="s">
        <v>364</v>
      </c>
    </row>
    <row r="165" spans="1:4" x14ac:dyDescent="0.25">
      <c r="A165" s="53" t="s">
        <v>309</v>
      </c>
      <c r="B165" s="15" t="s">
        <v>308</v>
      </c>
      <c r="C165" s="15" t="s">
        <v>390</v>
      </c>
      <c r="D165" s="54" t="s">
        <v>310</v>
      </c>
    </row>
    <row r="166" spans="1:4" x14ac:dyDescent="0.25">
      <c r="A166" s="53" t="s">
        <v>1082</v>
      </c>
      <c r="B166" s="15" t="s">
        <v>208</v>
      </c>
      <c r="C166" s="15" t="s">
        <v>390</v>
      </c>
      <c r="D166" s="54" t="s">
        <v>209</v>
      </c>
    </row>
    <row r="167" spans="1:4" x14ac:dyDescent="0.25">
      <c r="A167" s="53" t="s">
        <v>345</v>
      </c>
      <c r="B167" s="15" t="s">
        <v>344</v>
      </c>
      <c r="C167" s="15" t="s">
        <v>390</v>
      </c>
      <c r="D167" s="54" t="s">
        <v>346</v>
      </c>
    </row>
    <row r="168" spans="1:4" x14ac:dyDescent="0.25">
      <c r="A168" s="53" t="s">
        <v>348</v>
      </c>
      <c r="B168" s="15" t="s">
        <v>347</v>
      </c>
      <c r="C168" s="15" t="s">
        <v>390</v>
      </c>
      <c r="D168" s="54" t="s">
        <v>349</v>
      </c>
    </row>
    <row r="169" spans="1:4" x14ac:dyDescent="0.25">
      <c r="A169" s="53" t="s">
        <v>274</v>
      </c>
      <c r="B169" s="15" t="s">
        <v>273</v>
      </c>
      <c r="C169" s="15" t="s">
        <v>390</v>
      </c>
      <c r="D169" s="54" t="s">
        <v>275</v>
      </c>
    </row>
    <row r="170" spans="1:4" x14ac:dyDescent="0.25">
      <c r="A170" s="53" t="s">
        <v>203</v>
      </c>
      <c r="B170" s="15" t="s">
        <v>202</v>
      </c>
      <c r="C170" s="15" t="s">
        <v>390</v>
      </c>
      <c r="D170" s="54" t="s">
        <v>204</v>
      </c>
    </row>
    <row r="171" spans="1:4" x14ac:dyDescent="0.25">
      <c r="A171" s="53" t="s">
        <v>335</v>
      </c>
      <c r="B171" s="15" t="s">
        <v>334</v>
      </c>
      <c r="C171" s="15" t="s">
        <v>390</v>
      </c>
      <c r="D171" s="54" t="s">
        <v>6</v>
      </c>
    </row>
    <row r="172" spans="1:4" x14ac:dyDescent="0.25">
      <c r="A172" s="53" t="s">
        <v>425</v>
      </c>
      <c r="B172" s="15" t="s">
        <v>424</v>
      </c>
      <c r="C172" s="15" t="s">
        <v>390</v>
      </c>
      <c r="D172" s="54" t="s">
        <v>426</v>
      </c>
    </row>
    <row r="173" spans="1:4" x14ac:dyDescent="0.25">
      <c r="A173" s="53" t="s">
        <v>185</v>
      </c>
      <c r="B173" s="15" t="s">
        <v>184</v>
      </c>
      <c r="C173" s="15" t="s">
        <v>390</v>
      </c>
      <c r="D173" s="54" t="s">
        <v>186</v>
      </c>
    </row>
    <row r="174" spans="1:4" x14ac:dyDescent="0.25">
      <c r="A174" s="53" t="s">
        <v>226</v>
      </c>
      <c r="B174" s="15" t="s">
        <v>225</v>
      </c>
      <c r="C174" s="15" t="s">
        <v>390</v>
      </c>
      <c r="D174" s="54" t="s">
        <v>227</v>
      </c>
    </row>
    <row r="175" spans="1:4" x14ac:dyDescent="0.25">
      <c r="A175" s="53" t="s">
        <v>351</v>
      </c>
      <c r="B175" s="15" t="s">
        <v>350</v>
      </c>
      <c r="C175" s="15" t="s">
        <v>390</v>
      </c>
      <c r="D175" s="54" t="s">
        <v>352</v>
      </c>
    </row>
    <row r="176" spans="1:4" x14ac:dyDescent="0.25">
      <c r="A176" s="53" t="s">
        <v>120</v>
      </c>
      <c r="B176" s="15" t="s">
        <v>119</v>
      </c>
      <c r="C176" s="15" t="s">
        <v>390</v>
      </c>
      <c r="D176" s="54" t="s">
        <v>121</v>
      </c>
    </row>
    <row r="177" spans="1:4" x14ac:dyDescent="0.25">
      <c r="A177" s="53" t="s">
        <v>401</v>
      </c>
      <c r="B177" s="15" t="s">
        <v>311</v>
      </c>
      <c r="C177" s="15" t="s">
        <v>390</v>
      </c>
      <c r="D177" s="54" t="s">
        <v>312</v>
      </c>
    </row>
    <row r="178" spans="1:4" x14ac:dyDescent="0.25">
      <c r="A178" s="171" t="s">
        <v>987</v>
      </c>
      <c r="B178" s="171" t="s">
        <v>685</v>
      </c>
      <c r="C178" s="174" t="s">
        <v>390</v>
      </c>
      <c r="D178" s="175" t="s">
        <v>989</v>
      </c>
    </row>
    <row r="179" spans="1:4" x14ac:dyDescent="0.25">
      <c r="A179" s="15" t="s">
        <v>988</v>
      </c>
    </row>
  </sheetData>
  <sheetProtection algorithmName="SHA-512" hashValue="7xAnlEB7kIJIi2Z1swdvFMpS/7vfu/mim+e8eUko+WNWfY+I8bbwQaK/pVBW0CAfPi07l2qIaf1dSoameT81zw==" saltValue="Durim4uk+xaFF5NuK92itg==" spinCount="100000" sheet="1" objects="1" scenarios="1"/>
  <mergeCells count="8">
    <mergeCell ref="A1:D1"/>
    <mergeCell ref="M1:O1"/>
    <mergeCell ref="J1:K1"/>
    <mergeCell ref="F26:G26"/>
    <mergeCell ref="F41:G41"/>
    <mergeCell ref="F8:H8"/>
    <mergeCell ref="G23:H23"/>
    <mergeCell ref="F1:G1"/>
  </mergeCells>
  <pageMargins left="0.70866141732283461" right="0.70866141732283461" top="0.55118110236220474" bottom="0.55118110236220474" header="0.11811023622047244" footer="0.11811023622047244"/>
  <pageSetup paperSize="9" scale="3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H46"/>
  <sheetViews>
    <sheetView showGridLines="0" zoomScaleNormal="100" workbookViewId="0">
      <pane ySplit="10" topLeftCell="A11" activePane="bottomLeft" state="frozen"/>
      <selection pane="bottomLeft" activeCell="H8" sqref="H8"/>
    </sheetView>
  </sheetViews>
  <sheetFormatPr defaultColWidth="9.33203125" defaultRowHeight="10.199999999999999" x14ac:dyDescent="0.2"/>
  <cols>
    <col min="1" max="1" width="8.33203125" style="131" customWidth="1"/>
    <col min="2" max="2" width="10.6640625" style="131" customWidth="1"/>
    <col min="3" max="3" width="12.5546875" style="131" bestFit="1" customWidth="1"/>
    <col min="4" max="4" width="11.6640625" style="131" customWidth="1"/>
    <col min="5" max="5" width="18.6640625" style="131" bestFit="1" customWidth="1"/>
    <col min="6" max="6" width="20" style="136" bestFit="1" customWidth="1"/>
    <col min="7" max="7" width="12.33203125" style="131" bestFit="1" customWidth="1"/>
    <col min="8" max="8" width="115.44140625" style="131" customWidth="1"/>
    <col min="9" max="16384" width="9.33203125" style="131"/>
  </cols>
  <sheetData>
    <row r="1" spans="1:8" ht="14.4" x14ac:dyDescent="0.2">
      <c r="A1" s="249" t="str">
        <f>VLOOKUP("G00",tblTranslation[],LangNameID,FALSE) &amp;" ( "&amp;Idiom&amp;" )"</f>
        <v>Instructions to complete the form ( ENG )</v>
      </c>
      <c r="B1" s="249"/>
      <c r="C1" s="249"/>
      <c r="D1" s="249"/>
      <c r="E1" s="249"/>
      <c r="F1" s="249"/>
      <c r="G1" s="249"/>
      <c r="H1" s="249"/>
    </row>
    <row r="2" spans="1:8" ht="13.8" x14ac:dyDescent="0.2">
      <c r="A2" s="250" t="str">
        <f>VLOOKUP("G01",tblTranslation[],LangFieldID,FALSE)</f>
        <v>General</v>
      </c>
      <c r="B2" s="250"/>
      <c r="C2" s="250"/>
      <c r="D2" s="250"/>
      <c r="E2" s="250"/>
      <c r="F2" s="103"/>
      <c r="G2" s="28"/>
      <c r="H2" s="29"/>
    </row>
    <row r="3" spans="1:8" x14ac:dyDescent="0.2">
      <c r="A3" s="29" t="s">
        <v>454</v>
      </c>
      <c r="B3" s="231" t="str">
        <f>VLOOKUP("G01a",tblTranslation[],LangNameID,FALSE)</f>
        <v>Complete as far as possible the Header and Detail sections (don't leave fields empty when information is known).</v>
      </c>
      <c r="C3" s="231"/>
      <c r="D3" s="231"/>
      <c r="E3" s="231"/>
      <c r="F3" s="231"/>
      <c r="G3" s="231"/>
      <c r="H3" s="231"/>
    </row>
    <row r="4" spans="1:8" x14ac:dyDescent="0.2">
      <c r="A4" s="29" t="s">
        <v>455</v>
      </c>
      <c r="B4" s="231" t="str">
        <f>VLOOKUP("G01b",tblTranslation[],LangNameID,FALSE)</f>
        <v>In Header section, only white cells can be filled (manually or by selecting from the Combo Box the corresponding code).</v>
      </c>
      <c r="C4" s="231"/>
      <c r="D4" s="231"/>
      <c r="E4" s="231"/>
      <c r="F4" s="231"/>
      <c r="G4" s="231"/>
      <c r="H4" s="231"/>
    </row>
    <row r="5" spans="1:8" x14ac:dyDescent="0.2">
      <c r="A5" s="29" t="s">
        <v>456</v>
      </c>
      <c r="B5" s="231" t="str">
        <f>VLOOKUP("G01c",tblTranslation[],LangNameID,FALSE)</f>
        <v>Always use ICCAT standard codes (when element "OTHERS" of various fields is required it must be explicitly described in "Notes").</v>
      </c>
      <c r="C5" s="231"/>
      <c r="D5" s="231"/>
      <c r="E5" s="231"/>
      <c r="F5" s="231"/>
      <c r="G5" s="231"/>
      <c r="H5" s="231"/>
    </row>
    <row r="6" spans="1:8" x14ac:dyDescent="0.2">
      <c r="A6" s="29" t="s">
        <v>457</v>
      </c>
      <c r="B6" s="231" t="str">
        <f>VLOOKUP("G01d",tblTranslation[],LangNameID,FALSE)</f>
        <v>Recommendation for users with databases: To paste an entire dataset into the Detail section (must have the same structure and format) use "Paste special (values)"</v>
      </c>
      <c r="C6" s="231"/>
      <c r="D6" s="231"/>
      <c r="E6" s="231"/>
      <c r="F6" s="231"/>
      <c r="G6" s="231"/>
      <c r="H6" s="231"/>
    </row>
    <row r="7" spans="1:8" x14ac:dyDescent="0.2">
      <c r="A7" s="29" t="s">
        <v>458</v>
      </c>
      <c r="B7" s="231" t="str">
        <f>VLOOKUP("G01e",tblTranslation[],LangNameID,FALSE)</f>
        <v>Leave "blank" the fields for which you don't collect information</v>
      </c>
      <c r="C7" s="231"/>
      <c r="D7" s="231"/>
      <c r="E7" s="231"/>
      <c r="F7" s="231"/>
      <c r="G7" s="231"/>
      <c r="H7" s="231"/>
    </row>
    <row r="8" spans="1:8" x14ac:dyDescent="0.2">
      <c r="A8" s="30"/>
      <c r="B8" s="30"/>
      <c r="C8" s="6"/>
      <c r="D8" s="6"/>
      <c r="E8" s="6"/>
      <c r="F8" s="34"/>
      <c r="G8" s="31"/>
      <c r="H8" s="30"/>
    </row>
    <row r="9" spans="1:8" ht="13.8" x14ac:dyDescent="0.2">
      <c r="A9" s="235" t="str">
        <f>VLOOKUP("S00",tblTranslation[],LangFieldID,FALSE)</f>
        <v>Specific (by field)</v>
      </c>
      <c r="B9" s="235"/>
      <c r="C9" s="235"/>
      <c r="D9" s="235"/>
      <c r="E9" s="235"/>
      <c r="F9" s="34"/>
      <c r="G9" s="31"/>
      <c r="H9" s="30"/>
    </row>
    <row r="10" spans="1:8" x14ac:dyDescent="0.2">
      <c r="A10" s="32" t="str">
        <f>VLOOKUP("SC01",tblTranslation[],LangFieldID,FALSE)</f>
        <v>Form</v>
      </c>
      <c r="B10" s="32" t="str">
        <f>VLOOKUP("SC02",tblTranslation[],LangFieldID,FALSE)</f>
        <v>Sub-form</v>
      </c>
      <c r="C10" s="32" t="str">
        <f>VLOOKUP("SC03",tblTranslation[],LangFieldID,FALSE)</f>
        <v>Part</v>
      </c>
      <c r="D10" s="32" t="str">
        <f>VLOOKUP("SC04",tblTranslation[],LangFieldID,FALSE)</f>
        <v>Section</v>
      </c>
      <c r="E10" s="32" t="str">
        <f>VLOOKUP("SC05",tblTranslation[],LangFieldID,FALSE)</f>
        <v>Sub-section</v>
      </c>
      <c r="F10" s="35" t="str">
        <f>VLOOKUP("SC06",tblTranslation[],LangFieldID,FALSE)</f>
        <v>Field (name)</v>
      </c>
      <c r="G10" s="33" t="str">
        <f>VLOOKUP("SC07",tblTranslation[],LangFieldID,FALSE)</f>
        <v>Field (format)</v>
      </c>
      <c r="H10" s="32" t="str">
        <f>VLOOKUP("SC08",tblTranslation[],LangFieldID,FALSE)</f>
        <v>Description</v>
      </c>
    </row>
    <row r="11" spans="1:8" x14ac:dyDescent="0.2">
      <c r="A11" s="232" t="str">
        <f>VLOOKUP("T00",tblTranslation[],LangFieldID,FALSE)</f>
        <v>CP11-IUULst</v>
      </c>
      <c r="B11" s="236" t="str">
        <f>VLOOKUP("T01",tblTranslation[],LangFieldID,FALSE)</f>
        <v>Title</v>
      </c>
      <c r="C11" s="237"/>
      <c r="D11" s="237"/>
      <c r="E11" s="238"/>
      <c r="F11" s="94" t="str">
        <f>VLOOKUP("tVersion",tblTranslation[],LangFieldID,FALSE)</f>
        <v>Version</v>
      </c>
      <c r="G11" s="95" t="str">
        <f>VLOOKUP("tVersion",tblTranslation[],6,FALSE)</f>
        <v>(fixed)</v>
      </c>
      <c r="H11" s="96" t="str">
        <f>VLOOKUP("tVersion",tblTranslation[],LangNameID,FALSE)</f>
        <v>Always use the lastest version of this form.</v>
      </c>
    </row>
    <row r="12" spans="1:8" x14ac:dyDescent="0.2">
      <c r="A12" s="232"/>
      <c r="B12" s="239"/>
      <c r="C12" s="240"/>
      <c r="D12" s="240"/>
      <c r="E12" s="241"/>
      <c r="F12" s="94" t="str">
        <f>VLOOKUP("tLang",tblTranslation[],LangFieldID,FALSE)</f>
        <v>Language</v>
      </c>
      <c r="G12" s="95" t="str">
        <f>VLOOKUP("tLang",tblTranslation[],6,FALSE)</f>
        <v>ICCAT code</v>
      </c>
      <c r="H12" s="96" t="str">
        <f>VLOOKUP("tLang",tblTranslation[],LangNameID,FALSE)</f>
        <v>Choose the language (EN, FR, ES) for form translation</v>
      </c>
    </row>
    <row r="13" spans="1:8" x14ac:dyDescent="0.2">
      <c r="A13" s="232"/>
      <c r="B13" s="232" t="str">
        <f>VLOOKUP("T03",tblTranslation[],LangFieldID,FALSE)</f>
        <v>CP11</v>
      </c>
      <c r="C13" s="232" t="str">
        <f>VLOOKUP("H00",tblTranslation[],LangFieldID,FALSE)</f>
        <v>Header</v>
      </c>
      <c r="D13" s="233" t="str">
        <f>VLOOKUP("H10",tblTranslation[],LangFieldID,FALSE)</f>
        <v>Flag Correspondent</v>
      </c>
      <c r="E13" s="233"/>
      <c r="F13" s="97" t="str">
        <f>VLOOKUP("hPerson",tblTranslation[],LangFieldID,FALSE)</f>
        <v>Name</v>
      </c>
      <c r="G13" s="98" t="str">
        <f>VLOOKUP("hPerson",tblTranslation[],6,FALSE)</f>
        <v>string</v>
      </c>
      <c r="H13" s="99" t="str">
        <f>VLOOKUP("hPerson",tblTranslation[],LangNameID,FALSE)</f>
        <v>Enter the name of the person to be contacted in the event of enquiries</v>
      </c>
    </row>
    <row r="14" spans="1:8" x14ac:dyDescent="0.2">
      <c r="A14" s="232"/>
      <c r="B14" s="232"/>
      <c r="C14" s="232"/>
      <c r="D14" s="233"/>
      <c r="E14" s="233"/>
      <c r="F14" s="97" t="str">
        <f>VLOOKUP("hAgency",tblTranslation[],LangFieldID,FALSE)</f>
        <v>Reporting Agency</v>
      </c>
      <c r="G14" s="98" t="str">
        <f>VLOOKUP("hAgency",tblTranslation[],6,FALSE)</f>
        <v>string</v>
      </c>
      <c r="H14" s="99" t="str">
        <f>VLOOKUP("hAgency",tblTranslation[],LangNameID,FALSE)</f>
        <v>Enter the name of your ministry, institute or agency</v>
      </c>
    </row>
    <row r="15" spans="1:8" x14ac:dyDescent="0.2">
      <c r="A15" s="232"/>
      <c r="B15" s="232"/>
      <c r="C15" s="232"/>
      <c r="D15" s="233"/>
      <c r="E15" s="233"/>
      <c r="F15" s="97" t="str">
        <f>VLOOKUP("hAddress",tblTranslation[],LangFieldID,FALSE)</f>
        <v>Address</v>
      </c>
      <c r="G15" s="98" t="str">
        <f>VLOOKUP("hAddress",tblTranslation[],6,FALSE)</f>
        <v>string</v>
      </c>
      <c r="H15" s="99" t="str">
        <f>VLOOKUP("hAddress",tblTranslation[],LangNameID,FALSE)</f>
        <v>Enter the street address of your ministry, institute or agency</v>
      </c>
    </row>
    <row r="16" spans="1:8" x14ac:dyDescent="0.2">
      <c r="A16" s="232"/>
      <c r="B16" s="232"/>
      <c r="C16" s="232"/>
      <c r="D16" s="233"/>
      <c r="E16" s="233"/>
      <c r="F16" s="97" t="str">
        <f>VLOOKUP("hEmail",tblTranslation[],LangFieldID,FALSE)</f>
        <v>Email</v>
      </c>
      <c r="G16" s="98" t="str">
        <f>VLOOKUP("hEmail",tblTranslation[],6,FALSE)</f>
        <v>string</v>
      </c>
      <c r="H16" s="99" t="str">
        <f>VLOOKUP("hEmail",tblTranslation[],LangNameID,FALSE)</f>
        <v>Enter the email address of the person to be contacted</v>
      </c>
    </row>
    <row r="17" spans="1:8" x14ac:dyDescent="0.2">
      <c r="A17" s="232"/>
      <c r="B17" s="232"/>
      <c r="C17" s="232"/>
      <c r="D17" s="233"/>
      <c r="E17" s="233"/>
      <c r="F17" s="97" t="str">
        <f>VLOOKUP("hPhone",tblTranslation[],LangFieldID,FALSE)</f>
        <v>Phone</v>
      </c>
      <c r="G17" s="98" t="str">
        <f>VLOOKUP("hPhone",tblTranslation[],6,FALSE)</f>
        <v>string</v>
      </c>
      <c r="H17" s="99" t="str">
        <f>VLOOKUP("hPhone",tblTranslation[],LangNameID,FALSE)</f>
        <v>Enter the telephone number of the person to be contacted</v>
      </c>
    </row>
    <row r="18" spans="1:8" x14ac:dyDescent="0.2">
      <c r="A18" s="232"/>
      <c r="B18" s="232"/>
      <c r="C18" s="232"/>
      <c r="D18" s="233" t="str">
        <f>VLOOKUP("H30",tblTranslation[],LangFieldID,FALSE)</f>
        <v>Data set characteristics</v>
      </c>
      <c r="E18" s="233"/>
      <c r="F18" s="102" t="str">
        <f>VLOOKUP("hFlagRep",tblTranslation[],LangFieldID,FALSE)</f>
        <v>Reporting Flag</v>
      </c>
      <c r="G18" s="98" t="str">
        <f>VLOOKUP("hFlagRep",tblTranslation[],6,FALSE)</f>
        <v>ICCAT code</v>
      </c>
      <c r="H18" s="99" t="str">
        <f>VLOOKUP("hFlagRep",tblTranslation[],LangNameID,FALSE)</f>
        <v>Enter the flag of the CPC (Party, Entity or Fishing Entity) submitting the information</v>
      </c>
    </row>
    <row r="19" spans="1:8" x14ac:dyDescent="0.2">
      <c r="A19" s="232"/>
      <c r="B19" s="232"/>
      <c r="C19" s="232"/>
      <c r="D19" s="233"/>
      <c r="E19" s="233"/>
      <c r="F19" s="97" t="str">
        <f>VLOOKUP("hActions",tblTranslation[],LangFieldID,FALSE)</f>
        <v>Action requested</v>
      </c>
      <c r="G19" s="98" t="str">
        <f>VLOOKUP("hActions",tblTranslation[],6,FALSE)</f>
        <v>ICCAT code</v>
      </c>
      <c r="H19" s="99" t="str">
        <f>VLOOKUP("hActions",tblTranslation[],LangNameID,FALSE)</f>
        <v>Indicate the actions being requested (select one option)</v>
      </c>
    </row>
    <row r="20" spans="1:8" x14ac:dyDescent="0.2">
      <c r="A20" s="232"/>
      <c r="B20" s="232"/>
      <c r="C20" s="232"/>
      <c r="D20" s="234"/>
      <c r="E20" s="234"/>
      <c r="F20" s="97" t="str">
        <f>VLOOKUP("hNotes",tblTranslation[],LangFieldID,FALSE)</f>
        <v>Notes</v>
      </c>
      <c r="G20" s="98" t="str">
        <f>VLOOKUP("hNotes",tblTranslation[],6,FALSE)</f>
        <v>string</v>
      </c>
      <c r="H20" s="99" t="str">
        <f>VLOOKUP("hNotes",tblTranslation[],LangNameID,FALSE)</f>
        <v>For any relevant notes (justification on lack of IMO numbers, etc.)</v>
      </c>
    </row>
    <row r="21" spans="1:8" x14ac:dyDescent="0.2">
      <c r="A21" s="232"/>
      <c r="B21" s="232"/>
      <c r="C21" s="232"/>
      <c r="D21" s="233" t="s">
        <v>393</v>
      </c>
      <c r="E21" s="233"/>
      <c r="F21" s="97" t="str">
        <f>VLOOKUP("hDateRep",tblTranslation[],LangFieldID,FALSE)</f>
        <v>Date reported</v>
      </c>
      <c r="G21" s="98" t="str">
        <f>VLOOKUP("hDateRep",tblTranslation[],6,FALSE)</f>
        <v>date</v>
      </c>
      <c r="H21" s="99" t="str">
        <f>VLOOKUP("hDateRep",tblTranslation[],LangNameID,FALSE)</f>
        <v>Secretariat use only</v>
      </c>
    </row>
    <row r="22" spans="1:8" x14ac:dyDescent="0.2">
      <c r="A22" s="232"/>
      <c r="B22" s="232"/>
      <c r="C22" s="232"/>
      <c r="D22" s="233"/>
      <c r="E22" s="233"/>
      <c r="F22" s="97" t="str">
        <f>VLOOKUP("hRef",tblTranslation[],LangFieldID,FALSE)</f>
        <v>Reference Nº</v>
      </c>
      <c r="G22" s="98" t="str">
        <f>VLOOKUP("hRef",tblTranslation[],6,FALSE)</f>
        <v>ICCAT code</v>
      </c>
      <c r="H22" s="99" t="str">
        <f>VLOOKUP("hRef",tblTranslation[],LangNameID,FALSE)</f>
        <v>Secretariat use only</v>
      </c>
    </row>
    <row r="23" spans="1:8" x14ac:dyDescent="0.2">
      <c r="A23" s="232"/>
      <c r="B23" s="232"/>
      <c r="C23" s="232"/>
      <c r="D23" s="233"/>
      <c r="E23" s="233"/>
      <c r="F23" s="97" t="str">
        <f>VLOOKUP("hFname",tblTranslation[],LangFieldID,FALSE)</f>
        <v>File name (proposed)</v>
      </c>
      <c r="G23" s="98" t="str">
        <f>VLOOKUP("hFName",tblTranslation[],6,FALSE)</f>
        <v>string</v>
      </c>
      <c r="H23" s="99" t="str">
        <f>VLOOKUP("hFName",tblTranslation[],LangNameID,FALSE)</f>
        <v>Send the form to ICCAT with the proposed file name (if required, adding a suffix at the end of the filename: [suffix])</v>
      </c>
    </row>
    <row r="24" spans="1:8" x14ac:dyDescent="0.2">
      <c r="A24" s="232"/>
      <c r="B24" s="232"/>
      <c r="C24" s="232" t="str">
        <f>VLOOKUP("D00",tblTranslation[],LangFieldID,FALSE)</f>
        <v>Detail</v>
      </c>
      <c r="D24" s="246" t="str">
        <f>VLOOKUP("D10",tblTranslation[],LangFieldID,FALSE)</f>
        <v>IUU vessel information</v>
      </c>
      <c r="E24" s="242" t="str">
        <f>VLOOKUP("D11",tblTranslation[],LangFieldID,FALSE)</f>
        <v xml:space="preserve">Characteristics </v>
      </c>
      <c r="F24" s="100" t="str">
        <f>VLOOKUP("VessID",tblTranslation[],LangFieldID,FALSE)</f>
        <v>Vessel ID</v>
      </c>
      <c r="G24" s="98" t="str">
        <f>VLOOKUP("VessID",tblTranslation[],6,FALSE)</f>
        <v>integer</v>
      </c>
      <c r="H24" s="99" t="str">
        <f>VLOOKUP("VessID",tblTranslation[],LangNameID,FALSE)</f>
        <v>Unique identifier for an IUU vessel within the CP11 form</v>
      </c>
    </row>
    <row r="25" spans="1:8" x14ac:dyDescent="0.2">
      <c r="A25" s="232"/>
      <c r="B25" s="232"/>
      <c r="C25" s="232"/>
      <c r="D25" s="247"/>
      <c r="E25" s="242"/>
      <c r="F25" s="100" t="str">
        <f>VLOOKUP("VesselName",tblTranslation[],LangFieldID,FALSE)</f>
        <v>Vessel name (Latin)</v>
      </c>
      <c r="G25" s="98" t="str">
        <f>VLOOKUP("VesselName",tblTranslation[],6,FALSE)</f>
        <v>string</v>
      </c>
      <c r="H25" s="99" t="str">
        <f>VLOOKUP("VesselName",tblTranslation[],LangNameID,FALSE)</f>
        <v>Vessel name in Latin script</v>
      </c>
    </row>
    <row r="26" spans="1:8" x14ac:dyDescent="0.2">
      <c r="A26" s="232"/>
      <c r="B26" s="232"/>
      <c r="C26" s="232"/>
      <c r="D26" s="247"/>
      <c r="E26" s="242"/>
      <c r="F26" s="101" t="str">
        <f>VLOOKUP("FlagCd",tblTranslation[],LangFieldID,FALSE)</f>
        <v>Flag of vessel (cod)</v>
      </c>
      <c r="G26" s="98" t="str">
        <f>VLOOKUP("FlagCd",tblTranslation[],6,FALSE)</f>
        <v>ICCAT code</v>
      </c>
      <c r="H26" s="99" t="str">
        <f>VLOOKUP("FlagCd",tblTranslation[],LangNameID,FALSE)</f>
        <v>Select the flag (choose from available flag codes) under which the vessel is operating.</v>
      </c>
    </row>
    <row r="27" spans="1:8" x14ac:dyDescent="0.2">
      <c r="A27" s="232"/>
      <c r="B27" s="232"/>
      <c r="C27" s="232"/>
      <c r="D27" s="247"/>
      <c r="E27" s="242"/>
      <c r="F27" s="132" t="str">
        <f>VLOOKUP("GearCd",tblTranslation[],LangFieldID,FALSE)</f>
        <v>Gear (cod)</v>
      </c>
      <c r="G27" s="98" t="str">
        <f>VLOOKUP("GearCd",tblTranslation[],6,FALSE)</f>
        <v>ICCAT code</v>
      </c>
      <c r="H27" s="99" t="str">
        <f>VLOOKUP("GearCd",tblTranslation[],LangNameID,FALSE)</f>
        <v>Choose the lost fishing Gear code (ICCAT codes)</v>
      </c>
    </row>
    <row r="28" spans="1:8" ht="20.399999999999999" x14ac:dyDescent="0.2">
      <c r="A28" s="232"/>
      <c r="B28" s="232"/>
      <c r="C28" s="232"/>
      <c r="D28" s="247"/>
      <c r="E28" s="242"/>
      <c r="F28" s="100" t="str">
        <f>VLOOKUP("IRCS",tblTranslation[],LangFieldID,FALSE)</f>
        <v>Internat. RCS</v>
      </c>
      <c r="G28" s="98" t="str">
        <f>VLOOKUP("IRCS",tblTranslation[],6,FALSE)</f>
        <v>string</v>
      </c>
      <c r="H28" s="99" t="str">
        <f>VLOOKUP("IRCS",tblTranslation[],LangNameID,FALSE)</f>
        <v>International Radio Call Sign. This must comprise only letters and numbers, e.g. 7T2472 (no spaces, "-", ".", or any other special characters are allowed. If the vessel is too small to have an IRCS assigned, then "n/a" should be entered</v>
      </c>
    </row>
    <row r="29" spans="1:8" x14ac:dyDescent="0.2">
      <c r="A29" s="232"/>
      <c r="B29" s="232"/>
      <c r="C29" s="232"/>
      <c r="D29" s="247"/>
      <c r="E29" s="242"/>
      <c r="F29" s="100" t="str">
        <f>VLOOKUP("IMONo",tblTranslation[],LangFieldID,FALSE)</f>
        <v>IMO Number</v>
      </c>
      <c r="G29" s="98" t="str">
        <f>VLOOKUP("IMONo",tblTranslation[],6,FALSE)</f>
        <v>integer</v>
      </c>
      <c r="H29" s="99" t="str">
        <f>VLOOKUP("IMONo",tblTranslation[],LangNameID,FALSE)</f>
        <v>IMO number. All vessels of 20 m or greater must have an IMO number, except wooden LSFVs that are not authorized to fish on the high seas or LSFVs unable to obtain an IMO number</v>
      </c>
    </row>
    <row r="30" spans="1:8" x14ac:dyDescent="0.2">
      <c r="A30" s="232"/>
      <c r="B30" s="232"/>
      <c r="C30" s="232"/>
      <c r="D30" s="247"/>
      <c r="E30" s="242"/>
      <c r="F30" s="100" t="str">
        <f>VLOOKUP("LOAm",tblTranslation[],LangFieldID,FALSE)</f>
        <v>LOA (m)</v>
      </c>
      <c r="G30" s="98" t="str">
        <f>VLOOKUP("LOAm",tblTranslation[],6,FALSE)</f>
        <v>integer</v>
      </c>
      <c r="H30" s="99" t="str">
        <f>VLOOKUP("LOAm",tblTranslation[],LangNameID,FALSE)</f>
        <v>Enter the registered Length Overall (LOA) of the vessel in meters (rounded to 1 decimal)</v>
      </c>
    </row>
    <row r="31" spans="1:8" ht="20.399999999999999" x14ac:dyDescent="0.2">
      <c r="A31" s="232"/>
      <c r="B31" s="232"/>
      <c r="C31" s="232"/>
      <c r="D31" s="247"/>
      <c r="E31" s="243" t="str">
        <f>VLOOKUP("D12",tblTranslation[],LangFieldID,FALSE)</f>
        <v>Ownership</v>
      </c>
      <c r="F31" s="133" t="str">
        <f>VLOOKUP("OwName",tblTranslation[],LangFieldID,FALSE)</f>
        <v>Owner name</v>
      </c>
      <c r="G31" s="98" t="str">
        <f>VLOOKUP("OwName",tblTranslation[],6,FALSE)</f>
        <v>string</v>
      </c>
      <c r="H31" s="99" t="str">
        <f>VLOOKUP("OwName",tblTranslation[],LangNameID,FALSE)</f>
        <v>Name of person or company who owns the vessel. If a given vessel has more than one owner, these should be separated by the character "|" (vertical bar). This field allows a maximum of 100 characters.</v>
      </c>
    </row>
    <row r="32" spans="1:8" x14ac:dyDescent="0.2">
      <c r="A32" s="232"/>
      <c r="B32" s="232"/>
      <c r="C32" s="232"/>
      <c r="D32" s="247"/>
      <c r="E32" s="244"/>
      <c r="F32" s="133" t="str">
        <f>VLOOKUP("OwAddrs",tblTranslation[],LangFieldID,FALSE)</f>
        <v>Owner address</v>
      </c>
      <c r="G32" s="98" t="str">
        <f>VLOOKUP("OwAddrs",tblTranslation[],6,FALSE)</f>
        <v>string</v>
      </c>
      <c r="H32" s="99" t="str">
        <f>VLOOKUP("OwAddrs",tblTranslation[],LangNameID,FALSE)</f>
        <v>Address of person or company who owns the vessel. This field allows a maximum of 150 characters.</v>
      </c>
    </row>
    <row r="33" spans="1:8" x14ac:dyDescent="0.2">
      <c r="A33" s="232"/>
      <c r="B33" s="232"/>
      <c r="C33" s="232"/>
      <c r="D33" s="247"/>
      <c r="E33" s="244"/>
      <c r="F33" s="133" t="str">
        <f>VLOOKUP("OwPlaceReg",tblTranslation[],LangFieldID,FALSE)</f>
        <v>Owner place of registration</v>
      </c>
      <c r="G33" s="98" t="str">
        <f>VLOOKUP("OwPlaceReg",tblTranslation[],6,FALSE)</f>
        <v>string</v>
      </c>
      <c r="H33" s="99" t="str">
        <f>VLOOKUP("OwPlaceReg",tblTranslation[],LangNameID,FALSE)</f>
        <v>Place of Registration of person or company who owns the vessel. This field allows a maximum of 100 characters.</v>
      </c>
    </row>
    <row r="34" spans="1:8" ht="20.399999999999999" x14ac:dyDescent="0.2">
      <c r="A34" s="232"/>
      <c r="B34" s="232"/>
      <c r="C34" s="232"/>
      <c r="D34" s="247"/>
      <c r="E34" s="244"/>
      <c r="F34" s="133" t="str">
        <f>VLOOKUP("OpName",tblTranslation[],LangFieldID,FALSE)</f>
        <v>Operator name</v>
      </c>
      <c r="G34" s="98" t="str">
        <f>VLOOKUP("OpName",tblTranslation[],6,FALSE)</f>
        <v>string</v>
      </c>
      <c r="H34" s="99" t="str">
        <f>VLOOKUP("OpName",tblTranslation[],LangNameID,FALSE)</f>
        <v>Name of person or company who operates the vessel. If a given vessel has more than one operator, these should be separated by the character "|" (vertical bar). This field  allows a maximum of 100 characters.</v>
      </c>
    </row>
    <row r="35" spans="1:8" x14ac:dyDescent="0.2">
      <c r="A35" s="232"/>
      <c r="B35" s="232"/>
      <c r="C35" s="232"/>
      <c r="D35" s="248"/>
      <c r="E35" s="245"/>
      <c r="F35" s="133" t="str">
        <f>VLOOKUP("OpAddrs",tblTranslation[],LangFieldID,FALSE)</f>
        <v>Operator address</v>
      </c>
      <c r="G35" s="98" t="str">
        <f>VLOOKUP("OpAddrs",tblTranslation[],6,FALSE)</f>
        <v>string</v>
      </c>
      <c r="H35" s="99" t="str">
        <f>VLOOKUP("OpAddrs",tblTranslation[],LangNameID,FALSE)</f>
        <v>Address of person or company who operates the vessel. This field allows a maximum of 150 characters.</v>
      </c>
    </row>
    <row r="36" spans="1:8" x14ac:dyDescent="0.2">
      <c r="A36" s="232"/>
      <c r="B36" s="232"/>
      <c r="C36" s="232"/>
      <c r="D36" s="227" t="str">
        <f>VLOOKUP("D20",tblTranslation[],LangFieldID,FALSE)</f>
        <v>IUU activities information</v>
      </c>
      <c r="E36" s="227" t="str">
        <f>VLOOKUP("D21",tblTranslation[],LangFieldID,FALSE)</f>
        <v>Details (infringement)</v>
      </c>
      <c r="F36" s="134" t="str">
        <f>VLOOKUP("DateRec",tblTranslation[],LangFieldID,FALSE)</f>
        <v>Date recorded</v>
      </c>
      <c r="G36" s="98" t="str">
        <f>VLOOKUP("DateRec",tblTranslation[],6,FALSE)</f>
        <v>date</v>
      </c>
      <c r="H36" s="99" t="str">
        <f>VLOOKUP("DateRec",tblTranslation[],LangNameID,FALSE)</f>
        <v>Date of alleged IUU fishing activities and identifies the information collected for each update</v>
      </c>
    </row>
    <row r="37" spans="1:8" x14ac:dyDescent="0.2">
      <c r="A37" s="232"/>
      <c r="B37" s="232"/>
      <c r="C37" s="232"/>
      <c r="D37" s="228"/>
      <c r="E37" s="228"/>
      <c r="F37" s="134" t="str">
        <f>VLOOKUP("ICCATReg",tblTranslation[],LangFieldID,FALSE)</f>
        <v>Registered in ICCAT</v>
      </c>
      <c r="G37" s="98" t="str">
        <f>VLOOKUP("ICCATReg",tblTranslation[],6,FALSE)</f>
        <v>ICCAT code</v>
      </c>
      <c r="H37" s="99" t="str">
        <f>VLOOKUP("ICCATReg",tblTranslation[],LangNameID,FALSE)</f>
        <v>It indicates whether the vessel is registered in the ICCAT Record of Vessels (Yes/No)</v>
      </c>
    </row>
    <row r="38" spans="1:8" x14ac:dyDescent="0.2">
      <c r="A38" s="232"/>
      <c r="B38" s="232"/>
      <c r="C38" s="232"/>
      <c r="D38" s="228"/>
      <c r="E38" s="228"/>
      <c r="F38" s="135" t="str">
        <f>VLOOKUP("InfrgmtCd",tblTranslation[],LangFieldID,FALSE)</f>
        <v>Infringement (cod)</v>
      </c>
      <c r="G38" s="98" t="str">
        <f>VLOOKUP("InfrgmtCd",tblTranslation[],6,FALSE)</f>
        <v>ICCAT code</v>
      </c>
      <c r="H38" s="99" t="str">
        <f>VLOOKUP("InfrgmtCd",tblTranslation[],LangNameID,FALSE)</f>
        <v>Summary of alleged IUU fishing activities</v>
      </c>
    </row>
    <row r="39" spans="1:8" x14ac:dyDescent="0.2">
      <c r="A39" s="232"/>
      <c r="B39" s="232"/>
      <c r="C39" s="232"/>
      <c r="D39" s="228"/>
      <c r="E39" s="228"/>
      <c r="F39" s="135" t="str">
        <f>VLOOKUP("RepFlagCd",tblTranslation[],LangFieldID,FALSE)</f>
        <v>Reporting flag (cod)</v>
      </c>
      <c r="G39" s="98" t="str">
        <f>VLOOKUP("RepFlagCd",tblTranslation[],6,FALSE)</f>
        <v>ICCAT code</v>
      </c>
      <c r="H39" s="99" t="str">
        <f>VLOOKUP("RepFlagCd",tblTranslation[],LangNameID,FALSE)</f>
        <v>Select the flag of the CPC (Party, Entity or Fishing Entity) reporting the alleged IUU activities</v>
      </c>
    </row>
    <row r="40" spans="1:8" x14ac:dyDescent="0.2">
      <c r="A40" s="232"/>
      <c r="B40" s="232"/>
      <c r="C40" s="232"/>
      <c r="D40" s="228"/>
      <c r="E40" s="228"/>
      <c r="F40" s="135" t="str">
        <f>VLOOKUP("RepRFMOCd",tblTranslation[],LangFieldID,FALSE)</f>
        <v>Reporting RFMO (cod)</v>
      </c>
      <c r="G40" s="98" t="str">
        <f>VLOOKUP("RepRFMOCd",tblTranslation[],6,FALSE)</f>
        <v>ICCAT code</v>
      </c>
      <c r="H40" s="99" t="str">
        <f>VLOOKUP("RepRFMOCd",tblTranslation[],LangNameID,FALSE)</f>
        <v>Select the RFMO reporting the IUU activities</v>
      </c>
    </row>
    <row r="41" spans="1:8" x14ac:dyDescent="0.2">
      <c r="A41" s="232"/>
      <c r="B41" s="232"/>
      <c r="C41" s="232"/>
      <c r="D41" s="228"/>
      <c r="E41" s="224" t="str">
        <f>VLOOKUP("D22",tblTranslation[],LangFieldID,FALSE)</f>
        <v>Position of alleged IUU fishing activities</v>
      </c>
      <c r="F41" s="135" t="str">
        <f>VLOOKUP("AreaCd",tblTranslation[],LangFieldID,FALSE)</f>
        <v>Fishing area (cod)</v>
      </c>
      <c r="G41" s="98" t="str">
        <f>VLOOKUP("AreaCd",tblTranslation[],6,FALSE)</f>
        <v>ICCAT code</v>
      </c>
      <c r="H41" s="99" t="str">
        <f>VLOOKUP("AreaCd",tblTranslation[],LangNameID,FALSE)</f>
        <v>Area of alleged IUU fishing activities</v>
      </c>
    </row>
    <row r="42" spans="1:8" x14ac:dyDescent="0.2">
      <c r="A42" s="232"/>
      <c r="B42" s="232"/>
      <c r="C42" s="232"/>
      <c r="D42" s="228"/>
      <c r="E42" s="225"/>
      <c r="F42" s="135" t="str">
        <f>VLOOKUP("ActvLat",tblTranslation[],LangFieldID,FALSE)</f>
        <v>Latitude (±dd.dddd)</v>
      </c>
      <c r="G42" s="98" t="str">
        <f>VLOOKUP("ActvLat",tblTranslation[],6,FALSE)</f>
        <v>see format</v>
      </c>
      <c r="H42" s="99" t="str">
        <f>VLOOKUP("ActvLat",tblTranslation[],LangNameID,FALSE)</f>
        <v>Latitude of alleged IUU fishing activities</v>
      </c>
    </row>
    <row r="43" spans="1:8" x14ac:dyDescent="0.2">
      <c r="A43" s="232"/>
      <c r="B43" s="232"/>
      <c r="C43" s="232"/>
      <c r="D43" s="228"/>
      <c r="E43" s="226"/>
      <c r="F43" s="135" t="str">
        <f>VLOOKUP("ActvLon",tblTranslation[],LangFieldID,FALSE)</f>
        <v>Longitude (±dd.dddd)</v>
      </c>
      <c r="G43" s="98" t="str">
        <f>VLOOKUP("ActvLon",tblTranslation[],6,FALSE)</f>
        <v>see format</v>
      </c>
      <c r="H43" s="99" t="str">
        <f>VLOOKUP("ActvLon",tblTranslation[],LangNameID,FALSE)</f>
        <v>Longitude of alleged IUU fishing activities</v>
      </c>
    </row>
    <row r="44" spans="1:8" x14ac:dyDescent="0.2">
      <c r="A44" s="232"/>
      <c r="B44" s="232"/>
      <c r="C44" s="232"/>
      <c r="D44" s="228"/>
      <c r="E44" s="224" t="str">
        <f>VLOOKUP("D23",tblTranslation[],LangFieldID,FALSE)</f>
        <v>Actions taken/outcome</v>
      </c>
      <c r="F44" s="134" t="str">
        <f>VLOOKUP("ActvActions",tblTranslation[],LangFieldID,FALSE)</f>
        <v>Actions in response</v>
      </c>
      <c r="G44" s="98" t="str">
        <f>VLOOKUP("ActvActions",tblTranslation[],6,FALSE)</f>
        <v>string</v>
      </c>
      <c r="H44" s="99" t="str">
        <f>VLOOKUP("ActvActions",tblTranslation[],LangNameID,FALSE)</f>
        <v>Summary of any actions known to have been taken in response to the IUU activities</v>
      </c>
    </row>
    <row r="45" spans="1:8" x14ac:dyDescent="0.2">
      <c r="A45" s="232"/>
      <c r="B45" s="232"/>
      <c r="C45" s="232"/>
      <c r="D45" s="229"/>
      <c r="E45" s="226"/>
      <c r="F45" s="134" t="str">
        <f>VLOOKUP("ActvOutcome",tblTranslation[],LangFieldID,FALSE)</f>
        <v>Outcome of actions</v>
      </c>
      <c r="G45" s="98" t="str">
        <f>VLOOKUP("ActvOutcome",tblTranslation[],6,FALSE)</f>
        <v>string</v>
      </c>
      <c r="H45" s="99" t="str">
        <f>VLOOKUP("ActvOutcome",tblTranslation[],LangNameID,FALSE)</f>
        <v>Outcome of any actions taken</v>
      </c>
    </row>
    <row r="46" spans="1:8" x14ac:dyDescent="0.2">
      <c r="A46" s="232"/>
      <c r="B46" s="232"/>
      <c r="C46" s="232"/>
      <c r="D46" s="230" t="str">
        <f>VLOOKUP("D30",tblTranslation[],LangFieldID,FALSE)</f>
        <v>Additional information</v>
      </c>
      <c r="E46" s="230"/>
      <c r="F46" s="104" t="str">
        <f>VLOOKUP("Remarks",tblTranslation[],LangFieldID,FALSE)</f>
        <v>Remarks</v>
      </c>
      <c r="G46" s="98" t="str">
        <f>VLOOKUP("Remarks",tblTranslation[],6,FALSE)</f>
        <v>string</v>
      </c>
      <c r="H46" s="99" t="str">
        <f>VLOOKUP("Remarks",tblTranslation[],LangNameID,FALSE)</f>
        <v>Other relevant information, as appropriate (e.g., possible false flags or vessel names used, modus operandi, etc.)</v>
      </c>
    </row>
  </sheetData>
  <sheetProtection algorithmName="SHA-512" hashValue="zRh9GN/cGuZ91zlw13ZEW90PWiPplb/H5pAGXtDiQ6Q1XI5EAW2ILMEelXGv22mypc9i6Ft7KgfaZAbz+Qn/gw==" saltValue="gBw6AgJwuFVHdEUJ/pAuBQ==" spinCount="100000" sheet="1" objects="1" scenarios="1"/>
  <mergeCells count="24">
    <mergeCell ref="E31:E35"/>
    <mergeCell ref="D24:D35"/>
    <mergeCell ref="E36:E40"/>
    <mergeCell ref="A1:H1"/>
    <mergeCell ref="A2:E2"/>
    <mergeCell ref="B3:H3"/>
    <mergeCell ref="B4:H4"/>
    <mergeCell ref="B5:H5"/>
    <mergeCell ref="E41:E43"/>
    <mergeCell ref="D36:D45"/>
    <mergeCell ref="E44:E45"/>
    <mergeCell ref="D46:E46"/>
    <mergeCell ref="B6:H6"/>
    <mergeCell ref="C13:C23"/>
    <mergeCell ref="D13:E17"/>
    <mergeCell ref="D18:E20"/>
    <mergeCell ref="D21:E23"/>
    <mergeCell ref="C24:C46"/>
    <mergeCell ref="B13:B46"/>
    <mergeCell ref="B7:H7"/>
    <mergeCell ref="A9:E9"/>
    <mergeCell ref="B11:E12"/>
    <mergeCell ref="A11:A46"/>
    <mergeCell ref="E24:E30"/>
  </mergeCells>
  <hyperlinks>
    <hyperlink ref="F26" location="FlagCod" display="FlagCod" xr:uid="{A4EF5269-C480-41B4-B1CC-868749F3BD49}"/>
    <hyperlink ref="F27" location="GearCode" display="GearCode" xr:uid="{096517B2-72F6-404B-84FD-27F707D572D6}"/>
    <hyperlink ref="F18" location="FlagName" display="FlagName" xr:uid="{13966E5A-99AC-4F19-970F-05C1632E7D4B}"/>
    <hyperlink ref="F42" location="fmtLatitude" display="fmtLatitude" xr:uid="{46D069F9-FBED-4C24-870B-FE8AD1702EF7}"/>
    <hyperlink ref="F43" location="fmtLongitude" display="fmtLongitude" xr:uid="{7801C53D-EB75-4A6E-ABF0-F2EAFF35A079}"/>
    <hyperlink ref="F41" location="AreaCode" display="AreaCode" xr:uid="{1642608D-C536-4A08-86BA-3E2187086583}"/>
    <hyperlink ref="F39" location="FlagCod" display="FlagCod" xr:uid="{B46C2BFD-5872-401C-B7CC-D46AFC91395D}"/>
    <hyperlink ref="F40" location="RFMOCode" display="RFMOCode" xr:uid="{8741715F-88BA-4D9E-9490-05DD704731F5}"/>
    <hyperlink ref="F38" location="InfringementCode" display="InfringementCode" xr:uid="{61B6EA44-1A79-4C0F-A97A-5CCFCAD64A07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L73"/>
  <sheetViews>
    <sheetView view="pageBreakPreview" zoomScale="70" zoomScaleNormal="80" zoomScaleSheetLayoutView="70" workbookViewId="0">
      <pane ySplit="4" topLeftCell="A5" activePane="bottomLeft" state="frozen"/>
      <selection pane="bottomLeft" activeCell="G14" sqref="G14"/>
    </sheetView>
  </sheetViews>
  <sheetFormatPr defaultColWidth="6.44140625" defaultRowHeight="12" x14ac:dyDescent="0.3"/>
  <cols>
    <col min="1" max="1" width="13.44140625" style="39" bestFit="1" customWidth="1"/>
    <col min="2" max="2" width="7.5546875" style="39" customWidth="1"/>
    <col min="3" max="3" width="11.6640625" style="39" customWidth="1"/>
    <col min="4" max="4" width="11.44140625" style="39" bestFit="1" customWidth="1"/>
    <col min="5" max="5" width="9.6640625" style="39" bestFit="1" customWidth="1"/>
    <col min="6" max="6" width="13.33203125" style="39" bestFit="1" customWidth="1"/>
    <col min="7" max="9" width="24.6640625" style="39" customWidth="1"/>
    <col min="10" max="12" width="59.5546875" style="39" customWidth="1"/>
    <col min="13" max="16384" width="6.44140625" style="39"/>
  </cols>
  <sheetData>
    <row r="1" spans="1:12" ht="13.8" x14ac:dyDescent="0.3">
      <c r="A1" s="251" t="s">
        <v>451</v>
      </c>
      <c r="B1" s="251"/>
      <c r="C1" s="251"/>
      <c r="D1" s="251"/>
      <c r="E1" s="251"/>
      <c r="F1" s="40"/>
      <c r="G1" s="41" t="s">
        <v>452</v>
      </c>
      <c r="H1" s="42">
        <f>IF(Idiom="ENG",7,IF(Idiom="FRA",8,9))</f>
        <v>7</v>
      </c>
    </row>
    <row r="2" spans="1:12" x14ac:dyDescent="0.3">
      <c r="A2" s="43"/>
      <c r="B2" s="43"/>
      <c r="C2" s="43"/>
      <c r="D2" s="43"/>
      <c r="E2" s="43"/>
      <c r="F2" s="43"/>
      <c r="G2" s="41" t="s">
        <v>453</v>
      </c>
      <c r="H2" s="42">
        <f>IF(Idiom="ENG",10,IF(Idiom="FRA",11,12))</f>
        <v>10</v>
      </c>
    </row>
    <row r="4" spans="1:12" x14ac:dyDescent="0.3">
      <c r="A4" s="58" t="s">
        <v>378</v>
      </c>
      <c r="B4" s="59" t="s">
        <v>441</v>
      </c>
      <c r="C4" s="59" t="s">
        <v>442</v>
      </c>
      <c r="D4" s="59" t="s">
        <v>371</v>
      </c>
      <c r="E4" s="59" t="s">
        <v>443</v>
      </c>
      <c r="F4" s="60" t="s">
        <v>444</v>
      </c>
      <c r="G4" s="60" t="s">
        <v>445</v>
      </c>
      <c r="H4" s="60" t="s">
        <v>446</v>
      </c>
      <c r="I4" s="60" t="s">
        <v>447</v>
      </c>
      <c r="J4" s="59" t="s">
        <v>616</v>
      </c>
      <c r="K4" s="59" t="s">
        <v>617</v>
      </c>
      <c r="L4" s="61" t="s">
        <v>618</v>
      </c>
    </row>
    <row r="5" spans="1:12" ht="26.25" customHeight="1" x14ac:dyDescent="0.3">
      <c r="A5" s="62" t="s">
        <v>538</v>
      </c>
      <c r="B5" s="46">
        <v>1</v>
      </c>
      <c r="C5" s="46" t="s">
        <v>866</v>
      </c>
      <c r="D5" s="46" t="s">
        <v>373</v>
      </c>
      <c r="E5" s="46" t="s">
        <v>461</v>
      </c>
      <c r="F5" s="46" t="s">
        <v>448</v>
      </c>
      <c r="G5" s="46" t="s">
        <v>722</v>
      </c>
      <c r="H5" s="46" t="s">
        <v>722</v>
      </c>
      <c r="I5" s="46" t="s">
        <v>722</v>
      </c>
      <c r="J5" s="46" t="s">
        <v>721</v>
      </c>
      <c r="K5" s="46" t="s">
        <v>933</v>
      </c>
      <c r="L5" s="113" t="s">
        <v>934</v>
      </c>
    </row>
    <row r="6" spans="1:12" x14ac:dyDescent="0.3">
      <c r="A6" s="63" t="s">
        <v>384</v>
      </c>
      <c r="B6" s="46">
        <v>2</v>
      </c>
      <c r="C6" s="46" t="s">
        <v>866</v>
      </c>
      <c r="D6" s="46" t="s">
        <v>373</v>
      </c>
      <c r="E6" s="64" t="s">
        <v>468</v>
      </c>
      <c r="F6" s="64" t="s">
        <v>448</v>
      </c>
      <c r="G6" s="64" t="s">
        <v>373</v>
      </c>
      <c r="H6" s="64" t="s">
        <v>519</v>
      </c>
      <c r="I6" s="64" t="s">
        <v>520</v>
      </c>
      <c r="J6" s="64" t="s">
        <v>935</v>
      </c>
      <c r="K6" s="64" t="s">
        <v>521</v>
      </c>
      <c r="L6" s="114" t="s">
        <v>522</v>
      </c>
    </row>
    <row r="7" spans="1:12" x14ac:dyDescent="0.3">
      <c r="A7" s="65" t="s">
        <v>529</v>
      </c>
      <c r="B7" s="46">
        <v>3</v>
      </c>
      <c r="C7" s="46" t="s">
        <v>866</v>
      </c>
      <c r="D7" s="46" t="s">
        <v>373</v>
      </c>
      <c r="E7" s="64" t="s">
        <v>468</v>
      </c>
      <c r="F7" s="64" t="s">
        <v>448</v>
      </c>
      <c r="G7" s="64" t="s">
        <v>523</v>
      </c>
      <c r="H7" s="64" t="s">
        <v>524</v>
      </c>
      <c r="I7" s="64" t="s">
        <v>525</v>
      </c>
      <c r="J7" s="64" t="s">
        <v>526</v>
      </c>
      <c r="K7" s="64" t="s">
        <v>527</v>
      </c>
      <c r="L7" s="114" t="s">
        <v>528</v>
      </c>
    </row>
    <row r="8" spans="1:12" x14ac:dyDescent="0.2">
      <c r="A8" s="62" t="s">
        <v>533</v>
      </c>
      <c r="B8" s="46">
        <v>4</v>
      </c>
      <c r="C8" s="46" t="s">
        <v>866</v>
      </c>
      <c r="D8" s="46" t="s">
        <v>373</v>
      </c>
      <c r="E8" s="46" t="s">
        <v>461</v>
      </c>
      <c r="F8" s="46" t="s">
        <v>448</v>
      </c>
      <c r="G8" s="46" t="s">
        <v>867</v>
      </c>
      <c r="H8" s="46" t="s">
        <v>867</v>
      </c>
      <c r="I8" s="46" t="s">
        <v>867</v>
      </c>
      <c r="J8" s="46" t="s">
        <v>936</v>
      </c>
      <c r="K8" s="115" t="s">
        <v>937</v>
      </c>
      <c r="L8" s="116" t="s">
        <v>938</v>
      </c>
    </row>
    <row r="9" spans="1:12" x14ac:dyDescent="0.3">
      <c r="A9" s="68" t="s">
        <v>579</v>
      </c>
      <c r="B9" s="46">
        <v>5</v>
      </c>
      <c r="C9" s="67" t="s">
        <v>866</v>
      </c>
      <c r="D9" s="46" t="s">
        <v>373</v>
      </c>
      <c r="E9" s="69" t="s">
        <v>449</v>
      </c>
      <c r="F9" s="69" t="s">
        <v>530</v>
      </c>
      <c r="G9" s="69" t="s">
        <v>395</v>
      </c>
      <c r="H9" s="69" t="s">
        <v>395</v>
      </c>
      <c r="I9" s="69" t="s">
        <v>531</v>
      </c>
      <c r="J9" s="64" t="s">
        <v>532</v>
      </c>
      <c r="K9" s="64" t="s">
        <v>619</v>
      </c>
      <c r="L9" s="114" t="s">
        <v>620</v>
      </c>
    </row>
    <row r="10" spans="1:12" x14ac:dyDescent="0.3">
      <c r="A10" s="65" t="s">
        <v>580</v>
      </c>
      <c r="B10" s="46">
        <v>6</v>
      </c>
      <c r="C10" s="46" t="s">
        <v>866</v>
      </c>
      <c r="D10" s="46" t="s">
        <v>373</v>
      </c>
      <c r="E10" s="64" t="s">
        <v>449</v>
      </c>
      <c r="F10" s="64" t="s">
        <v>450</v>
      </c>
      <c r="G10" s="64" t="s">
        <v>534</v>
      </c>
      <c r="H10" s="64" t="s">
        <v>535</v>
      </c>
      <c r="I10" s="64" t="s">
        <v>536</v>
      </c>
      <c r="J10" s="64" t="s">
        <v>537</v>
      </c>
      <c r="K10" s="64" t="s">
        <v>621</v>
      </c>
      <c r="L10" s="114" t="s">
        <v>622</v>
      </c>
    </row>
    <row r="11" spans="1:12" x14ac:dyDescent="0.3">
      <c r="A11" s="63" t="s">
        <v>552</v>
      </c>
      <c r="B11" s="46">
        <v>7</v>
      </c>
      <c r="C11" s="46" t="s">
        <v>866</v>
      </c>
      <c r="D11" s="64" t="s">
        <v>4</v>
      </c>
      <c r="E11" s="64" t="s">
        <v>461</v>
      </c>
      <c r="F11" s="64" t="s">
        <v>448</v>
      </c>
      <c r="G11" s="64" t="s">
        <v>4</v>
      </c>
      <c r="H11" s="64" t="s">
        <v>555</v>
      </c>
      <c r="I11" s="64" t="s">
        <v>556</v>
      </c>
      <c r="J11" s="64" t="s">
        <v>448</v>
      </c>
      <c r="K11" s="64" t="s">
        <v>448</v>
      </c>
      <c r="L11" s="114" t="s">
        <v>448</v>
      </c>
    </row>
    <row r="12" spans="1:12" x14ac:dyDescent="0.3">
      <c r="A12" s="70" t="s">
        <v>553</v>
      </c>
      <c r="B12" s="46">
        <v>8</v>
      </c>
      <c r="C12" s="67" t="s">
        <v>866</v>
      </c>
      <c r="D12" s="46" t="s">
        <v>4</v>
      </c>
      <c r="E12" s="67" t="s">
        <v>539</v>
      </c>
      <c r="F12" s="67" t="s">
        <v>448</v>
      </c>
      <c r="G12" s="69" t="s">
        <v>574</v>
      </c>
      <c r="H12" s="64" t="s">
        <v>575</v>
      </c>
      <c r="I12" s="64" t="s">
        <v>576</v>
      </c>
      <c r="J12" s="69" t="s">
        <v>448</v>
      </c>
      <c r="K12" s="69" t="s">
        <v>448</v>
      </c>
      <c r="L12" s="117" t="s">
        <v>448</v>
      </c>
    </row>
    <row r="13" spans="1:12" x14ac:dyDescent="0.3">
      <c r="A13" s="62" t="s">
        <v>554</v>
      </c>
      <c r="B13" s="46">
        <v>9</v>
      </c>
      <c r="C13" s="46" t="s">
        <v>866</v>
      </c>
      <c r="D13" s="46" t="s">
        <v>4</v>
      </c>
      <c r="E13" s="46" t="s">
        <v>539</v>
      </c>
      <c r="F13" s="46" t="s">
        <v>448</v>
      </c>
      <c r="G13" s="67" t="s">
        <v>393</v>
      </c>
      <c r="H13" s="67" t="s">
        <v>559</v>
      </c>
      <c r="I13" s="67" t="s">
        <v>560</v>
      </c>
      <c r="J13" s="64" t="s">
        <v>448</v>
      </c>
      <c r="K13" s="64" t="s">
        <v>448</v>
      </c>
      <c r="L13" s="114" t="s">
        <v>448</v>
      </c>
    </row>
    <row r="14" spans="1:12" x14ac:dyDescent="0.3">
      <c r="A14" s="62" t="s">
        <v>561</v>
      </c>
      <c r="B14" s="46">
        <v>10</v>
      </c>
      <c r="C14" s="46" t="s">
        <v>866</v>
      </c>
      <c r="D14" s="46" t="s">
        <v>4</v>
      </c>
      <c r="E14" s="46" t="s">
        <v>539</v>
      </c>
      <c r="F14" s="46" t="s">
        <v>448</v>
      </c>
      <c r="G14" s="69" t="s">
        <v>562</v>
      </c>
      <c r="H14" s="69" t="s">
        <v>615</v>
      </c>
      <c r="I14" s="69" t="s">
        <v>614</v>
      </c>
      <c r="J14" s="64" t="s">
        <v>448</v>
      </c>
      <c r="K14" s="64" t="s">
        <v>448</v>
      </c>
      <c r="L14" s="114" t="s">
        <v>448</v>
      </c>
    </row>
    <row r="15" spans="1:12" x14ac:dyDescent="0.3">
      <c r="A15" s="62" t="s">
        <v>545</v>
      </c>
      <c r="B15" s="46">
        <v>11</v>
      </c>
      <c r="C15" s="46" t="s">
        <v>866</v>
      </c>
      <c r="D15" s="46" t="s">
        <v>4</v>
      </c>
      <c r="E15" s="46" t="s">
        <v>449</v>
      </c>
      <c r="F15" s="46" t="s">
        <v>540</v>
      </c>
      <c r="G15" s="46" t="s">
        <v>0</v>
      </c>
      <c r="H15" s="46" t="s">
        <v>380</v>
      </c>
      <c r="I15" s="46" t="s">
        <v>381</v>
      </c>
      <c r="J15" s="46" t="s">
        <v>594</v>
      </c>
      <c r="K15" s="46" t="s">
        <v>623</v>
      </c>
      <c r="L15" s="113" t="s">
        <v>599</v>
      </c>
    </row>
    <row r="16" spans="1:12" x14ac:dyDescent="0.3">
      <c r="A16" s="62" t="s">
        <v>544</v>
      </c>
      <c r="B16" s="46">
        <v>12</v>
      </c>
      <c r="C16" s="46" t="s">
        <v>866</v>
      </c>
      <c r="D16" s="46" t="s">
        <v>4</v>
      </c>
      <c r="E16" s="46" t="s">
        <v>449</v>
      </c>
      <c r="F16" s="46" t="s">
        <v>540</v>
      </c>
      <c r="G16" s="46" t="s">
        <v>375</v>
      </c>
      <c r="H16" s="46" t="s">
        <v>403</v>
      </c>
      <c r="I16" s="46" t="s">
        <v>394</v>
      </c>
      <c r="J16" s="46" t="s">
        <v>595</v>
      </c>
      <c r="K16" s="46" t="s">
        <v>624</v>
      </c>
      <c r="L16" s="113" t="s">
        <v>600</v>
      </c>
    </row>
    <row r="17" spans="1:12" x14ac:dyDescent="0.3">
      <c r="A17" s="62" t="s">
        <v>548</v>
      </c>
      <c r="B17" s="46">
        <v>13</v>
      </c>
      <c r="C17" s="46" t="s">
        <v>866</v>
      </c>
      <c r="D17" s="46" t="s">
        <v>4</v>
      </c>
      <c r="E17" s="46" t="s">
        <v>449</v>
      </c>
      <c r="F17" s="46" t="s">
        <v>540</v>
      </c>
      <c r="G17" s="46" t="s">
        <v>3</v>
      </c>
      <c r="H17" s="46" t="s">
        <v>382</v>
      </c>
      <c r="I17" s="46" t="s">
        <v>383</v>
      </c>
      <c r="J17" s="46" t="s">
        <v>596</v>
      </c>
      <c r="K17" s="46" t="s">
        <v>625</v>
      </c>
      <c r="L17" s="113" t="s">
        <v>601</v>
      </c>
    </row>
    <row r="18" spans="1:12" x14ac:dyDescent="0.3">
      <c r="A18" s="62" t="s">
        <v>581</v>
      </c>
      <c r="B18" s="46">
        <v>14</v>
      </c>
      <c r="C18" s="46" t="s">
        <v>866</v>
      </c>
      <c r="D18" s="46" t="s">
        <v>4</v>
      </c>
      <c r="E18" s="46" t="s">
        <v>449</v>
      </c>
      <c r="F18" s="46" t="s">
        <v>540</v>
      </c>
      <c r="G18" s="46" t="s">
        <v>2</v>
      </c>
      <c r="H18" s="46" t="s">
        <v>2</v>
      </c>
      <c r="I18" s="46" t="s">
        <v>2</v>
      </c>
      <c r="J18" s="46" t="s">
        <v>602</v>
      </c>
      <c r="K18" s="46" t="s">
        <v>626</v>
      </c>
      <c r="L18" s="113" t="s">
        <v>603</v>
      </c>
    </row>
    <row r="19" spans="1:12" x14ac:dyDescent="0.3">
      <c r="A19" s="62" t="s">
        <v>582</v>
      </c>
      <c r="B19" s="46">
        <v>15</v>
      </c>
      <c r="C19" s="46" t="s">
        <v>866</v>
      </c>
      <c r="D19" s="46" t="s">
        <v>4</v>
      </c>
      <c r="E19" s="46" t="s">
        <v>449</v>
      </c>
      <c r="F19" s="46" t="s">
        <v>540</v>
      </c>
      <c r="G19" s="46" t="s">
        <v>1</v>
      </c>
      <c r="H19" s="46" t="s">
        <v>385</v>
      </c>
      <c r="I19" s="46" t="s">
        <v>386</v>
      </c>
      <c r="J19" s="46" t="s">
        <v>604</v>
      </c>
      <c r="K19" s="46" t="s">
        <v>627</v>
      </c>
      <c r="L19" s="113" t="s">
        <v>605</v>
      </c>
    </row>
    <row r="20" spans="1:12" ht="20.399999999999999" x14ac:dyDescent="0.3">
      <c r="A20" s="62" t="s">
        <v>543</v>
      </c>
      <c r="B20" s="46">
        <v>16</v>
      </c>
      <c r="C20" s="46" t="s">
        <v>866</v>
      </c>
      <c r="D20" s="46" t="s">
        <v>4</v>
      </c>
      <c r="E20" s="46" t="s">
        <v>449</v>
      </c>
      <c r="F20" s="46" t="s">
        <v>450</v>
      </c>
      <c r="G20" s="46" t="s">
        <v>374</v>
      </c>
      <c r="H20" s="46" t="s">
        <v>402</v>
      </c>
      <c r="I20" s="46" t="s">
        <v>405</v>
      </c>
      <c r="J20" s="46" t="s">
        <v>606</v>
      </c>
      <c r="K20" s="46" t="s">
        <v>628</v>
      </c>
      <c r="L20" s="113" t="s">
        <v>629</v>
      </c>
    </row>
    <row r="21" spans="1:12" x14ac:dyDescent="0.3">
      <c r="A21" s="62" t="s">
        <v>546</v>
      </c>
      <c r="B21" s="46">
        <v>17</v>
      </c>
      <c r="C21" s="46" t="s">
        <v>866</v>
      </c>
      <c r="D21" s="46" t="s">
        <v>4</v>
      </c>
      <c r="E21" s="46" t="s">
        <v>449</v>
      </c>
      <c r="F21" s="46" t="s">
        <v>450</v>
      </c>
      <c r="G21" s="46" t="s">
        <v>399</v>
      </c>
      <c r="H21" s="46" t="s">
        <v>404</v>
      </c>
      <c r="I21" s="46" t="s">
        <v>400</v>
      </c>
      <c r="J21" s="46" t="s">
        <v>597</v>
      </c>
      <c r="K21" s="46" t="s">
        <v>608</v>
      </c>
      <c r="L21" s="113" t="s">
        <v>607</v>
      </c>
    </row>
    <row r="22" spans="1:12" x14ac:dyDescent="0.3">
      <c r="A22" s="62" t="s">
        <v>547</v>
      </c>
      <c r="B22" s="46">
        <v>18</v>
      </c>
      <c r="C22" s="46" t="s">
        <v>866</v>
      </c>
      <c r="D22" s="46" t="s">
        <v>4</v>
      </c>
      <c r="E22" s="46" t="s">
        <v>449</v>
      </c>
      <c r="F22" s="46" t="s">
        <v>540</v>
      </c>
      <c r="G22" s="46" t="s">
        <v>396</v>
      </c>
      <c r="H22" s="46" t="s">
        <v>397</v>
      </c>
      <c r="I22" s="46" t="s">
        <v>398</v>
      </c>
      <c r="J22" s="46" t="s">
        <v>609</v>
      </c>
      <c r="K22" s="46" t="s">
        <v>630</v>
      </c>
      <c r="L22" s="113" t="s">
        <v>631</v>
      </c>
    </row>
    <row r="23" spans="1:12" x14ac:dyDescent="0.3">
      <c r="A23" s="66" t="s">
        <v>583</v>
      </c>
      <c r="B23" s="46">
        <v>19</v>
      </c>
      <c r="C23" s="46" t="s">
        <v>866</v>
      </c>
      <c r="D23" s="67" t="s">
        <v>4</v>
      </c>
      <c r="E23" s="67" t="s">
        <v>449</v>
      </c>
      <c r="F23" s="67" t="s">
        <v>563</v>
      </c>
      <c r="G23" s="67" t="s">
        <v>564</v>
      </c>
      <c r="H23" s="67" t="s">
        <v>565</v>
      </c>
      <c r="I23" s="67" t="s">
        <v>566</v>
      </c>
      <c r="J23" s="67" t="s">
        <v>393</v>
      </c>
      <c r="K23" s="67" t="s">
        <v>559</v>
      </c>
      <c r="L23" s="118" t="s">
        <v>567</v>
      </c>
    </row>
    <row r="24" spans="1:12" x14ac:dyDescent="0.3">
      <c r="A24" s="71" t="s">
        <v>568</v>
      </c>
      <c r="B24" s="46">
        <v>20</v>
      </c>
      <c r="C24" s="46" t="s">
        <v>866</v>
      </c>
      <c r="D24" s="67" t="s">
        <v>4</v>
      </c>
      <c r="E24" s="67" t="s">
        <v>449</v>
      </c>
      <c r="F24" s="67" t="s">
        <v>450</v>
      </c>
      <c r="G24" s="67" t="s">
        <v>569</v>
      </c>
      <c r="H24" s="67" t="s">
        <v>570</v>
      </c>
      <c r="I24" s="67" t="s">
        <v>571</v>
      </c>
      <c r="J24" s="67" t="s">
        <v>393</v>
      </c>
      <c r="K24" s="67" t="s">
        <v>559</v>
      </c>
      <c r="L24" s="118" t="s">
        <v>560</v>
      </c>
    </row>
    <row r="25" spans="1:12" ht="20.399999999999999" x14ac:dyDescent="0.3">
      <c r="A25" s="66" t="s">
        <v>584</v>
      </c>
      <c r="B25" s="46">
        <v>21</v>
      </c>
      <c r="C25" s="46" t="s">
        <v>866</v>
      </c>
      <c r="D25" s="67" t="s">
        <v>4</v>
      </c>
      <c r="E25" s="67" t="s">
        <v>449</v>
      </c>
      <c r="F25" s="67" t="s">
        <v>540</v>
      </c>
      <c r="G25" s="67" t="s">
        <v>572</v>
      </c>
      <c r="H25" s="67" t="s">
        <v>612</v>
      </c>
      <c r="I25" s="67" t="s">
        <v>613</v>
      </c>
      <c r="J25" s="67" t="s">
        <v>610</v>
      </c>
      <c r="K25" s="67" t="s">
        <v>632</v>
      </c>
      <c r="L25" s="118" t="s">
        <v>611</v>
      </c>
    </row>
    <row r="26" spans="1:12" x14ac:dyDescent="0.3">
      <c r="A26" s="70" t="s">
        <v>585</v>
      </c>
      <c r="B26" s="46">
        <v>22</v>
      </c>
      <c r="C26" s="46" t="s">
        <v>866</v>
      </c>
      <c r="D26" s="67" t="s">
        <v>372</v>
      </c>
      <c r="E26" s="67" t="s">
        <v>461</v>
      </c>
      <c r="F26" s="46" t="s">
        <v>448</v>
      </c>
      <c r="G26" s="67" t="s">
        <v>372</v>
      </c>
      <c r="H26" s="67" t="s">
        <v>586</v>
      </c>
      <c r="I26" s="67" t="s">
        <v>587</v>
      </c>
      <c r="J26" s="67" t="s">
        <v>448</v>
      </c>
      <c r="K26" s="67" t="s">
        <v>448</v>
      </c>
      <c r="L26" s="119" t="s">
        <v>448</v>
      </c>
    </row>
    <row r="27" spans="1:12" x14ac:dyDescent="0.3">
      <c r="A27" s="74" t="s">
        <v>588</v>
      </c>
      <c r="B27" s="46">
        <v>23</v>
      </c>
      <c r="C27" s="46" t="s">
        <v>866</v>
      </c>
      <c r="D27" s="75" t="s">
        <v>372</v>
      </c>
      <c r="E27" s="75" t="s">
        <v>539</v>
      </c>
      <c r="F27" s="46" t="s">
        <v>448</v>
      </c>
      <c r="G27" s="75" t="s">
        <v>878</v>
      </c>
      <c r="H27" s="75" t="s">
        <v>879</v>
      </c>
      <c r="I27" s="75" t="s">
        <v>880</v>
      </c>
      <c r="J27" s="75" t="s">
        <v>448</v>
      </c>
      <c r="K27" s="75" t="s">
        <v>448</v>
      </c>
      <c r="L27" s="120" t="s">
        <v>448</v>
      </c>
    </row>
    <row r="28" spans="1:12" x14ac:dyDescent="0.3">
      <c r="A28" s="62" t="s">
        <v>590</v>
      </c>
      <c r="B28" s="46">
        <v>24</v>
      </c>
      <c r="C28" s="46" t="s">
        <v>866</v>
      </c>
      <c r="D28" s="46" t="s">
        <v>372</v>
      </c>
      <c r="E28" s="46" t="s">
        <v>558</v>
      </c>
      <c r="F28" s="46" t="s">
        <v>448</v>
      </c>
      <c r="G28" s="46" t="s">
        <v>5</v>
      </c>
      <c r="H28" s="46" t="s">
        <v>376</v>
      </c>
      <c r="I28" s="46" t="s">
        <v>377</v>
      </c>
      <c r="J28" s="46" t="s">
        <v>448</v>
      </c>
      <c r="K28" s="46" t="s">
        <v>448</v>
      </c>
      <c r="L28" s="113" t="s">
        <v>448</v>
      </c>
    </row>
    <row r="29" spans="1:12" x14ac:dyDescent="0.3">
      <c r="A29" s="75" t="s">
        <v>591</v>
      </c>
      <c r="B29" s="46">
        <v>25</v>
      </c>
      <c r="C29" s="75" t="s">
        <v>791</v>
      </c>
      <c r="D29" s="75" t="s">
        <v>372</v>
      </c>
      <c r="E29" s="75" t="s">
        <v>558</v>
      </c>
      <c r="F29" s="75" t="s">
        <v>448</v>
      </c>
      <c r="G29" s="75" t="s">
        <v>792</v>
      </c>
      <c r="H29" s="75" t="s">
        <v>793</v>
      </c>
      <c r="I29" s="75" t="s">
        <v>794</v>
      </c>
      <c r="J29" s="75" t="s">
        <v>448</v>
      </c>
      <c r="K29" s="75" t="s">
        <v>448</v>
      </c>
      <c r="L29" s="75" t="s">
        <v>448</v>
      </c>
    </row>
    <row r="30" spans="1:12" ht="20.399999999999999" x14ac:dyDescent="0.3">
      <c r="A30" s="62" t="s">
        <v>589</v>
      </c>
      <c r="B30" s="46">
        <v>26</v>
      </c>
      <c r="C30" s="46" t="s">
        <v>866</v>
      </c>
      <c r="D30" s="46" t="s">
        <v>372</v>
      </c>
      <c r="E30" s="46" t="s">
        <v>539</v>
      </c>
      <c r="F30" s="46" t="s">
        <v>448</v>
      </c>
      <c r="G30" s="46" t="s">
        <v>881</v>
      </c>
      <c r="H30" s="46" t="s">
        <v>882</v>
      </c>
      <c r="I30" s="46" t="s">
        <v>883</v>
      </c>
      <c r="J30" s="46" t="s">
        <v>448</v>
      </c>
      <c r="K30" s="46" t="s">
        <v>448</v>
      </c>
      <c r="L30" s="113" t="s">
        <v>448</v>
      </c>
    </row>
    <row r="31" spans="1:12" x14ac:dyDescent="0.3">
      <c r="A31" s="62" t="s">
        <v>592</v>
      </c>
      <c r="B31" s="46">
        <v>27</v>
      </c>
      <c r="C31" s="46" t="s">
        <v>866</v>
      </c>
      <c r="D31" s="46" t="s">
        <v>372</v>
      </c>
      <c r="E31" s="46" t="s">
        <v>558</v>
      </c>
      <c r="F31" s="46" t="s">
        <v>448</v>
      </c>
      <c r="G31" s="46" t="s">
        <v>884</v>
      </c>
      <c r="H31" s="46" t="s">
        <v>885</v>
      </c>
      <c r="I31" s="46" t="s">
        <v>886</v>
      </c>
      <c r="J31" s="46" t="s">
        <v>448</v>
      </c>
      <c r="K31" s="46" t="s">
        <v>448</v>
      </c>
      <c r="L31" s="113" t="s">
        <v>448</v>
      </c>
    </row>
    <row r="32" spans="1:12" ht="20.399999999999999" x14ac:dyDescent="0.3">
      <c r="A32" s="62" t="s">
        <v>795</v>
      </c>
      <c r="B32" s="46">
        <v>28</v>
      </c>
      <c r="C32" s="46" t="s">
        <v>866</v>
      </c>
      <c r="D32" s="46" t="s">
        <v>372</v>
      </c>
      <c r="E32" s="46" t="s">
        <v>558</v>
      </c>
      <c r="F32" s="46" t="s">
        <v>448</v>
      </c>
      <c r="G32" s="46" t="s">
        <v>787</v>
      </c>
      <c r="H32" s="46" t="s">
        <v>887</v>
      </c>
      <c r="I32" s="46" t="s">
        <v>888</v>
      </c>
      <c r="J32" s="46" t="s">
        <v>448</v>
      </c>
      <c r="K32" s="46" t="s">
        <v>448</v>
      </c>
      <c r="L32" s="113" t="s">
        <v>448</v>
      </c>
    </row>
    <row r="33" spans="1:12" x14ac:dyDescent="0.3">
      <c r="A33" s="62" t="s">
        <v>796</v>
      </c>
      <c r="B33" s="46">
        <v>29</v>
      </c>
      <c r="C33" s="46" t="s">
        <v>866</v>
      </c>
      <c r="D33" s="46" t="s">
        <v>372</v>
      </c>
      <c r="E33" s="46" t="s">
        <v>558</v>
      </c>
      <c r="F33" s="46" t="s">
        <v>448</v>
      </c>
      <c r="G33" s="46" t="s">
        <v>889</v>
      </c>
      <c r="H33" s="46" t="s">
        <v>890</v>
      </c>
      <c r="I33" s="46" t="s">
        <v>891</v>
      </c>
      <c r="J33" s="46" t="s">
        <v>448</v>
      </c>
      <c r="K33" s="46" t="s">
        <v>448</v>
      </c>
      <c r="L33" s="113" t="s">
        <v>448</v>
      </c>
    </row>
    <row r="34" spans="1:12" x14ac:dyDescent="0.3">
      <c r="A34" s="62" t="s">
        <v>593</v>
      </c>
      <c r="B34" s="46">
        <v>30</v>
      </c>
      <c r="C34" s="46" t="s">
        <v>866</v>
      </c>
      <c r="D34" s="46" t="s">
        <v>372</v>
      </c>
      <c r="E34" s="46" t="s">
        <v>539</v>
      </c>
      <c r="F34" s="46" t="s">
        <v>448</v>
      </c>
      <c r="G34" s="46" t="s">
        <v>798</v>
      </c>
      <c r="H34" s="46" t="s">
        <v>789</v>
      </c>
      <c r="I34" s="46" t="s">
        <v>790</v>
      </c>
      <c r="J34" s="46" t="s">
        <v>448</v>
      </c>
      <c r="K34" s="46" t="s">
        <v>448</v>
      </c>
      <c r="L34" s="113" t="s">
        <v>448</v>
      </c>
    </row>
    <row r="35" spans="1:12" x14ac:dyDescent="0.3">
      <c r="A35" s="62" t="s">
        <v>864</v>
      </c>
      <c r="B35" s="46">
        <v>31</v>
      </c>
      <c r="C35" s="46" t="s">
        <v>866</v>
      </c>
      <c r="D35" s="46" t="s">
        <v>372</v>
      </c>
      <c r="E35" s="46" t="s">
        <v>449</v>
      </c>
      <c r="F35" s="46" t="s">
        <v>541</v>
      </c>
      <c r="G35" s="46" t="s">
        <v>865</v>
      </c>
      <c r="H35" s="46" t="s">
        <v>892</v>
      </c>
      <c r="I35" s="46" t="s">
        <v>893</v>
      </c>
      <c r="J35" s="46" t="s">
        <v>737</v>
      </c>
      <c r="K35" s="46" t="s">
        <v>939</v>
      </c>
      <c r="L35" s="113" t="s">
        <v>940</v>
      </c>
    </row>
    <row r="36" spans="1:12" x14ac:dyDescent="0.3">
      <c r="A36" s="62" t="s">
        <v>723</v>
      </c>
      <c r="B36" s="46">
        <v>32</v>
      </c>
      <c r="C36" s="46" t="s">
        <v>866</v>
      </c>
      <c r="D36" s="46" t="s">
        <v>372</v>
      </c>
      <c r="E36" s="46" t="s">
        <v>449</v>
      </c>
      <c r="F36" s="46" t="s">
        <v>540</v>
      </c>
      <c r="G36" s="46" t="s">
        <v>894</v>
      </c>
      <c r="H36" s="46" t="s">
        <v>744</v>
      </c>
      <c r="I36" s="46" t="s">
        <v>868</v>
      </c>
      <c r="J36" s="46" t="s">
        <v>745</v>
      </c>
      <c r="K36" s="46" t="s">
        <v>746</v>
      </c>
      <c r="L36" s="113" t="s">
        <v>747</v>
      </c>
    </row>
    <row r="37" spans="1:12" ht="20.399999999999999" x14ac:dyDescent="0.3">
      <c r="A37" s="62" t="s">
        <v>724</v>
      </c>
      <c r="B37" s="46">
        <v>33</v>
      </c>
      <c r="C37" s="46" t="s">
        <v>866</v>
      </c>
      <c r="D37" s="46" t="s">
        <v>372</v>
      </c>
      <c r="E37" s="46" t="s">
        <v>449</v>
      </c>
      <c r="F37" s="46" t="s">
        <v>450</v>
      </c>
      <c r="G37" s="46" t="s">
        <v>895</v>
      </c>
      <c r="H37" s="46" t="s">
        <v>748</v>
      </c>
      <c r="I37" s="46" t="s">
        <v>749</v>
      </c>
      <c r="J37" s="46" t="s">
        <v>598</v>
      </c>
      <c r="K37" s="46" t="s">
        <v>634</v>
      </c>
      <c r="L37" s="113" t="s">
        <v>635</v>
      </c>
    </row>
    <row r="38" spans="1:12" x14ac:dyDescent="0.3">
      <c r="A38" s="62" t="s">
        <v>725</v>
      </c>
      <c r="B38" s="46">
        <v>34</v>
      </c>
      <c r="C38" s="46" t="s">
        <v>866</v>
      </c>
      <c r="D38" s="46" t="s">
        <v>372</v>
      </c>
      <c r="E38" s="46" t="s">
        <v>449</v>
      </c>
      <c r="F38" s="46" t="s">
        <v>450</v>
      </c>
      <c r="G38" s="46" t="s">
        <v>750</v>
      </c>
      <c r="H38" s="46" t="s">
        <v>751</v>
      </c>
      <c r="I38" s="46" t="s">
        <v>752</v>
      </c>
      <c r="J38" s="46" t="s">
        <v>753</v>
      </c>
      <c r="K38" s="46" t="s">
        <v>754</v>
      </c>
      <c r="L38" s="113" t="s">
        <v>755</v>
      </c>
    </row>
    <row r="39" spans="1:12" ht="30.6" x14ac:dyDescent="0.3">
      <c r="A39" s="62" t="s">
        <v>379</v>
      </c>
      <c r="B39" s="46">
        <v>35</v>
      </c>
      <c r="C39" s="46" t="s">
        <v>866</v>
      </c>
      <c r="D39" s="46" t="s">
        <v>372</v>
      </c>
      <c r="E39" s="46" t="s">
        <v>449</v>
      </c>
      <c r="F39" s="46" t="s">
        <v>540</v>
      </c>
      <c r="G39" s="46" t="s">
        <v>648</v>
      </c>
      <c r="H39" s="46" t="s">
        <v>649</v>
      </c>
      <c r="I39" s="46" t="s">
        <v>650</v>
      </c>
      <c r="J39" s="46" t="s">
        <v>756</v>
      </c>
      <c r="K39" s="46" t="s">
        <v>633</v>
      </c>
      <c r="L39" s="113" t="s">
        <v>757</v>
      </c>
    </row>
    <row r="40" spans="1:12" ht="30.6" x14ac:dyDescent="0.3">
      <c r="A40" s="62" t="s">
        <v>726</v>
      </c>
      <c r="B40" s="46">
        <v>36</v>
      </c>
      <c r="C40" s="46" t="s">
        <v>866</v>
      </c>
      <c r="D40" s="46" t="s">
        <v>372</v>
      </c>
      <c r="E40" s="46" t="s">
        <v>449</v>
      </c>
      <c r="F40" s="46" t="s">
        <v>541</v>
      </c>
      <c r="G40" s="46" t="s">
        <v>738</v>
      </c>
      <c r="H40" s="46" t="s">
        <v>739</v>
      </c>
      <c r="I40" s="46" t="s">
        <v>740</v>
      </c>
      <c r="J40" s="46" t="s">
        <v>741</v>
      </c>
      <c r="K40" s="46" t="s">
        <v>742</v>
      </c>
      <c r="L40" s="46" t="s">
        <v>743</v>
      </c>
    </row>
    <row r="41" spans="1:12" ht="20.399999999999999" x14ac:dyDescent="0.3">
      <c r="A41" s="62" t="s">
        <v>727</v>
      </c>
      <c r="B41" s="46">
        <v>37</v>
      </c>
      <c r="C41" s="46" t="s">
        <v>866</v>
      </c>
      <c r="D41" s="46" t="s">
        <v>372</v>
      </c>
      <c r="E41" s="46" t="s">
        <v>449</v>
      </c>
      <c r="F41" s="46" t="s">
        <v>541</v>
      </c>
      <c r="G41" s="46" t="s">
        <v>728</v>
      </c>
      <c r="H41" s="46" t="s">
        <v>728</v>
      </c>
      <c r="I41" s="46" t="s">
        <v>728</v>
      </c>
      <c r="J41" s="46" t="s">
        <v>729</v>
      </c>
      <c r="K41" s="46" t="s">
        <v>730</v>
      </c>
      <c r="L41" s="113" t="s">
        <v>731</v>
      </c>
    </row>
    <row r="42" spans="1:12" ht="30.6" x14ac:dyDescent="0.3">
      <c r="A42" s="62" t="s">
        <v>732</v>
      </c>
      <c r="B42" s="46">
        <v>38</v>
      </c>
      <c r="C42" s="46" t="s">
        <v>866</v>
      </c>
      <c r="D42" s="46" t="s">
        <v>372</v>
      </c>
      <c r="E42" s="46" t="s">
        <v>449</v>
      </c>
      <c r="F42" s="46" t="s">
        <v>540</v>
      </c>
      <c r="G42" s="46" t="s">
        <v>896</v>
      </c>
      <c r="H42" s="46" t="s">
        <v>897</v>
      </c>
      <c r="I42" s="46" t="s">
        <v>898</v>
      </c>
      <c r="J42" s="46" t="s">
        <v>941</v>
      </c>
      <c r="K42" s="46" t="s">
        <v>942</v>
      </c>
      <c r="L42" s="113" t="s">
        <v>943</v>
      </c>
    </row>
    <row r="43" spans="1:12" ht="20.399999999999999" x14ac:dyDescent="0.3">
      <c r="A43" s="62" t="s">
        <v>733</v>
      </c>
      <c r="B43" s="46">
        <v>39</v>
      </c>
      <c r="C43" s="46" t="s">
        <v>866</v>
      </c>
      <c r="D43" s="46" t="s">
        <v>372</v>
      </c>
      <c r="E43" s="46" t="s">
        <v>449</v>
      </c>
      <c r="F43" s="46" t="s">
        <v>540</v>
      </c>
      <c r="G43" s="46" t="s">
        <v>899</v>
      </c>
      <c r="H43" s="46" t="s">
        <v>900</v>
      </c>
      <c r="I43" s="46" t="s">
        <v>901</v>
      </c>
      <c r="J43" s="46" t="s">
        <v>944</v>
      </c>
      <c r="K43" s="46" t="s">
        <v>945</v>
      </c>
      <c r="L43" s="113" t="s">
        <v>946</v>
      </c>
    </row>
    <row r="44" spans="1:12" ht="20.399999999999999" x14ac:dyDescent="0.3">
      <c r="A44" s="62" t="s">
        <v>734</v>
      </c>
      <c r="B44" s="46">
        <v>40</v>
      </c>
      <c r="C44" s="46" t="s">
        <v>866</v>
      </c>
      <c r="D44" s="46" t="s">
        <v>372</v>
      </c>
      <c r="E44" s="46" t="s">
        <v>449</v>
      </c>
      <c r="F44" s="46" t="s">
        <v>540</v>
      </c>
      <c r="G44" s="46" t="s">
        <v>902</v>
      </c>
      <c r="H44" s="46" t="s">
        <v>903</v>
      </c>
      <c r="I44" s="46" t="s">
        <v>904</v>
      </c>
      <c r="J44" s="46" t="s">
        <v>947</v>
      </c>
      <c r="K44" s="46" t="s">
        <v>948</v>
      </c>
      <c r="L44" s="113" t="s">
        <v>949</v>
      </c>
    </row>
    <row r="45" spans="1:12" ht="30.6" x14ac:dyDescent="0.3">
      <c r="A45" s="62" t="s">
        <v>735</v>
      </c>
      <c r="B45" s="46">
        <v>41</v>
      </c>
      <c r="C45" s="46" t="s">
        <v>866</v>
      </c>
      <c r="D45" s="46" t="s">
        <v>372</v>
      </c>
      <c r="E45" s="46" t="s">
        <v>449</v>
      </c>
      <c r="F45" s="46" t="s">
        <v>540</v>
      </c>
      <c r="G45" s="46" t="s">
        <v>905</v>
      </c>
      <c r="H45" s="46" t="s">
        <v>906</v>
      </c>
      <c r="I45" s="46" t="s">
        <v>907</v>
      </c>
      <c r="J45" s="46" t="s">
        <v>950</v>
      </c>
      <c r="K45" s="46" t="s">
        <v>951</v>
      </c>
      <c r="L45" s="113" t="s">
        <v>952</v>
      </c>
    </row>
    <row r="46" spans="1:12" ht="20.399999999999999" x14ac:dyDescent="0.3">
      <c r="A46" s="62" t="s">
        <v>736</v>
      </c>
      <c r="B46" s="46">
        <v>42</v>
      </c>
      <c r="C46" s="46" t="s">
        <v>866</v>
      </c>
      <c r="D46" s="46" t="s">
        <v>372</v>
      </c>
      <c r="E46" s="46" t="s">
        <v>449</v>
      </c>
      <c r="F46" s="46" t="s">
        <v>540</v>
      </c>
      <c r="G46" s="46" t="s">
        <v>908</v>
      </c>
      <c r="H46" s="46" t="s">
        <v>909</v>
      </c>
      <c r="I46" s="46" t="s">
        <v>910</v>
      </c>
      <c r="J46" s="46" t="s">
        <v>953</v>
      </c>
      <c r="K46" s="46" t="s">
        <v>954</v>
      </c>
      <c r="L46" s="113" t="s">
        <v>955</v>
      </c>
    </row>
    <row r="47" spans="1:12" ht="20.399999999999999" x14ac:dyDescent="0.3">
      <c r="A47" s="62" t="s">
        <v>869</v>
      </c>
      <c r="B47" s="46">
        <v>43</v>
      </c>
      <c r="C47" s="46" t="s">
        <v>866</v>
      </c>
      <c r="D47" s="46" t="s">
        <v>372</v>
      </c>
      <c r="E47" s="46" t="s">
        <v>449</v>
      </c>
      <c r="F47" s="46" t="s">
        <v>563</v>
      </c>
      <c r="G47" s="46" t="s">
        <v>911</v>
      </c>
      <c r="H47" s="46" t="s">
        <v>912</v>
      </c>
      <c r="I47" s="46" t="s">
        <v>913</v>
      </c>
      <c r="J47" s="46" t="s">
        <v>870</v>
      </c>
      <c r="K47" s="46" t="s">
        <v>956</v>
      </c>
      <c r="L47" s="113" t="s">
        <v>957</v>
      </c>
    </row>
    <row r="48" spans="1:12" x14ac:dyDescent="0.3">
      <c r="A48" s="62" t="s">
        <v>875</v>
      </c>
      <c r="B48" s="46">
        <v>44</v>
      </c>
      <c r="C48" s="46" t="s">
        <v>866</v>
      </c>
      <c r="D48" s="46" t="s">
        <v>372</v>
      </c>
      <c r="E48" s="46" t="s">
        <v>449</v>
      </c>
      <c r="F48" s="46" t="s">
        <v>450</v>
      </c>
      <c r="G48" s="46" t="s">
        <v>876</v>
      </c>
      <c r="H48" s="46" t="s">
        <v>914</v>
      </c>
      <c r="I48" s="46" t="s">
        <v>915</v>
      </c>
      <c r="J48" s="46" t="s">
        <v>976</v>
      </c>
      <c r="K48" s="46" t="s">
        <v>977</v>
      </c>
      <c r="L48" s="113" t="s">
        <v>978</v>
      </c>
    </row>
    <row r="49" spans="1:12" x14ac:dyDescent="0.3">
      <c r="A49" s="62" t="s">
        <v>871</v>
      </c>
      <c r="B49" s="46">
        <v>45</v>
      </c>
      <c r="C49" s="46" t="s">
        <v>866</v>
      </c>
      <c r="D49" s="46" t="s">
        <v>372</v>
      </c>
      <c r="E49" s="46" t="s">
        <v>449</v>
      </c>
      <c r="F49" s="46" t="s">
        <v>450</v>
      </c>
      <c r="G49" s="46" t="s">
        <v>872</v>
      </c>
      <c r="H49" s="46" t="s">
        <v>916</v>
      </c>
      <c r="I49" s="46" t="s">
        <v>917</v>
      </c>
      <c r="J49" s="46" t="s">
        <v>764</v>
      </c>
      <c r="K49" s="46" t="s">
        <v>958</v>
      </c>
      <c r="L49" s="113" t="s">
        <v>959</v>
      </c>
    </row>
    <row r="50" spans="1:12" ht="20.399999999999999" x14ac:dyDescent="0.3">
      <c r="A50" s="62" t="s">
        <v>759</v>
      </c>
      <c r="B50" s="46">
        <v>46</v>
      </c>
      <c r="C50" s="46" t="s">
        <v>866</v>
      </c>
      <c r="D50" s="46" t="s">
        <v>372</v>
      </c>
      <c r="E50" s="46" t="s">
        <v>449</v>
      </c>
      <c r="F50" s="46" t="s">
        <v>450</v>
      </c>
      <c r="G50" s="46" t="s">
        <v>918</v>
      </c>
      <c r="H50" s="46" t="s">
        <v>919</v>
      </c>
      <c r="I50" s="46" t="s">
        <v>920</v>
      </c>
      <c r="J50" s="46" t="s">
        <v>786</v>
      </c>
      <c r="K50" s="46" t="s">
        <v>960</v>
      </c>
      <c r="L50" s="113" t="s">
        <v>961</v>
      </c>
    </row>
    <row r="51" spans="1:12" x14ac:dyDescent="0.3">
      <c r="A51" s="62" t="s">
        <v>760</v>
      </c>
      <c r="B51" s="46">
        <v>47</v>
      </c>
      <c r="C51" s="46" t="s">
        <v>866</v>
      </c>
      <c r="D51" s="46" t="s">
        <v>372</v>
      </c>
      <c r="E51" s="46" t="s">
        <v>449</v>
      </c>
      <c r="F51" s="46" t="s">
        <v>450</v>
      </c>
      <c r="G51" s="46" t="s">
        <v>767</v>
      </c>
      <c r="H51" s="46" t="s">
        <v>921</v>
      </c>
      <c r="I51" s="46" t="s">
        <v>922</v>
      </c>
      <c r="J51" s="46" t="s">
        <v>766</v>
      </c>
      <c r="K51" s="46" t="s">
        <v>962</v>
      </c>
      <c r="L51" s="113" t="s">
        <v>963</v>
      </c>
    </row>
    <row r="52" spans="1:12" x14ac:dyDescent="0.3">
      <c r="A52" s="62" t="s">
        <v>758</v>
      </c>
      <c r="B52" s="46">
        <v>48</v>
      </c>
      <c r="C52" s="46" t="s">
        <v>866</v>
      </c>
      <c r="D52" s="46" t="s">
        <v>372</v>
      </c>
      <c r="E52" s="46" t="s">
        <v>449</v>
      </c>
      <c r="F52" s="46" t="s">
        <v>450</v>
      </c>
      <c r="G52" s="46" t="s">
        <v>923</v>
      </c>
      <c r="H52" s="46" t="s">
        <v>924</v>
      </c>
      <c r="I52" s="46" t="s">
        <v>925</v>
      </c>
      <c r="J52" s="46" t="s">
        <v>785</v>
      </c>
      <c r="K52" s="46" t="s">
        <v>964</v>
      </c>
      <c r="L52" s="113" t="s">
        <v>965</v>
      </c>
    </row>
    <row r="53" spans="1:12" x14ac:dyDescent="0.3">
      <c r="A53" s="62" t="s">
        <v>761</v>
      </c>
      <c r="B53" s="46">
        <v>49</v>
      </c>
      <c r="C53" s="46" t="s">
        <v>866</v>
      </c>
      <c r="D53" s="46" t="s">
        <v>372</v>
      </c>
      <c r="E53" s="46" t="s">
        <v>449</v>
      </c>
      <c r="F53" s="46" t="s">
        <v>768</v>
      </c>
      <c r="G53" s="46" t="s">
        <v>769</v>
      </c>
      <c r="H53" s="46" t="s">
        <v>769</v>
      </c>
      <c r="I53" s="46" t="s">
        <v>770</v>
      </c>
      <c r="J53" s="46" t="s">
        <v>783</v>
      </c>
      <c r="K53" s="46" t="s">
        <v>966</v>
      </c>
      <c r="L53" s="113" t="s">
        <v>967</v>
      </c>
    </row>
    <row r="54" spans="1:12" x14ac:dyDescent="0.3">
      <c r="A54" s="62" t="s">
        <v>762</v>
      </c>
      <c r="B54" s="46">
        <v>50</v>
      </c>
      <c r="C54" s="46" t="s">
        <v>866</v>
      </c>
      <c r="D54" s="46" t="s">
        <v>372</v>
      </c>
      <c r="E54" s="46" t="s">
        <v>449</v>
      </c>
      <c r="F54" s="46" t="s">
        <v>768</v>
      </c>
      <c r="G54" s="46" t="s">
        <v>771</v>
      </c>
      <c r="H54" s="46" t="s">
        <v>771</v>
      </c>
      <c r="I54" s="46" t="s">
        <v>772</v>
      </c>
      <c r="J54" s="46" t="s">
        <v>784</v>
      </c>
      <c r="K54" s="46" t="s">
        <v>968</v>
      </c>
      <c r="L54" s="113" t="s">
        <v>969</v>
      </c>
    </row>
    <row r="55" spans="1:12" ht="20.399999999999999" x14ac:dyDescent="0.3">
      <c r="A55" s="62" t="s">
        <v>763</v>
      </c>
      <c r="B55" s="46">
        <v>51</v>
      </c>
      <c r="C55" s="46" t="s">
        <v>866</v>
      </c>
      <c r="D55" s="46" t="s">
        <v>372</v>
      </c>
      <c r="E55" s="46" t="s">
        <v>449</v>
      </c>
      <c r="F55" s="46" t="s">
        <v>540</v>
      </c>
      <c r="G55" s="46" t="s">
        <v>926</v>
      </c>
      <c r="H55" s="46" t="s">
        <v>927</v>
      </c>
      <c r="I55" s="46" t="s">
        <v>928</v>
      </c>
      <c r="J55" s="46" t="s">
        <v>782</v>
      </c>
      <c r="K55" s="46" t="s">
        <v>970</v>
      </c>
      <c r="L55" s="113" t="s">
        <v>971</v>
      </c>
    </row>
    <row r="56" spans="1:12" x14ac:dyDescent="0.3">
      <c r="A56" s="62" t="s">
        <v>797</v>
      </c>
      <c r="B56" s="46">
        <v>52</v>
      </c>
      <c r="C56" s="46" t="s">
        <v>866</v>
      </c>
      <c r="D56" s="46" t="s">
        <v>372</v>
      </c>
      <c r="E56" s="46" t="s">
        <v>449</v>
      </c>
      <c r="F56" s="46" t="s">
        <v>540</v>
      </c>
      <c r="G56" s="46" t="s">
        <v>929</v>
      </c>
      <c r="H56" s="46" t="s">
        <v>930</v>
      </c>
      <c r="I56" s="46" t="s">
        <v>931</v>
      </c>
      <c r="J56" s="75" t="s">
        <v>765</v>
      </c>
      <c r="K56" s="46" t="s">
        <v>972</v>
      </c>
      <c r="L56" s="113" t="s">
        <v>973</v>
      </c>
    </row>
    <row r="57" spans="1:12" ht="20.399999999999999" x14ac:dyDescent="0.2">
      <c r="A57" s="62" t="s">
        <v>873</v>
      </c>
      <c r="B57" s="46">
        <v>53</v>
      </c>
      <c r="C57" s="46" t="s">
        <v>866</v>
      </c>
      <c r="D57" s="46" t="s">
        <v>372</v>
      </c>
      <c r="E57" s="46" t="s">
        <v>449</v>
      </c>
      <c r="F57" s="46" t="s">
        <v>540</v>
      </c>
      <c r="G57" s="46" t="s">
        <v>873</v>
      </c>
      <c r="H57" s="46" t="s">
        <v>397</v>
      </c>
      <c r="I57" s="46" t="s">
        <v>932</v>
      </c>
      <c r="J57" s="121" t="s">
        <v>788</v>
      </c>
      <c r="K57" s="46" t="s">
        <v>974</v>
      </c>
      <c r="L57" s="113" t="s">
        <v>975</v>
      </c>
    </row>
    <row r="58" spans="1:12" x14ac:dyDescent="0.3">
      <c r="A58" s="62" t="s">
        <v>459</v>
      </c>
      <c r="B58" s="46">
        <v>54</v>
      </c>
      <c r="C58" s="46" t="s">
        <v>518</v>
      </c>
      <c r="D58" s="46" t="s">
        <v>460</v>
      </c>
      <c r="E58" s="46" t="s">
        <v>461</v>
      </c>
      <c r="F58" s="46" t="s">
        <v>448</v>
      </c>
      <c r="G58" s="46" t="s">
        <v>462</v>
      </c>
      <c r="H58" s="46" t="s">
        <v>462</v>
      </c>
      <c r="I58" s="46" t="s">
        <v>463</v>
      </c>
      <c r="J58" s="46" t="s">
        <v>464</v>
      </c>
      <c r="K58" s="46" t="s">
        <v>465</v>
      </c>
      <c r="L58" s="113" t="s">
        <v>466</v>
      </c>
    </row>
    <row r="59" spans="1:12" x14ac:dyDescent="0.3">
      <c r="A59" s="62" t="s">
        <v>467</v>
      </c>
      <c r="B59" s="46">
        <v>55</v>
      </c>
      <c r="C59" s="46" t="s">
        <v>518</v>
      </c>
      <c r="D59" s="46" t="s">
        <v>460</v>
      </c>
      <c r="E59" s="46" t="s">
        <v>468</v>
      </c>
      <c r="F59" s="46" t="s">
        <v>448</v>
      </c>
      <c r="G59" s="46" t="s">
        <v>460</v>
      </c>
      <c r="H59" s="46" t="s">
        <v>460</v>
      </c>
      <c r="I59" s="46" t="s">
        <v>460</v>
      </c>
      <c r="J59" s="46" t="s">
        <v>448</v>
      </c>
      <c r="K59" s="46" t="s">
        <v>448</v>
      </c>
      <c r="L59" s="113" t="s">
        <v>448</v>
      </c>
    </row>
    <row r="60" spans="1:12" ht="20.399999999999999" x14ac:dyDescent="0.3">
      <c r="A60" s="62" t="s">
        <v>469</v>
      </c>
      <c r="B60" s="46">
        <v>56</v>
      </c>
      <c r="C60" s="46" t="s">
        <v>518</v>
      </c>
      <c r="D60" s="46" t="s">
        <v>460</v>
      </c>
      <c r="E60" s="46" t="s">
        <v>470</v>
      </c>
      <c r="F60" s="46" t="s">
        <v>448</v>
      </c>
      <c r="G60" s="46" t="s">
        <v>471</v>
      </c>
      <c r="H60" s="46" t="s">
        <v>471</v>
      </c>
      <c r="I60" s="46" t="s">
        <v>471</v>
      </c>
      <c r="J60" s="46" t="s">
        <v>472</v>
      </c>
      <c r="K60" s="46" t="s">
        <v>636</v>
      </c>
      <c r="L60" s="113" t="s">
        <v>637</v>
      </c>
    </row>
    <row r="61" spans="1:12" ht="20.399999999999999" x14ac:dyDescent="0.3">
      <c r="A61" s="62" t="s">
        <v>473</v>
      </c>
      <c r="B61" s="46">
        <v>57</v>
      </c>
      <c r="C61" s="46" t="s">
        <v>518</v>
      </c>
      <c r="D61" s="46" t="s">
        <v>460</v>
      </c>
      <c r="E61" s="46" t="s">
        <v>470</v>
      </c>
      <c r="F61" s="46" t="s">
        <v>448</v>
      </c>
      <c r="G61" s="46" t="s">
        <v>474</v>
      </c>
      <c r="H61" s="46" t="s">
        <v>474</v>
      </c>
      <c r="I61" s="46" t="s">
        <v>474</v>
      </c>
      <c r="J61" s="46" t="s">
        <v>475</v>
      </c>
      <c r="K61" s="46" t="s">
        <v>638</v>
      </c>
      <c r="L61" s="113" t="s">
        <v>639</v>
      </c>
    </row>
    <row r="62" spans="1:12" ht="30.6" x14ac:dyDescent="0.3">
      <c r="A62" s="62" t="s">
        <v>476</v>
      </c>
      <c r="B62" s="46">
        <v>58</v>
      </c>
      <c r="C62" s="46" t="s">
        <v>518</v>
      </c>
      <c r="D62" s="46" t="s">
        <v>460</v>
      </c>
      <c r="E62" s="46" t="s">
        <v>470</v>
      </c>
      <c r="F62" s="46" t="s">
        <v>448</v>
      </c>
      <c r="G62" s="46" t="s">
        <v>477</v>
      </c>
      <c r="H62" s="46" t="s">
        <v>477</v>
      </c>
      <c r="I62" s="46" t="s">
        <v>477</v>
      </c>
      <c r="J62" s="46" t="s">
        <v>478</v>
      </c>
      <c r="K62" s="46" t="s">
        <v>640</v>
      </c>
      <c r="L62" s="113" t="s">
        <v>641</v>
      </c>
    </row>
    <row r="63" spans="1:12" ht="30.6" x14ac:dyDescent="0.3">
      <c r="A63" s="62" t="s">
        <v>479</v>
      </c>
      <c r="B63" s="46">
        <v>59</v>
      </c>
      <c r="C63" s="46" t="s">
        <v>518</v>
      </c>
      <c r="D63" s="46" t="s">
        <v>460</v>
      </c>
      <c r="E63" s="46" t="s">
        <v>470</v>
      </c>
      <c r="F63" s="46" t="s">
        <v>448</v>
      </c>
      <c r="G63" s="46" t="s">
        <v>480</v>
      </c>
      <c r="H63" s="46" t="s">
        <v>480</v>
      </c>
      <c r="I63" s="46" t="s">
        <v>480</v>
      </c>
      <c r="J63" s="46" t="s">
        <v>642</v>
      </c>
      <c r="K63" s="46" t="s">
        <v>643</v>
      </c>
      <c r="L63" s="113" t="s">
        <v>644</v>
      </c>
    </row>
    <row r="64" spans="1:12" x14ac:dyDescent="0.3">
      <c r="A64" s="62" t="s">
        <v>481</v>
      </c>
      <c r="B64" s="46">
        <v>60</v>
      </c>
      <c r="C64" s="46" t="s">
        <v>518</v>
      </c>
      <c r="D64" s="46" t="s">
        <v>460</v>
      </c>
      <c r="E64" s="46" t="s">
        <v>470</v>
      </c>
      <c r="F64" s="46" t="s">
        <v>448</v>
      </c>
      <c r="G64" s="46" t="s">
        <v>482</v>
      </c>
      <c r="H64" s="46" t="s">
        <v>482</v>
      </c>
      <c r="I64" s="46" t="s">
        <v>482</v>
      </c>
      <c r="J64" s="46" t="s">
        <v>483</v>
      </c>
      <c r="K64" s="46" t="s">
        <v>645</v>
      </c>
      <c r="L64" s="113" t="s">
        <v>646</v>
      </c>
    </row>
    <row r="65" spans="1:12" x14ac:dyDescent="0.3">
      <c r="A65" s="62" t="s">
        <v>484</v>
      </c>
      <c r="B65" s="46">
        <v>61</v>
      </c>
      <c r="C65" s="46" t="s">
        <v>518</v>
      </c>
      <c r="D65" s="46" t="s">
        <v>485</v>
      </c>
      <c r="E65" s="46" t="s">
        <v>468</v>
      </c>
      <c r="F65" s="46" t="s">
        <v>448</v>
      </c>
      <c r="G65" s="46" t="s">
        <v>486</v>
      </c>
      <c r="H65" s="46" t="s">
        <v>487</v>
      </c>
      <c r="I65" s="46" t="s">
        <v>488</v>
      </c>
      <c r="J65" s="46" t="s">
        <v>448</v>
      </c>
      <c r="K65" s="46" t="s">
        <v>448</v>
      </c>
      <c r="L65" s="113" t="s">
        <v>448</v>
      </c>
    </row>
    <row r="66" spans="1:12" x14ac:dyDescent="0.3">
      <c r="A66" s="62" t="s">
        <v>489</v>
      </c>
      <c r="B66" s="46">
        <v>62</v>
      </c>
      <c r="C66" s="46" t="s">
        <v>518</v>
      </c>
      <c r="D66" s="46" t="s">
        <v>485</v>
      </c>
      <c r="E66" s="46" t="s">
        <v>470</v>
      </c>
      <c r="F66" s="46" t="s">
        <v>448</v>
      </c>
      <c r="G66" s="46" t="s">
        <v>490</v>
      </c>
      <c r="H66" s="46" t="s">
        <v>491</v>
      </c>
      <c r="I66" s="46" t="s">
        <v>492</v>
      </c>
      <c r="J66" s="46" t="s">
        <v>448</v>
      </c>
      <c r="K66" s="46" t="s">
        <v>448</v>
      </c>
      <c r="L66" s="113" t="s">
        <v>448</v>
      </c>
    </row>
    <row r="67" spans="1:12" x14ac:dyDescent="0.3">
      <c r="A67" s="62" t="s">
        <v>493</v>
      </c>
      <c r="B67" s="46">
        <v>63</v>
      </c>
      <c r="C67" s="46" t="s">
        <v>518</v>
      </c>
      <c r="D67" s="46" t="s">
        <v>485</v>
      </c>
      <c r="E67" s="46" t="s">
        <v>470</v>
      </c>
      <c r="F67" s="46" t="s">
        <v>448</v>
      </c>
      <c r="G67" s="46" t="s">
        <v>494</v>
      </c>
      <c r="H67" s="46" t="s">
        <v>495</v>
      </c>
      <c r="I67" s="46" t="s">
        <v>496</v>
      </c>
      <c r="J67" s="46" t="s">
        <v>448</v>
      </c>
      <c r="K67" s="46" t="s">
        <v>448</v>
      </c>
      <c r="L67" s="113" t="s">
        <v>448</v>
      </c>
    </row>
    <row r="68" spans="1:12" x14ac:dyDescent="0.3">
      <c r="A68" s="62" t="s">
        <v>497</v>
      </c>
      <c r="B68" s="46">
        <v>64</v>
      </c>
      <c r="C68" s="46" t="s">
        <v>518</v>
      </c>
      <c r="D68" s="46" t="s">
        <v>485</v>
      </c>
      <c r="E68" s="46" t="s">
        <v>470</v>
      </c>
      <c r="F68" s="46" t="s">
        <v>448</v>
      </c>
      <c r="G68" s="46" t="s">
        <v>498</v>
      </c>
      <c r="H68" s="46" t="s">
        <v>499</v>
      </c>
      <c r="I68" s="46" t="s">
        <v>500</v>
      </c>
      <c r="J68" s="46" t="s">
        <v>448</v>
      </c>
      <c r="K68" s="46" t="s">
        <v>448</v>
      </c>
      <c r="L68" s="113" t="s">
        <v>448</v>
      </c>
    </row>
    <row r="69" spans="1:12" x14ac:dyDescent="0.3">
      <c r="A69" s="62" t="s">
        <v>501</v>
      </c>
      <c r="B69" s="46">
        <v>65</v>
      </c>
      <c r="C69" s="46" t="s">
        <v>518</v>
      </c>
      <c r="D69" s="46" t="s">
        <v>485</v>
      </c>
      <c r="E69" s="46" t="s">
        <v>470</v>
      </c>
      <c r="F69" s="46" t="s">
        <v>448</v>
      </c>
      <c r="G69" s="46" t="s">
        <v>371</v>
      </c>
      <c r="H69" s="46" t="s">
        <v>502</v>
      </c>
      <c r="I69" s="46" t="s">
        <v>503</v>
      </c>
      <c r="J69" s="46" t="s">
        <v>448</v>
      </c>
      <c r="K69" s="46" t="s">
        <v>448</v>
      </c>
      <c r="L69" s="113" t="s">
        <v>448</v>
      </c>
    </row>
    <row r="70" spans="1:12" x14ac:dyDescent="0.3">
      <c r="A70" s="62" t="s">
        <v>504</v>
      </c>
      <c r="B70" s="46">
        <v>66</v>
      </c>
      <c r="C70" s="46" t="s">
        <v>518</v>
      </c>
      <c r="D70" s="46" t="s">
        <v>485</v>
      </c>
      <c r="E70" s="46" t="s">
        <v>470</v>
      </c>
      <c r="F70" s="46" t="s">
        <v>448</v>
      </c>
      <c r="G70" s="46" t="s">
        <v>505</v>
      </c>
      <c r="H70" s="46" t="s">
        <v>506</v>
      </c>
      <c r="I70" s="46" t="s">
        <v>507</v>
      </c>
      <c r="J70" s="46" t="s">
        <v>448</v>
      </c>
      <c r="K70" s="46" t="s">
        <v>448</v>
      </c>
      <c r="L70" s="113" t="s">
        <v>448</v>
      </c>
    </row>
    <row r="71" spans="1:12" x14ac:dyDescent="0.3">
      <c r="A71" s="62" t="s">
        <v>508</v>
      </c>
      <c r="B71" s="46">
        <v>67</v>
      </c>
      <c r="C71" s="46" t="s">
        <v>518</v>
      </c>
      <c r="D71" s="46" t="s">
        <v>485</v>
      </c>
      <c r="E71" s="46" t="s">
        <v>470</v>
      </c>
      <c r="F71" s="46" t="s">
        <v>448</v>
      </c>
      <c r="G71" s="46" t="s">
        <v>509</v>
      </c>
      <c r="H71" s="46" t="s">
        <v>510</v>
      </c>
      <c r="I71" s="46" t="s">
        <v>511</v>
      </c>
      <c r="J71" s="46" t="s">
        <v>448</v>
      </c>
      <c r="K71" s="46" t="s">
        <v>448</v>
      </c>
      <c r="L71" s="113" t="s">
        <v>448</v>
      </c>
    </row>
    <row r="72" spans="1:12" x14ac:dyDescent="0.3">
      <c r="A72" s="62" t="s">
        <v>512</v>
      </c>
      <c r="B72" s="46">
        <v>68</v>
      </c>
      <c r="C72" s="46" t="s">
        <v>518</v>
      </c>
      <c r="D72" s="46" t="s">
        <v>485</v>
      </c>
      <c r="E72" s="46" t="s">
        <v>470</v>
      </c>
      <c r="F72" s="46" t="s">
        <v>448</v>
      </c>
      <c r="G72" s="46" t="s">
        <v>513</v>
      </c>
      <c r="H72" s="46" t="s">
        <v>514</v>
      </c>
      <c r="I72" s="46" t="s">
        <v>515</v>
      </c>
      <c r="J72" s="46" t="s">
        <v>448</v>
      </c>
      <c r="K72" s="46" t="s">
        <v>448</v>
      </c>
      <c r="L72" s="113" t="s">
        <v>448</v>
      </c>
    </row>
    <row r="73" spans="1:12" x14ac:dyDescent="0.3">
      <c r="A73" s="72" t="s">
        <v>516</v>
      </c>
      <c r="B73" s="46">
        <v>69</v>
      </c>
      <c r="C73" s="73" t="s">
        <v>518</v>
      </c>
      <c r="D73" s="73" t="s">
        <v>485</v>
      </c>
      <c r="E73" s="73" t="s">
        <v>470</v>
      </c>
      <c r="F73" s="73" t="s">
        <v>448</v>
      </c>
      <c r="G73" s="73" t="s">
        <v>430</v>
      </c>
      <c r="H73" s="73" t="s">
        <v>430</v>
      </c>
      <c r="I73" s="73" t="s">
        <v>517</v>
      </c>
      <c r="J73" s="73" t="s">
        <v>448</v>
      </c>
      <c r="K73" s="73" t="s">
        <v>448</v>
      </c>
      <c r="L73" s="122" t="s">
        <v>448</v>
      </c>
    </row>
  </sheetData>
  <sheetProtection algorithmName="SHA-512" hashValue="JVaNUQhxdK1LYF/8OqH0HzBBVLuiGVXKA0CgPc3NTPg0qrwTltMVERsAPd/BIvq+fpoizjZuU6/mU6hbV5KOhA==" saltValue="sWTdQZPUofVhLLAHg6hQGA==" spinCount="100000" sheet="1" objects="1" scenarios="1" formatCells="0" autoFilter="0"/>
  <mergeCells count="1">
    <mergeCell ref="A1:E1"/>
  </mergeCells>
  <phoneticPr fontId="9" type="noConversion"/>
  <pageMargins left="0.23622047244094488" right="0.23622047244094488" top="0.39370078740157483" bottom="0.3543307086614173" header="0.19685039370078741" footer="0.11811023622047244"/>
  <pageSetup paperSize="9" scale="44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V 3 L R U C o y o t W m A A A A + A A A A B I A H A B D b 2 5 m a W c v U G F j a 2 F n Z S 5 4 b W w g o h g A K K A U A A A A A A A A A A A A A A A A A A A A A A A A A A A A h Y 8 x D o I w G E a v Q r r T l h K V k J 8 y u E p i Q j S u T a 3 Q C M X Q Y r m b g 0 f y C p I o 6 u b 4 v b z h f Y / b H f K x b Y K r 6 q 3 u T I Y i T F G g j O y O 2 l Q Z G t w p T F D O Y S v k W V Q q m G R j 0 9 E e M 1 Q 7 d 0 k J 8 d 5 j H + O u r w i j N C K H Y l P K W r U C f W T 9 X w 6 1 s U 4 Y q R C H / S u G M 5 x E e J H E E V 4 t G Z A Z Q 6 H N V 2 F T M a Z A f i C s h 8 Y N v e L K h L s S y D y B v F / w J 1 B L A w Q U A A I A C A B X c t F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3 L R U C i K R 7 g O A A A A E Q A A A B M A H A B G b 3 J t d W x h c y 9 T Z W N 0 a W 9 u M S 5 t I K I Y A C i g F A A A A A A A A A A A A A A A A A A A A A A A A A A A A C t O T S 7 J z M 9 T C I b Q h t Y A U E s B A i 0 A F A A C A A g A V 3 L R U C o y o t W m A A A A + A A A A B I A A A A A A A A A A A A A A A A A A A A A A E N v b m Z p Z y 9 Q Y W N r Y W d l L n h t b F B L A Q I t A B Q A A g A I A F d y 0 V A P y u m r p A A A A O k A A A A T A A A A A A A A A A A A A A A A A P I A A A B b Q 2 9 u d G V u d F 9 U e X B l c 1 0 u e G 1 s U E s B A i 0 A F A A C A A g A V 3 L R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O v G T 7 r B / h P o D o X f f u t P S s A A A A A A g A A A A A A A 2 Y A A M A A A A A Q A A A A J / o A Z Y / s x 0 i e c z f v a 5 k H l g A A A A A E g A A A o A A A A B A A A A D l u 8 1 P G p g 0 K X e U l q + h y v s 8 U A A A A M C u I d Y 0 H m v s / A j x g d k 7 e v X 8 u e U X j Z W Q 6 4 S r S H L V 7 K I M C c T a R k n U f U x v R B v z S 9 Y 5 2 Z C 6 P y R f c V 6 H V I K 8 7 x M T S b C z x u q y d w Q X o Y a s 8 i u y n 6 8 c F A A A A F y P d 3 4 8 V P Y E R X I 4 Y Y 9 O Z 6 q N E 5 C L < / D a t a M a s h u p > 
</file>

<file path=customXml/itemProps1.xml><?xml version="1.0" encoding="utf-8"?>
<ds:datastoreItem xmlns:ds="http://schemas.openxmlformats.org/officeDocument/2006/customXml" ds:itemID="{3BD43C1E-C870-4F41-9D6B-5414138CB8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CP11 (IUU Vessels)</vt:lpstr>
      <vt:lpstr>Codes</vt:lpstr>
      <vt:lpstr>Instructions</vt:lpstr>
      <vt:lpstr>AreaCode</vt:lpstr>
      <vt:lpstr>FlagA2ISO</vt:lpstr>
      <vt:lpstr>FlagCod</vt:lpstr>
      <vt:lpstr>FlagName</vt:lpstr>
      <vt:lpstr>fmtLatitude</vt:lpstr>
      <vt:lpstr>fmtLongitude</vt:lpstr>
      <vt:lpstr>GearCode</vt:lpstr>
      <vt:lpstr>Idiom</vt:lpstr>
      <vt:lpstr>InfringementCode</vt:lpstr>
      <vt:lpstr>LangFieldID</vt:lpstr>
      <vt:lpstr>LangNameID</vt:lpstr>
      <vt:lpstr>RFMOCode</vt:lpstr>
      <vt:lpstr>Status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Cheatle</dc:creator>
  <cp:lastModifiedBy>Felix Mergarejo</cp:lastModifiedBy>
  <cp:lastPrinted>2014-01-21T11:28:28Z</cp:lastPrinted>
  <dcterms:created xsi:type="dcterms:W3CDTF">2011-12-05T10:28:25Z</dcterms:created>
  <dcterms:modified xsi:type="dcterms:W3CDTF">2025-04-04T08:48:32Z</dcterms:modified>
</cp:coreProperties>
</file>